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a.rocha\Desktop\ana.rocha\Desktop\BACKUP_2021\UEPR_PUBLICAÇÕES\BE_IVA\BE_IVA_2019 a 2022\"/>
    </mc:Choice>
  </mc:AlternateContent>
  <bookViews>
    <workbookView xWindow="0" yWindow="0" windowWidth="3315" windowHeight="0"/>
  </bookViews>
  <sheets>
    <sheet name="ÍNDICE_TABELA" sheetId="1" r:id="rId1"/>
    <sheet name="A.0 " sheetId="42" r:id="rId2"/>
    <sheet name="A.1 " sheetId="14" r:id="rId3"/>
    <sheet name=" A.2 " sheetId="18" r:id="rId4"/>
    <sheet name="A.3" sheetId="28" r:id="rId5"/>
    <sheet name="A.3.1" sheetId="32" r:id="rId6"/>
    <sheet name="A.3.2 " sheetId="17" r:id="rId7"/>
    <sheet name="A.4 " sheetId="16" r:id="rId8"/>
    <sheet name="A.5" sheetId="2" r:id="rId9"/>
    <sheet name="A.5.1 " sheetId="26" r:id="rId10"/>
    <sheet name=" A.5.2" sheetId="12" r:id="rId11"/>
    <sheet name="A.5.3" sheetId="27" r:id="rId12"/>
    <sheet name=" A.6" sheetId="4" r:id="rId13"/>
    <sheet name="A.6.1" sheetId="19" r:id="rId14"/>
    <sheet name="A.6.2" sheetId="20" r:id="rId15"/>
    <sheet name="A.6.3 " sheetId="21" r:id="rId16"/>
    <sheet name="A.7" sheetId="38" r:id="rId17"/>
    <sheet name="A.8 " sheetId="37" r:id="rId18"/>
    <sheet name="A.9" sheetId="5" r:id="rId19"/>
    <sheet name="A.10" sheetId="33" r:id="rId20"/>
    <sheet name="A.11" sheetId="8" r:id="rId21"/>
    <sheet name="A.12" sheetId="9" r:id="rId22"/>
    <sheet name="A.13" sheetId="6" r:id="rId23"/>
    <sheet name="A.14" sheetId="34" r:id="rId24"/>
    <sheet name="A.15" sheetId="24" r:id="rId25"/>
    <sheet name="A15.1" sheetId="25" r:id="rId26"/>
    <sheet name=" A.15.2 " sheetId="10" r:id="rId27"/>
    <sheet name="A.15.3" sheetId="35" r:id="rId28"/>
    <sheet name="A.16" sheetId="39" r:id="rId29"/>
  </sheets>
  <definedNames>
    <definedName name="_xlnm._FilterDatabase" localSheetId="26" hidden="1">' A.15.2 '!$C$20:$G$20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8" l="1"/>
  <c r="D15" i="42" l="1"/>
  <c r="E15" i="42"/>
  <c r="D16" i="42"/>
  <c r="E16" i="42"/>
  <c r="D17" i="42"/>
  <c r="E17" i="42"/>
  <c r="D18" i="42"/>
  <c r="E18" i="42"/>
  <c r="D19" i="42"/>
  <c r="E19" i="42"/>
  <c r="D20" i="42"/>
  <c r="E20" i="42"/>
  <c r="D21" i="42"/>
  <c r="E21" i="42"/>
  <c r="C16" i="42"/>
  <c r="C17" i="42"/>
  <c r="C18" i="42"/>
  <c r="C19" i="42"/>
  <c r="C20" i="42"/>
  <c r="C21" i="42"/>
  <c r="C15" i="42"/>
  <c r="D165" i="17"/>
  <c r="D164" i="17"/>
  <c r="D163" i="17"/>
  <c r="C9" i="28" l="1"/>
  <c r="C8" i="28"/>
  <c r="C7" i="28"/>
  <c r="C8" i="42"/>
  <c r="C7" i="42"/>
  <c r="C6" i="42"/>
  <c r="C16" i="18" l="1"/>
  <c r="C17" i="18"/>
  <c r="C18" i="18"/>
  <c r="C19" i="18"/>
  <c r="C20" i="18"/>
  <c r="C21" i="18"/>
  <c r="F16" i="18"/>
  <c r="E16" i="18"/>
  <c r="D16" i="18"/>
  <c r="L24" i="17" l="1"/>
  <c r="M24" i="17" s="1"/>
  <c r="L25" i="17"/>
  <c r="M25" i="17"/>
  <c r="L26" i="17"/>
  <c r="M26" i="17" s="1"/>
  <c r="D15" i="34" l="1"/>
  <c r="C15" i="34"/>
  <c r="E6" i="34"/>
  <c r="E15" i="34" s="1"/>
  <c r="C15" i="6"/>
  <c r="C16" i="6"/>
  <c r="C17" i="6"/>
  <c r="C18" i="6"/>
  <c r="E6" i="6"/>
  <c r="E7" i="6"/>
  <c r="E8" i="6"/>
  <c r="E9" i="6"/>
  <c r="D15" i="6" l="1"/>
  <c r="E7" i="39" l="1"/>
  <c r="E8" i="39"/>
  <c r="E9" i="39"/>
  <c r="C15" i="9" l="1"/>
  <c r="E6" i="9"/>
  <c r="F63" i="16" l="1"/>
  <c r="G63" i="16"/>
  <c r="H63" i="16"/>
  <c r="I63" i="16"/>
  <c r="J63" i="16"/>
  <c r="E64" i="16"/>
  <c r="F64" i="16"/>
  <c r="G64" i="16"/>
  <c r="H64" i="16"/>
  <c r="I64" i="16"/>
  <c r="J64" i="16"/>
  <c r="E65" i="16"/>
  <c r="F65" i="16"/>
  <c r="G65" i="16"/>
  <c r="H65" i="16"/>
  <c r="I65" i="16"/>
  <c r="J65" i="16"/>
  <c r="I7" i="28" l="1"/>
  <c r="K7" i="32" l="1"/>
  <c r="G7" i="32"/>
  <c r="K8" i="32"/>
  <c r="I8" i="32"/>
  <c r="H8" i="32"/>
  <c r="G8" i="32"/>
  <c r="K9" i="32"/>
  <c r="I9" i="32"/>
  <c r="H9" i="32"/>
  <c r="G9" i="32"/>
  <c r="H53" i="17" l="1"/>
  <c r="K123" i="17"/>
  <c r="K53" i="17"/>
  <c r="D135" i="38" l="1"/>
  <c r="D136" i="38"/>
  <c r="D137" i="38"/>
  <c r="D138" i="38"/>
  <c r="D139" i="38"/>
  <c r="D140" i="38"/>
  <c r="D141" i="38"/>
  <c r="D134" i="38"/>
  <c r="F50" i="21" l="1"/>
  <c r="F42" i="21"/>
  <c r="F34" i="21"/>
  <c r="F26" i="21"/>
  <c r="F22" i="21"/>
  <c r="F14" i="21"/>
  <c r="F6" i="21"/>
  <c r="E58" i="21"/>
  <c r="F43" i="21" l="1"/>
  <c r="F23" i="21" l="1"/>
  <c r="F24" i="21"/>
  <c r="F7" i="21"/>
  <c r="F8" i="21"/>
  <c r="F15" i="21"/>
  <c r="F16" i="21"/>
  <c r="E44" i="21"/>
  <c r="F44" i="21" s="1"/>
  <c r="E59" i="21"/>
  <c r="E27" i="21"/>
  <c r="F51" i="21"/>
  <c r="F52" i="21"/>
  <c r="F35" i="21"/>
  <c r="F36" i="21"/>
  <c r="F28" i="21"/>
  <c r="F27" i="21"/>
  <c r="E167" i="20"/>
  <c r="F151" i="20"/>
  <c r="F143" i="20"/>
  <c r="F135" i="20"/>
  <c r="F127" i="20"/>
  <c r="F119" i="20"/>
  <c r="F111" i="20"/>
  <c r="F103" i="20"/>
  <c r="F95" i="20"/>
  <c r="F87" i="20"/>
  <c r="F79" i="20"/>
  <c r="F71" i="20"/>
  <c r="F63" i="20"/>
  <c r="F55" i="20"/>
  <c r="F47" i="20"/>
  <c r="F39" i="20"/>
  <c r="F31" i="20"/>
  <c r="F23" i="20"/>
  <c r="F15" i="20"/>
  <c r="F7" i="20"/>
  <c r="F127" i="19"/>
  <c r="F119" i="19"/>
  <c r="F111" i="19"/>
  <c r="F103" i="19"/>
  <c r="F95" i="19"/>
  <c r="F87" i="19"/>
  <c r="F79" i="19"/>
  <c r="F71" i="19"/>
  <c r="F63" i="19"/>
  <c r="F55" i="19"/>
  <c r="F47" i="19"/>
  <c r="F39" i="19"/>
  <c r="F31" i="19"/>
  <c r="F23" i="19"/>
  <c r="F15" i="19"/>
  <c r="F7" i="19"/>
  <c r="E135" i="19"/>
  <c r="E60" i="21" l="1"/>
  <c r="E166" i="20" l="1"/>
  <c r="F150" i="20"/>
  <c r="F152" i="20"/>
  <c r="F142" i="20"/>
  <c r="F144" i="20"/>
  <c r="F134" i="20"/>
  <c r="F136" i="20"/>
  <c r="F126" i="20"/>
  <c r="F128" i="20"/>
  <c r="F118" i="20"/>
  <c r="F120" i="20"/>
  <c r="F110" i="20"/>
  <c r="F112" i="20"/>
  <c r="F102" i="20"/>
  <c r="F104" i="20"/>
  <c r="F94" i="20"/>
  <c r="F96" i="20"/>
  <c r="F86" i="20"/>
  <c r="F88" i="20"/>
  <c r="F78" i="20"/>
  <c r="F80" i="20"/>
  <c r="F70" i="20"/>
  <c r="F72" i="20"/>
  <c r="F62" i="20"/>
  <c r="F64" i="20"/>
  <c r="F54" i="20"/>
  <c r="F56" i="20"/>
  <c r="F46" i="20"/>
  <c r="F48" i="20"/>
  <c r="F38" i="20"/>
  <c r="F40" i="20"/>
  <c r="F30" i="20"/>
  <c r="F32" i="20"/>
  <c r="F22" i="20"/>
  <c r="F24" i="20"/>
  <c r="F14" i="20"/>
  <c r="F16" i="20"/>
  <c r="F6" i="20"/>
  <c r="F8" i="20"/>
  <c r="E168" i="20"/>
  <c r="F126" i="19"/>
  <c r="F128" i="19"/>
  <c r="F118" i="19"/>
  <c r="F120" i="19"/>
  <c r="F110" i="19"/>
  <c r="F112" i="19"/>
  <c r="F102" i="19"/>
  <c r="F104" i="19"/>
  <c r="F94" i="19"/>
  <c r="F96" i="19"/>
  <c r="F86" i="19"/>
  <c r="F88" i="19"/>
  <c r="F78" i="19"/>
  <c r="F80" i="19"/>
  <c r="F70" i="19"/>
  <c r="F72" i="19"/>
  <c r="F62" i="19"/>
  <c r="F64" i="19"/>
  <c r="F54" i="19"/>
  <c r="F56" i="19"/>
  <c r="F46" i="19"/>
  <c r="F48" i="19"/>
  <c r="F38" i="19"/>
  <c r="F40" i="19"/>
  <c r="F30" i="19"/>
  <c r="F32" i="19"/>
  <c r="F22" i="19"/>
  <c r="F24" i="19"/>
  <c r="F14" i="19"/>
  <c r="F16" i="19"/>
  <c r="F6" i="19"/>
  <c r="F8" i="19"/>
  <c r="E134" i="19"/>
  <c r="E136" i="19"/>
  <c r="D15" i="5" l="1"/>
  <c r="C15" i="5"/>
  <c r="E6" i="5"/>
  <c r="E7" i="5"/>
  <c r="D15" i="33"/>
  <c r="E6" i="33"/>
  <c r="H6" i="39"/>
  <c r="J6" i="39"/>
  <c r="E6" i="39"/>
  <c r="I6" i="39" s="1"/>
  <c r="E15" i="5" l="1"/>
  <c r="K6" i="39"/>
  <c r="D158" i="37"/>
  <c r="F134" i="26"/>
  <c r="J55" i="16" l="1"/>
  <c r="J47" i="16"/>
  <c r="J39" i="16"/>
  <c r="J31" i="16"/>
  <c r="J23" i="16"/>
  <c r="J15" i="16"/>
  <c r="J7" i="16"/>
  <c r="L147" i="17"/>
  <c r="L139" i="17"/>
  <c r="L131" i="17"/>
  <c r="L123" i="17"/>
  <c r="M123" i="17" s="1"/>
  <c r="L115" i="17"/>
  <c r="L107" i="17"/>
  <c r="L99" i="17"/>
  <c r="L91" i="17"/>
  <c r="L83" i="17"/>
  <c r="L75" i="17"/>
  <c r="L67" i="17"/>
  <c r="L59" i="17"/>
  <c r="L51" i="17"/>
  <c r="L43" i="17"/>
  <c r="L35" i="17"/>
  <c r="L27" i="17"/>
  <c r="L19" i="17"/>
  <c r="L15" i="17"/>
  <c r="L7" i="17"/>
  <c r="L127" i="32"/>
  <c r="L119" i="32"/>
  <c r="L111" i="32"/>
  <c r="L103" i="32"/>
  <c r="L95" i="32"/>
  <c r="L87" i="32"/>
  <c r="L79" i="32"/>
  <c r="L71" i="32"/>
  <c r="L63" i="32"/>
  <c r="L55" i="32"/>
  <c r="L47" i="32"/>
  <c r="L39" i="32"/>
  <c r="L31" i="32"/>
  <c r="L23" i="32"/>
  <c r="L15" i="32"/>
  <c r="L7" i="32"/>
  <c r="L8" i="32"/>
  <c r="H7" i="14" l="1"/>
  <c r="D15" i="9" l="1"/>
  <c r="D15" i="8"/>
  <c r="D16" i="8"/>
  <c r="C15" i="8"/>
  <c r="C15" i="33"/>
  <c r="G16" i="14" l="1"/>
  <c r="E17" i="9"/>
  <c r="D16" i="9"/>
  <c r="D17" i="9"/>
  <c r="C16" i="9"/>
  <c r="C17" i="9"/>
  <c r="D159" i="37"/>
  <c r="D160" i="37"/>
  <c r="D161" i="37"/>
  <c r="F159" i="20" l="1"/>
  <c r="F160" i="20"/>
  <c r="E6" i="4"/>
  <c r="E16" i="2" l="1"/>
  <c r="F135" i="26" l="1"/>
  <c r="F136" i="26" l="1"/>
  <c r="F163" i="17" l="1"/>
  <c r="F15" i="32"/>
  <c r="E51" i="17" l="1"/>
  <c r="K13" i="39" l="1"/>
  <c r="J13" i="39"/>
  <c r="I13" i="39"/>
  <c r="H13" i="39"/>
  <c r="K12" i="39"/>
  <c r="J12" i="39"/>
  <c r="I12" i="39"/>
  <c r="H12" i="39"/>
  <c r="K11" i="39"/>
  <c r="J11" i="39"/>
  <c r="I11" i="39"/>
  <c r="H11" i="39"/>
  <c r="K10" i="39"/>
  <c r="J10" i="39"/>
  <c r="I10" i="39"/>
  <c r="H10" i="39"/>
  <c r="K9" i="39"/>
  <c r="J9" i="39"/>
  <c r="I9" i="39"/>
  <c r="H9" i="39"/>
  <c r="K8" i="39"/>
  <c r="J8" i="39"/>
  <c r="I8" i="39"/>
  <c r="H8" i="39"/>
  <c r="K7" i="39"/>
  <c r="J7" i="39"/>
  <c r="I7" i="39"/>
  <c r="H7" i="39"/>
  <c r="E21" i="34"/>
  <c r="D21" i="34"/>
  <c r="C21" i="34"/>
  <c r="D20" i="34"/>
  <c r="C20" i="34"/>
  <c r="E19" i="34"/>
  <c r="D19" i="34"/>
  <c r="C19" i="34"/>
  <c r="D18" i="34"/>
  <c r="C18" i="34"/>
  <c r="E17" i="34"/>
  <c r="D17" i="34"/>
  <c r="C17" i="34"/>
  <c r="D16" i="34"/>
  <c r="C16" i="34"/>
  <c r="E13" i="34"/>
  <c r="E12" i="34"/>
  <c r="E11" i="34"/>
  <c r="E10" i="34"/>
  <c r="E9" i="34"/>
  <c r="E18" i="34" s="1"/>
  <c r="E8" i="34"/>
  <c r="E7" i="34"/>
  <c r="E16" i="34" s="1"/>
  <c r="D21" i="6"/>
  <c r="C21" i="6"/>
  <c r="D20" i="6"/>
  <c r="C20" i="6"/>
  <c r="D19" i="6"/>
  <c r="C19" i="6"/>
  <c r="D18" i="6"/>
  <c r="D17" i="6"/>
  <c r="D16" i="6"/>
  <c r="E13" i="6"/>
  <c r="E12" i="6"/>
  <c r="E21" i="6" s="1"/>
  <c r="E11" i="6"/>
  <c r="E10" i="6"/>
  <c r="E19" i="6" s="1"/>
  <c r="E21" i="9"/>
  <c r="D21" i="9"/>
  <c r="C21" i="9"/>
  <c r="D20" i="9"/>
  <c r="C20" i="9"/>
  <c r="E19" i="9"/>
  <c r="D19" i="9"/>
  <c r="C19" i="9"/>
  <c r="E18" i="9"/>
  <c r="D18" i="9"/>
  <c r="C18" i="9"/>
  <c r="E13" i="9"/>
  <c r="E12" i="9"/>
  <c r="E11" i="9"/>
  <c r="E10" i="9"/>
  <c r="E9" i="9"/>
  <c r="E8" i="9"/>
  <c r="E7" i="9"/>
  <c r="D21" i="8"/>
  <c r="C21" i="8"/>
  <c r="D20" i="8"/>
  <c r="C20" i="8"/>
  <c r="D19" i="8"/>
  <c r="C19" i="8"/>
  <c r="E18" i="8"/>
  <c r="D18" i="8"/>
  <c r="C18" i="8"/>
  <c r="D17" i="8"/>
  <c r="C17" i="8"/>
  <c r="C16" i="8"/>
  <c r="E13" i="8"/>
  <c r="E12" i="8"/>
  <c r="E21" i="8" s="1"/>
  <c r="E11" i="8"/>
  <c r="E10" i="8"/>
  <c r="E19" i="8" s="1"/>
  <c r="E9" i="8"/>
  <c r="E8" i="8"/>
  <c r="E17" i="8" s="1"/>
  <c r="E7" i="8"/>
  <c r="E15" i="8" s="1"/>
  <c r="E21" i="33"/>
  <c r="D21" i="33"/>
  <c r="C21" i="33"/>
  <c r="D20" i="33"/>
  <c r="C20" i="33"/>
  <c r="E19" i="33"/>
  <c r="D19" i="33"/>
  <c r="C19" i="33"/>
  <c r="D18" i="33"/>
  <c r="C18" i="33"/>
  <c r="C17" i="33"/>
  <c r="C16" i="33"/>
  <c r="E13" i="33"/>
  <c r="E12" i="33"/>
  <c r="E11" i="33"/>
  <c r="E10" i="33"/>
  <c r="E9" i="33"/>
  <c r="E18" i="33" s="1"/>
  <c r="D21" i="5"/>
  <c r="C21" i="5"/>
  <c r="D20" i="5"/>
  <c r="C20" i="5"/>
  <c r="D19" i="5"/>
  <c r="C19" i="5"/>
  <c r="D18" i="5"/>
  <c r="C18" i="5"/>
  <c r="D17" i="5"/>
  <c r="C17" i="5"/>
  <c r="D16" i="5"/>
  <c r="C16" i="5"/>
  <c r="E13" i="5"/>
  <c r="E12" i="5"/>
  <c r="E11" i="5"/>
  <c r="E10" i="5"/>
  <c r="E9" i="5"/>
  <c r="E8" i="5"/>
  <c r="E16" i="5"/>
  <c r="D60" i="21"/>
  <c r="D59" i="21"/>
  <c r="F57" i="21"/>
  <c r="F56" i="21"/>
  <c r="F55" i="21"/>
  <c r="F54" i="21"/>
  <c r="F53" i="21"/>
  <c r="F49" i="21"/>
  <c r="F48" i="21"/>
  <c r="F47" i="21"/>
  <c r="F46" i="21"/>
  <c r="F45" i="21"/>
  <c r="F41" i="21"/>
  <c r="F40" i="21"/>
  <c r="F39" i="21"/>
  <c r="F38" i="21"/>
  <c r="F37" i="21"/>
  <c r="F33" i="21"/>
  <c r="F32" i="21"/>
  <c r="F31" i="21"/>
  <c r="F30" i="21"/>
  <c r="F29" i="21"/>
  <c r="F25" i="21"/>
  <c r="F21" i="21"/>
  <c r="F20" i="21"/>
  <c r="F19" i="21"/>
  <c r="F18" i="21"/>
  <c r="F17" i="21"/>
  <c r="F13" i="21"/>
  <c r="F12" i="21"/>
  <c r="F11" i="21"/>
  <c r="F10" i="21"/>
  <c r="F9" i="21"/>
  <c r="D168" i="20"/>
  <c r="D167" i="20"/>
  <c r="F165" i="20"/>
  <c r="F164" i="20"/>
  <c r="F163" i="20"/>
  <c r="F162" i="20"/>
  <c r="F161" i="20"/>
  <c r="F157" i="20"/>
  <c r="F156" i="20"/>
  <c r="F155" i="20"/>
  <c r="F154" i="20"/>
  <c r="F153" i="20"/>
  <c r="F149" i="20"/>
  <c r="F148" i="20"/>
  <c r="F147" i="20"/>
  <c r="F146" i="20"/>
  <c r="F145" i="20"/>
  <c r="F141" i="20"/>
  <c r="F140" i="20"/>
  <c r="F139" i="20"/>
  <c r="F138" i="20"/>
  <c r="F137" i="20"/>
  <c r="F133" i="20"/>
  <c r="F132" i="20"/>
  <c r="F131" i="20"/>
  <c r="F130" i="20"/>
  <c r="F129" i="20"/>
  <c r="F121" i="20"/>
  <c r="F117" i="20"/>
  <c r="F116" i="20"/>
  <c r="F115" i="20"/>
  <c r="F114" i="20"/>
  <c r="F113" i="20"/>
  <c r="F109" i="20"/>
  <c r="F108" i="20"/>
  <c r="F107" i="20"/>
  <c r="F106" i="20"/>
  <c r="F105" i="20"/>
  <c r="F101" i="20"/>
  <c r="F100" i="20"/>
  <c r="F99" i="20"/>
  <c r="F98" i="20"/>
  <c r="F97" i="20"/>
  <c r="F93" i="20"/>
  <c r="F92" i="20"/>
  <c r="F91" i="20"/>
  <c r="F90" i="20"/>
  <c r="F89" i="20"/>
  <c r="F85" i="20"/>
  <c r="F84" i="20"/>
  <c r="F83" i="20"/>
  <c r="F82" i="20"/>
  <c r="F81" i="20"/>
  <c r="F77" i="20"/>
  <c r="F76" i="20"/>
  <c r="F75" i="20"/>
  <c r="F74" i="20"/>
  <c r="F73" i="20"/>
  <c r="F69" i="20"/>
  <c r="F68" i="20"/>
  <c r="F67" i="20"/>
  <c r="F66" i="20"/>
  <c r="F65" i="20"/>
  <c r="F61" i="20"/>
  <c r="F60" i="20"/>
  <c r="F59" i="20"/>
  <c r="F58" i="20"/>
  <c r="F57" i="20"/>
  <c r="F53" i="20"/>
  <c r="F52" i="20"/>
  <c r="F51" i="20"/>
  <c r="F50" i="20"/>
  <c r="F49" i="20"/>
  <c r="F45" i="20"/>
  <c r="F44" i="20"/>
  <c r="F43" i="20"/>
  <c r="F42" i="20"/>
  <c r="F41" i="20"/>
  <c r="F37" i="20"/>
  <c r="F36" i="20"/>
  <c r="F35" i="20"/>
  <c r="F34" i="20"/>
  <c r="F33" i="20"/>
  <c r="F29" i="20"/>
  <c r="F28" i="20"/>
  <c r="F27" i="20"/>
  <c r="F26" i="20"/>
  <c r="F25" i="20"/>
  <c r="F21" i="20"/>
  <c r="F20" i="20"/>
  <c r="F19" i="20"/>
  <c r="F18" i="20"/>
  <c r="F17" i="20"/>
  <c r="F13" i="20"/>
  <c r="F12" i="20"/>
  <c r="F11" i="20"/>
  <c r="F10" i="20"/>
  <c r="F9" i="20"/>
  <c r="D135" i="19"/>
  <c r="F133" i="19"/>
  <c r="F132" i="19"/>
  <c r="F130" i="19"/>
  <c r="F129" i="19"/>
  <c r="F125" i="19"/>
  <c r="F124" i="19"/>
  <c r="F123" i="19"/>
  <c r="F122" i="19"/>
  <c r="F121" i="19"/>
  <c r="F117" i="19"/>
  <c r="F116" i="19"/>
  <c r="F115" i="19"/>
  <c r="F114" i="19"/>
  <c r="F113" i="19"/>
  <c r="F109" i="19"/>
  <c r="F108" i="19"/>
  <c r="F107" i="19"/>
  <c r="F106" i="19"/>
  <c r="F105" i="19"/>
  <c r="F101" i="19"/>
  <c r="F100" i="19"/>
  <c r="F99" i="19"/>
  <c r="F98" i="19"/>
  <c r="F97" i="19"/>
  <c r="F93" i="19"/>
  <c r="F92" i="19"/>
  <c r="F91" i="19"/>
  <c r="F90" i="19"/>
  <c r="F89" i="19"/>
  <c r="F85" i="19"/>
  <c r="F84" i="19"/>
  <c r="F83" i="19"/>
  <c r="F82" i="19"/>
  <c r="F81" i="19"/>
  <c r="F77" i="19"/>
  <c r="F76" i="19"/>
  <c r="F75" i="19"/>
  <c r="F74" i="19"/>
  <c r="F73" i="19"/>
  <c r="F69" i="19"/>
  <c r="F68" i="19"/>
  <c r="F67" i="19"/>
  <c r="F66" i="19"/>
  <c r="F65" i="19"/>
  <c r="F61" i="19"/>
  <c r="F60" i="19"/>
  <c r="F59" i="19"/>
  <c r="F58" i="19"/>
  <c r="F57" i="19"/>
  <c r="F53" i="19"/>
  <c r="F52" i="19"/>
  <c r="F51" i="19"/>
  <c r="F50" i="19"/>
  <c r="F49" i="19"/>
  <c r="F45" i="19"/>
  <c r="F44" i="19"/>
  <c r="F43" i="19"/>
  <c r="F42" i="19"/>
  <c r="F41" i="19"/>
  <c r="F37" i="19"/>
  <c r="F36" i="19"/>
  <c r="F35" i="19"/>
  <c r="F34" i="19"/>
  <c r="F33" i="19"/>
  <c r="F29" i="19"/>
  <c r="F28" i="19"/>
  <c r="F27" i="19"/>
  <c r="F26" i="19"/>
  <c r="F25" i="19"/>
  <c r="F21" i="19"/>
  <c r="F20" i="19"/>
  <c r="F19" i="19"/>
  <c r="F18" i="19"/>
  <c r="F17" i="19"/>
  <c r="F13" i="19"/>
  <c r="F12" i="19"/>
  <c r="F11" i="19"/>
  <c r="F10" i="19"/>
  <c r="F9" i="19"/>
  <c r="E13" i="4"/>
  <c r="E12" i="4"/>
  <c r="E11" i="4"/>
  <c r="E10" i="4"/>
  <c r="E9" i="4"/>
  <c r="E8" i="4"/>
  <c r="E7" i="4"/>
  <c r="G64" i="27"/>
  <c r="F64" i="27"/>
  <c r="E64" i="27"/>
  <c r="D64" i="27"/>
  <c r="G63" i="27"/>
  <c r="F63" i="27"/>
  <c r="E63" i="27"/>
  <c r="D63" i="27"/>
  <c r="G62" i="27"/>
  <c r="F62" i="27"/>
  <c r="E62" i="27"/>
  <c r="G176" i="12"/>
  <c r="F176" i="12"/>
  <c r="E176" i="12"/>
  <c r="D176" i="12"/>
  <c r="G175" i="12"/>
  <c r="F175" i="12"/>
  <c r="E175" i="12"/>
  <c r="G174" i="12"/>
  <c r="F174" i="12"/>
  <c r="D55" i="12"/>
  <c r="D175" i="12" s="1"/>
  <c r="G136" i="26"/>
  <c r="E136" i="26"/>
  <c r="D136" i="26"/>
  <c r="G135" i="26"/>
  <c r="E135" i="26"/>
  <c r="D135" i="26"/>
  <c r="G134" i="26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D16" i="2"/>
  <c r="C16" i="2"/>
  <c r="F15" i="2"/>
  <c r="E15" i="2"/>
  <c r="D15" i="2"/>
  <c r="C15" i="2"/>
  <c r="J62" i="16"/>
  <c r="J61" i="16"/>
  <c r="J60" i="16"/>
  <c r="J59" i="16"/>
  <c r="J58" i="16"/>
  <c r="J57" i="16"/>
  <c r="J56" i="16"/>
  <c r="J54" i="16"/>
  <c r="J53" i="16"/>
  <c r="J52" i="16"/>
  <c r="J51" i="16"/>
  <c r="J50" i="16"/>
  <c r="J49" i="16"/>
  <c r="J48" i="16"/>
  <c r="J46" i="16"/>
  <c r="J45" i="16"/>
  <c r="J44" i="16"/>
  <c r="J43" i="16"/>
  <c r="J41" i="16"/>
  <c r="J40" i="16"/>
  <c r="J38" i="16"/>
  <c r="J37" i="16"/>
  <c r="J36" i="16"/>
  <c r="J35" i="16"/>
  <c r="J34" i="16"/>
  <c r="J33" i="16"/>
  <c r="J32" i="16"/>
  <c r="J30" i="16"/>
  <c r="J29" i="16"/>
  <c r="J28" i="16"/>
  <c r="J27" i="16"/>
  <c r="J26" i="16"/>
  <c r="J25" i="16"/>
  <c r="J24" i="16"/>
  <c r="J22" i="16"/>
  <c r="J21" i="16"/>
  <c r="J20" i="16"/>
  <c r="J19" i="16"/>
  <c r="J17" i="16"/>
  <c r="J16" i="16"/>
  <c r="J14" i="16"/>
  <c r="J13" i="16"/>
  <c r="J12" i="16"/>
  <c r="J11" i="16"/>
  <c r="J9" i="16"/>
  <c r="J8" i="16"/>
  <c r="F169" i="17"/>
  <c r="F168" i="17"/>
  <c r="F167" i="17"/>
  <c r="L157" i="17"/>
  <c r="L156" i="17"/>
  <c r="L155" i="17"/>
  <c r="L154" i="17"/>
  <c r="M154" i="17" s="1"/>
  <c r="L153" i="17"/>
  <c r="M153" i="17" s="1"/>
  <c r="L152" i="17"/>
  <c r="M152" i="17" s="1"/>
  <c r="L151" i="17"/>
  <c r="M151" i="17" s="1"/>
  <c r="L150" i="17"/>
  <c r="M150" i="17" s="1"/>
  <c r="L149" i="17"/>
  <c r="M149" i="17" s="1"/>
  <c r="L148" i="17"/>
  <c r="M148" i="17" s="1"/>
  <c r="M147" i="17"/>
  <c r="L146" i="17"/>
  <c r="M146" i="17" s="1"/>
  <c r="L145" i="17"/>
  <c r="M145" i="17" s="1"/>
  <c r="L144" i="17"/>
  <c r="M144" i="17" s="1"/>
  <c r="L143" i="17"/>
  <c r="M143" i="17" s="1"/>
  <c r="L142" i="17"/>
  <c r="M142" i="17" s="1"/>
  <c r="L141" i="17"/>
  <c r="M141" i="17" s="1"/>
  <c r="L140" i="17"/>
  <c r="M140" i="17" s="1"/>
  <c r="M139" i="17"/>
  <c r="L138" i="17"/>
  <c r="M138" i="17" s="1"/>
  <c r="L137" i="17"/>
  <c r="M137" i="17" s="1"/>
  <c r="L136" i="17"/>
  <c r="M136" i="17" s="1"/>
  <c r="L135" i="17"/>
  <c r="M135" i="17" s="1"/>
  <c r="L134" i="17"/>
  <c r="M134" i="17" s="1"/>
  <c r="L133" i="17"/>
  <c r="M133" i="17" s="1"/>
  <c r="L132" i="17"/>
  <c r="M132" i="17" s="1"/>
  <c r="M131" i="17"/>
  <c r="L130" i="17"/>
  <c r="M130" i="17" s="1"/>
  <c r="L129" i="17"/>
  <c r="M129" i="17" s="1"/>
  <c r="L128" i="17"/>
  <c r="M128" i="17" s="1"/>
  <c r="L127" i="17"/>
  <c r="M127" i="17" s="1"/>
  <c r="L126" i="17"/>
  <c r="M126" i="17" s="1"/>
  <c r="L125" i="17"/>
  <c r="M125" i="17" s="1"/>
  <c r="L124" i="17"/>
  <c r="M124" i="17" s="1"/>
  <c r="L122" i="17"/>
  <c r="L121" i="17"/>
  <c r="L120" i="17"/>
  <c r="L119" i="17"/>
  <c r="L118" i="17"/>
  <c r="M118" i="17" s="1"/>
  <c r="L117" i="17"/>
  <c r="M117" i="17" s="1"/>
  <c r="L116" i="17"/>
  <c r="M116" i="17" s="1"/>
  <c r="M115" i="17"/>
  <c r="L114" i="17"/>
  <c r="M114" i="17" s="1"/>
  <c r="L113" i="17"/>
  <c r="M113" i="17" s="1"/>
  <c r="L112" i="17"/>
  <c r="M112" i="17" s="1"/>
  <c r="L111" i="17"/>
  <c r="M111" i="17" s="1"/>
  <c r="L110" i="17"/>
  <c r="M110" i="17" s="1"/>
  <c r="L109" i="17"/>
  <c r="M109" i="17" s="1"/>
  <c r="L108" i="17"/>
  <c r="M108" i="17" s="1"/>
  <c r="M107" i="17"/>
  <c r="L106" i="17"/>
  <c r="M106" i="17" s="1"/>
  <c r="L105" i="17"/>
  <c r="M105" i="17" s="1"/>
  <c r="L104" i="17"/>
  <c r="M104" i="17" s="1"/>
  <c r="L103" i="17"/>
  <c r="M103" i="17" s="1"/>
  <c r="L102" i="17"/>
  <c r="M102" i="17" s="1"/>
  <c r="L101" i="17"/>
  <c r="M101" i="17" s="1"/>
  <c r="L100" i="17"/>
  <c r="M100" i="17" s="1"/>
  <c r="M99" i="17"/>
  <c r="L98" i="17"/>
  <c r="M98" i="17" s="1"/>
  <c r="L97" i="17"/>
  <c r="M97" i="17" s="1"/>
  <c r="L96" i="17"/>
  <c r="M96" i="17" s="1"/>
  <c r="L95" i="17"/>
  <c r="M95" i="17" s="1"/>
  <c r="L94" i="17"/>
  <c r="M94" i="17" s="1"/>
  <c r="L93" i="17"/>
  <c r="M93" i="17" s="1"/>
  <c r="L92" i="17"/>
  <c r="M92" i="17" s="1"/>
  <c r="M91" i="17"/>
  <c r="L90" i="17"/>
  <c r="L89" i="17"/>
  <c r="L88" i="17"/>
  <c r="L87" i="17"/>
  <c r="L86" i="17"/>
  <c r="L85" i="17"/>
  <c r="L84" i="17"/>
  <c r="L82" i="17"/>
  <c r="M82" i="17" s="1"/>
  <c r="L81" i="17"/>
  <c r="M81" i="17" s="1"/>
  <c r="L80" i="17"/>
  <c r="M80" i="17" s="1"/>
  <c r="L79" i="17"/>
  <c r="M79" i="17" s="1"/>
  <c r="L78" i="17"/>
  <c r="M78" i="17" s="1"/>
  <c r="L77" i="17"/>
  <c r="M77" i="17" s="1"/>
  <c r="L76" i="17"/>
  <c r="M76" i="17" s="1"/>
  <c r="M75" i="17"/>
  <c r="L74" i="17"/>
  <c r="M74" i="17" s="1"/>
  <c r="L73" i="17"/>
  <c r="M73" i="17" s="1"/>
  <c r="L72" i="17"/>
  <c r="M72" i="17" s="1"/>
  <c r="L71" i="17"/>
  <c r="M71" i="17" s="1"/>
  <c r="L70" i="17"/>
  <c r="M70" i="17" s="1"/>
  <c r="L69" i="17"/>
  <c r="M69" i="17" s="1"/>
  <c r="L68" i="17"/>
  <c r="M68" i="17" s="1"/>
  <c r="M67" i="17"/>
  <c r="L66" i="17"/>
  <c r="M66" i="17" s="1"/>
  <c r="L65" i="17"/>
  <c r="M65" i="17" s="1"/>
  <c r="L64" i="17"/>
  <c r="M64" i="17" s="1"/>
  <c r="L63" i="17"/>
  <c r="M63" i="17" s="1"/>
  <c r="L62" i="17"/>
  <c r="M62" i="17" s="1"/>
  <c r="L61" i="17"/>
  <c r="M61" i="17" s="1"/>
  <c r="L60" i="17"/>
  <c r="M60" i="17" s="1"/>
  <c r="M59" i="17"/>
  <c r="L58" i="17"/>
  <c r="M58" i="17" s="1"/>
  <c r="E58" i="17"/>
  <c r="L57" i="17"/>
  <c r="M57" i="17" s="1"/>
  <c r="E57" i="17"/>
  <c r="L56" i="17"/>
  <c r="M56" i="17" s="1"/>
  <c r="E56" i="17"/>
  <c r="L55" i="17"/>
  <c r="M55" i="17" s="1"/>
  <c r="E55" i="17"/>
  <c r="L54" i="17"/>
  <c r="M54" i="17" s="1"/>
  <c r="L53" i="17"/>
  <c r="M53" i="17" s="1"/>
  <c r="L52" i="17"/>
  <c r="M52" i="17" s="1"/>
  <c r="L50" i="17"/>
  <c r="M50" i="17" s="1"/>
  <c r="L49" i="17"/>
  <c r="M49" i="17" s="1"/>
  <c r="L48" i="17"/>
  <c r="M48" i="17" s="1"/>
  <c r="L47" i="17"/>
  <c r="M47" i="17" s="1"/>
  <c r="L46" i="17"/>
  <c r="M46" i="17" s="1"/>
  <c r="L45" i="17"/>
  <c r="M45" i="17" s="1"/>
  <c r="L44" i="17"/>
  <c r="M44" i="17" s="1"/>
  <c r="M43" i="17"/>
  <c r="L42" i="17"/>
  <c r="M42" i="17" s="1"/>
  <c r="L41" i="17"/>
  <c r="M41" i="17" s="1"/>
  <c r="L40" i="17"/>
  <c r="M40" i="17" s="1"/>
  <c r="L39" i="17"/>
  <c r="M39" i="17" s="1"/>
  <c r="L38" i="17"/>
  <c r="M38" i="17" s="1"/>
  <c r="L37" i="17"/>
  <c r="M37" i="17" s="1"/>
  <c r="L36" i="17"/>
  <c r="M36" i="17" s="1"/>
  <c r="M35" i="17"/>
  <c r="L34" i="17"/>
  <c r="M34" i="17" s="1"/>
  <c r="L33" i="17"/>
  <c r="M33" i="17" s="1"/>
  <c r="L32" i="17"/>
  <c r="M32" i="17" s="1"/>
  <c r="L31" i="17"/>
  <c r="M31" i="17" s="1"/>
  <c r="L30" i="17"/>
  <c r="M30" i="17" s="1"/>
  <c r="L29" i="17"/>
  <c r="M29" i="17" s="1"/>
  <c r="L28" i="17"/>
  <c r="M28" i="17" s="1"/>
  <c r="M27" i="17"/>
  <c r="L23" i="17"/>
  <c r="M23" i="17" s="1"/>
  <c r="L22" i="17"/>
  <c r="M22" i="17" s="1"/>
  <c r="L21" i="17"/>
  <c r="M21" i="17" s="1"/>
  <c r="L20" i="17"/>
  <c r="M20" i="17" s="1"/>
  <c r="M19" i="17"/>
  <c r="L18" i="17"/>
  <c r="M18" i="17" s="1"/>
  <c r="L17" i="17"/>
  <c r="M17" i="17" s="1"/>
  <c r="L16" i="17"/>
  <c r="M16" i="17" s="1"/>
  <c r="M15" i="17"/>
  <c r="L14" i="17"/>
  <c r="M14" i="17" s="1"/>
  <c r="L13" i="17"/>
  <c r="M13" i="17" s="1"/>
  <c r="L12" i="17"/>
  <c r="M12" i="17" s="1"/>
  <c r="L11" i="17"/>
  <c r="M11" i="17" s="1"/>
  <c r="L10" i="17"/>
  <c r="M10" i="17" s="1"/>
  <c r="L9" i="17"/>
  <c r="L8" i="17"/>
  <c r="M7" i="17"/>
  <c r="L134" i="32"/>
  <c r="M134" i="32" s="1"/>
  <c r="L133" i="32"/>
  <c r="M133" i="32" s="1"/>
  <c r="L132" i="32"/>
  <c r="M132" i="32" s="1"/>
  <c r="L131" i="32"/>
  <c r="M131" i="32" s="1"/>
  <c r="L129" i="32"/>
  <c r="L128" i="32"/>
  <c r="M127" i="32"/>
  <c r="L126" i="32"/>
  <c r="M126" i="32" s="1"/>
  <c r="L125" i="32"/>
  <c r="M125" i="32" s="1"/>
  <c r="L124" i="32"/>
  <c r="M124" i="32" s="1"/>
  <c r="L123" i="32"/>
  <c r="M123" i="32" s="1"/>
  <c r="L121" i="32"/>
  <c r="L120" i="32"/>
  <c r="M119" i="32"/>
  <c r="L118" i="32"/>
  <c r="M118" i="32" s="1"/>
  <c r="L117" i="32"/>
  <c r="M117" i="32" s="1"/>
  <c r="L116" i="32"/>
  <c r="M116" i="32" s="1"/>
  <c r="L115" i="32"/>
  <c r="M115" i="32" s="1"/>
  <c r="L113" i="32"/>
  <c r="L112" i="32"/>
  <c r="M111" i="32"/>
  <c r="L110" i="32"/>
  <c r="M110" i="32" s="1"/>
  <c r="L109" i="32"/>
  <c r="M109" i="32" s="1"/>
  <c r="L108" i="32"/>
  <c r="M108" i="32" s="1"/>
  <c r="L107" i="32"/>
  <c r="M107" i="32" s="1"/>
  <c r="L105" i="32"/>
  <c r="L104" i="32"/>
  <c r="M103" i="32"/>
  <c r="L102" i="32"/>
  <c r="M102" i="32" s="1"/>
  <c r="L101" i="32"/>
  <c r="M101" i="32" s="1"/>
  <c r="L100" i="32"/>
  <c r="M100" i="32" s="1"/>
  <c r="L99" i="32"/>
  <c r="M99" i="32" s="1"/>
  <c r="L97" i="32"/>
  <c r="L96" i="32"/>
  <c r="M95" i="32"/>
  <c r="L94" i="32"/>
  <c r="M94" i="32" s="1"/>
  <c r="L93" i="32"/>
  <c r="M93" i="32" s="1"/>
  <c r="L92" i="32"/>
  <c r="M92" i="32" s="1"/>
  <c r="L91" i="32"/>
  <c r="M91" i="32" s="1"/>
  <c r="L89" i="32"/>
  <c r="L88" i="32"/>
  <c r="M87" i="32"/>
  <c r="L86" i="32"/>
  <c r="M86" i="32" s="1"/>
  <c r="L85" i="32"/>
  <c r="M85" i="32" s="1"/>
  <c r="L84" i="32"/>
  <c r="M84" i="32" s="1"/>
  <c r="L83" i="32"/>
  <c r="M83" i="32" s="1"/>
  <c r="L81" i="32"/>
  <c r="L80" i="32"/>
  <c r="M79" i="32"/>
  <c r="L78" i="32"/>
  <c r="M78" i="32" s="1"/>
  <c r="L77" i="32"/>
  <c r="M77" i="32" s="1"/>
  <c r="L76" i="32"/>
  <c r="M76" i="32" s="1"/>
  <c r="L75" i="32"/>
  <c r="M75" i="32" s="1"/>
  <c r="L73" i="32"/>
  <c r="L72" i="32"/>
  <c r="M71" i="32"/>
  <c r="L70" i="32"/>
  <c r="M70" i="32" s="1"/>
  <c r="L69" i="32"/>
  <c r="M69" i="32" s="1"/>
  <c r="L68" i="32"/>
  <c r="M68" i="32" s="1"/>
  <c r="L67" i="32"/>
  <c r="M67" i="32" s="1"/>
  <c r="L65" i="32"/>
  <c r="L64" i="32"/>
  <c r="M63" i="32"/>
  <c r="L62" i="32"/>
  <c r="M62" i="32" s="1"/>
  <c r="L61" i="32"/>
  <c r="M61" i="32" s="1"/>
  <c r="L60" i="32"/>
  <c r="M60" i="32" s="1"/>
  <c r="L59" i="32"/>
  <c r="M59" i="32" s="1"/>
  <c r="L57" i="32"/>
  <c r="L56" i="32"/>
  <c r="M55" i="32"/>
  <c r="L54" i="32"/>
  <c r="M54" i="32" s="1"/>
  <c r="L53" i="32"/>
  <c r="M53" i="32" s="1"/>
  <c r="L52" i="32"/>
  <c r="M52" i="32" s="1"/>
  <c r="L51" i="32"/>
  <c r="M51" i="32" s="1"/>
  <c r="L49" i="32"/>
  <c r="L48" i="32"/>
  <c r="M47" i="32"/>
  <c r="L46" i="32"/>
  <c r="M46" i="32" s="1"/>
  <c r="L45" i="32"/>
  <c r="M45" i="32" s="1"/>
  <c r="L44" i="32"/>
  <c r="M44" i="32" s="1"/>
  <c r="L43" i="32"/>
  <c r="M43" i="32" s="1"/>
  <c r="L41" i="32"/>
  <c r="M41" i="32" s="1"/>
  <c r="L40" i="32"/>
  <c r="M40" i="32" s="1"/>
  <c r="M39" i="32"/>
  <c r="L38" i="32"/>
  <c r="M38" i="32" s="1"/>
  <c r="L37" i="32"/>
  <c r="M37" i="32" s="1"/>
  <c r="L36" i="32"/>
  <c r="M36" i="32" s="1"/>
  <c r="L35" i="32"/>
  <c r="M35" i="32" s="1"/>
  <c r="L34" i="32"/>
  <c r="M34" i="32" s="1"/>
  <c r="L33" i="32"/>
  <c r="M33" i="32" s="1"/>
  <c r="L32" i="32"/>
  <c r="M32" i="32" s="1"/>
  <c r="M31" i="32"/>
  <c r="L30" i="32"/>
  <c r="M30" i="32" s="1"/>
  <c r="L29" i="32"/>
  <c r="M29" i="32" s="1"/>
  <c r="L28" i="32"/>
  <c r="M28" i="32" s="1"/>
  <c r="L27" i="32"/>
  <c r="M27" i="32" s="1"/>
  <c r="L26" i="32"/>
  <c r="M26" i="32" s="1"/>
  <c r="L25" i="32"/>
  <c r="L24" i="32"/>
  <c r="M24" i="32" s="1"/>
  <c r="M23" i="32"/>
  <c r="L22" i="32"/>
  <c r="M22" i="32" s="1"/>
  <c r="E22" i="32"/>
  <c r="L21" i="32"/>
  <c r="M21" i="32" s="1"/>
  <c r="E21" i="32"/>
  <c r="L20" i="32"/>
  <c r="M20" i="32" s="1"/>
  <c r="E20" i="32"/>
  <c r="L19" i="32"/>
  <c r="M19" i="32" s="1"/>
  <c r="E19" i="32"/>
  <c r="L18" i="32"/>
  <c r="M18" i="32" s="1"/>
  <c r="L17" i="32"/>
  <c r="M17" i="32" s="1"/>
  <c r="L16" i="32"/>
  <c r="M16" i="32" s="1"/>
  <c r="M15" i="32"/>
  <c r="L14" i="32"/>
  <c r="M14" i="32" s="1"/>
  <c r="L13" i="32"/>
  <c r="F13" i="32"/>
  <c r="L12" i="32"/>
  <c r="M12" i="32" s="1"/>
  <c r="L11" i="32"/>
  <c r="M11" i="32" s="1"/>
  <c r="L10" i="32"/>
  <c r="M10" i="32" s="1"/>
  <c r="L9" i="32"/>
  <c r="M9" i="32" s="1"/>
  <c r="M8" i="32"/>
  <c r="I22" i="28"/>
  <c r="H22" i="28"/>
  <c r="G22" i="28"/>
  <c r="F22" i="28"/>
  <c r="E22" i="28"/>
  <c r="D22" i="28"/>
  <c r="C22" i="28"/>
  <c r="I21" i="28"/>
  <c r="H21" i="28"/>
  <c r="G21" i="28"/>
  <c r="F21" i="28"/>
  <c r="E21" i="28"/>
  <c r="D21" i="28"/>
  <c r="C21" i="28"/>
  <c r="I20" i="28"/>
  <c r="H20" i="28"/>
  <c r="G20" i="28"/>
  <c r="F20" i="28"/>
  <c r="E20" i="28"/>
  <c r="D20" i="28"/>
  <c r="C20" i="28"/>
  <c r="I19" i="28"/>
  <c r="H19" i="28"/>
  <c r="G19" i="28"/>
  <c r="F19" i="28"/>
  <c r="E19" i="28"/>
  <c r="D19" i="28"/>
  <c r="C19" i="28"/>
  <c r="I18" i="28"/>
  <c r="H18" i="28"/>
  <c r="F18" i="28"/>
  <c r="E18" i="28"/>
  <c r="D18" i="28"/>
  <c r="C18" i="28"/>
  <c r="I17" i="28"/>
  <c r="H17" i="28"/>
  <c r="F17" i="28"/>
  <c r="E17" i="28"/>
  <c r="D17" i="28"/>
  <c r="C17" i="28"/>
  <c r="G16" i="28"/>
  <c r="F16" i="28"/>
  <c r="E16" i="28"/>
  <c r="D16" i="28"/>
  <c r="C16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I10" i="28"/>
  <c r="H10" i="28"/>
  <c r="G10" i="28"/>
  <c r="I9" i="28"/>
  <c r="H9" i="28"/>
  <c r="G9" i="28"/>
  <c r="I8" i="28"/>
  <c r="H8" i="28"/>
  <c r="G8" i="28"/>
  <c r="I16" i="28"/>
  <c r="H7" i="28"/>
  <c r="H16" i="28" s="1"/>
  <c r="G7" i="28"/>
  <c r="F22" i="18"/>
  <c r="E22" i="18"/>
  <c r="D22" i="18"/>
  <c r="C22" i="18"/>
  <c r="F21" i="18"/>
  <c r="E21" i="18"/>
  <c r="D21" i="18"/>
  <c r="F20" i="18"/>
  <c r="E20" i="18"/>
  <c r="D20" i="18"/>
  <c r="F19" i="18"/>
  <c r="E19" i="18"/>
  <c r="D19" i="18"/>
  <c r="F18" i="18"/>
  <c r="E18" i="18"/>
  <c r="D18" i="18"/>
  <c r="F17" i="18"/>
  <c r="E17" i="18"/>
  <c r="D17" i="18"/>
  <c r="F14" i="18"/>
  <c r="F13" i="18"/>
  <c r="F12" i="18"/>
  <c r="F11" i="18"/>
  <c r="F10" i="18"/>
  <c r="F9" i="18"/>
  <c r="F8" i="18"/>
  <c r="F7" i="18"/>
  <c r="H22" i="14"/>
  <c r="G22" i="14"/>
  <c r="F22" i="14"/>
  <c r="E22" i="14"/>
  <c r="D22" i="14"/>
  <c r="C22" i="14"/>
  <c r="H21" i="14"/>
  <c r="G21" i="14"/>
  <c r="F21" i="14"/>
  <c r="E21" i="14"/>
  <c r="D21" i="14"/>
  <c r="C21" i="14"/>
  <c r="H20" i="14"/>
  <c r="G20" i="14"/>
  <c r="F20" i="14"/>
  <c r="E20" i="14"/>
  <c r="D20" i="14"/>
  <c r="C20" i="14"/>
  <c r="H19" i="14"/>
  <c r="G19" i="14"/>
  <c r="F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F16" i="14"/>
  <c r="E16" i="14"/>
  <c r="D16" i="14"/>
  <c r="C16" i="14"/>
  <c r="H14" i="14"/>
  <c r="H13" i="14"/>
  <c r="H12" i="14"/>
  <c r="H11" i="14"/>
  <c r="H10" i="14"/>
  <c r="H9" i="14"/>
  <c r="H8" i="14"/>
  <c r="H16" i="14"/>
  <c r="E13" i="42"/>
  <c r="E12" i="42"/>
  <c r="E11" i="42"/>
  <c r="E10" i="42"/>
  <c r="E9" i="42"/>
  <c r="E8" i="42"/>
  <c r="E7" i="42"/>
  <c r="E6" i="42"/>
  <c r="E20" i="5" l="1"/>
  <c r="E16" i="8"/>
  <c r="E19" i="5"/>
  <c r="E15" i="9"/>
  <c r="E16" i="9"/>
  <c r="G17" i="28"/>
  <c r="G18" i="28"/>
  <c r="E17" i="5"/>
  <c r="E21" i="5"/>
  <c r="M155" i="17"/>
  <c r="D166" i="20"/>
  <c r="K24" i="16"/>
  <c r="J66" i="16"/>
  <c r="K11" i="16" s="1"/>
  <c r="K33" i="16"/>
  <c r="M51" i="17"/>
  <c r="M8" i="17"/>
  <c r="M9" i="17"/>
  <c r="M13" i="32"/>
  <c r="M25" i="32"/>
  <c r="M7" i="32"/>
  <c r="K8" i="16" l="1"/>
  <c r="K9" i="16"/>
  <c r="K49" i="16"/>
  <c r="K48" i="16"/>
  <c r="K16" i="16"/>
  <c r="K25" i="16"/>
  <c r="K40" i="16"/>
  <c r="K32" i="16"/>
  <c r="K56" i="16"/>
  <c r="K17" i="16"/>
  <c r="K41" i="16"/>
  <c r="K57" i="16"/>
  <c r="K31" i="16"/>
  <c r="K47" i="16"/>
  <c r="K39" i="16"/>
  <c r="K15" i="16"/>
  <c r="K55" i="16"/>
  <c r="K23" i="16"/>
  <c r="K7" i="16"/>
  <c r="D17" i="33" l="1"/>
  <c r="E8" i="33"/>
  <c r="E17" i="33" s="1"/>
  <c r="D16" i="33"/>
  <c r="E7" i="33"/>
  <c r="E16" i="33" l="1"/>
  <c r="E15" i="33"/>
</calcChain>
</file>

<file path=xl/sharedStrings.xml><?xml version="1.0" encoding="utf-8"?>
<sst xmlns="http://schemas.openxmlformats.org/spreadsheetml/2006/main" count="659" uniqueCount="211">
  <si>
    <t>(Campo 38)</t>
  </si>
  <si>
    <t>(Campo 39)</t>
  </si>
  <si>
    <t>Ano</t>
  </si>
  <si>
    <t>(Campo 40)</t>
  </si>
  <si>
    <t>(Campo 41)</t>
  </si>
  <si>
    <t>Pedido de reembolso</t>
  </si>
  <si>
    <t>REGC</t>
  </si>
  <si>
    <t>Praia</t>
  </si>
  <si>
    <t>São Vicente</t>
  </si>
  <si>
    <t>Sal</t>
  </si>
  <si>
    <t>Boavista</t>
  </si>
  <si>
    <t>Santa Catarina</t>
  </si>
  <si>
    <t>Ribeira Grande</t>
  </si>
  <si>
    <t>São Filipe</t>
  </si>
  <si>
    <t>São Nicolau</t>
  </si>
  <si>
    <t>Porto Novo</t>
  </si>
  <si>
    <t>Tarrafal</t>
  </si>
  <si>
    <t>Paul</t>
  </si>
  <si>
    <t>Santa Cruz</t>
  </si>
  <si>
    <t>Maio</t>
  </si>
  <si>
    <t>Mosteiros</t>
  </si>
  <si>
    <t xml:space="preserve">Escalão de </t>
  </si>
  <si>
    <t>Volume de Negócios</t>
  </si>
  <si>
    <t>A - Agricultura, Produção Animal, Caça, Silvicultura e Pesca</t>
  </si>
  <si>
    <t>B - Industrias Extractivas</t>
  </si>
  <si>
    <t>C - Industria transformadoras</t>
  </si>
  <si>
    <t>D - Eletricidade, Gás, Vapor e Ar Condicionado</t>
  </si>
  <si>
    <t>E - Captação, Tratamento e Distribuição de Água, Saneamento, Gestão de Residuos e Despoluição</t>
  </si>
  <si>
    <t>F - Construção</t>
  </si>
  <si>
    <t>G - Comércio por Grosso e a Retalho; Reparação de Veículos Automóveis e Motociclos</t>
  </si>
  <si>
    <t>H - Transporte e Armazenagem</t>
  </si>
  <si>
    <t>I - Alojamento e Restauração (Restaurantes e Similares)</t>
  </si>
  <si>
    <t>J - Atividades de Informação e de Comunicação</t>
  </si>
  <si>
    <t>K - Atividades Financeiras e de Seguros</t>
  </si>
  <si>
    <t>L - Atividades Imobiliárias</t>
  </si>
  <si>
    <t>M - Actividades de Consultoria, Científicas, Técnicas e Similares</t>
  </si>
  <si>
    <t>N - Actividades Administrativas e dos Serviços de Apoio</t>
  </si>
  <si>
    <t>O - Administração Pública e Defesa; Segurança Social Obrigatória</t>
  </si>
  <si>
    <t>P - Educação</t>
  </si>
  <si>
    <t>Q - Saúde Humana e Ação Social</t>
  </si>
  <si>
    <t>R - Atividade Artística, de Espetáculos, Desportivas e Recreativas</t>
  </si>
  <si>
    <t>S - Outras Atividades de Serviços</t>
  </si>
  <si>
    <t>U - Atividades de Organismos Internacionais e Outras Instituições Extraterritorias</t>
  </si>
  <si>
    <t xml:space="preserve">Brava </t>
  </si>
  <si>
    <t xml:space="preserve">(Campo 38)  </t>
  </si>
  <si>
    <t>(a)</t>
  </si>
  <si>
    <t xml:space="preserve">Com Imposto a  favor do Estado </t>
  </si>
  <si>
    <t>(b)</t>
  </si>
  <si>
    <t>Com Imposto a  favor do Sujeito Passivo</t>
  </si>
  <si>
    <t>(c)</t>
  </si>
  <si>
    <t>(d)</t>
  </si>
  <si>
    <t xml:space="preserve">Com crédito a reportar </t>
  </si>
  <si>
    <t>Com pedido de reembolso</t>
  </si>
  <si>
    <t xml:space="preserve">Número de </t>
  </si>
  <si>
    <t>Com imposto Nulo</t>
  </si>
  <si>
    <t>declarações entregues</t>
  </si>
  <si>
    <t xml:space="preserve">Total  </t>
  </si>
  <si>
    <t>(e)</t>
  </si>
  <si>
    <t>(f)</t>
  </si>
  <si>
    <t>declarações em falta</t>
  </si>
  <si>
    <t>No prazo</t>
  </si>
  <si>
    <t>Fora do prazo</t>
  </si>
  <si>
    <t>Receita declarada</t>
  </si>
  <si>
    <t>Receita cobrada</t>
  </si>
  <si>
    <t>Substituição</t>
  </si>
  <si>
    <t>Total declarações entregues</t>
  </si>
  <si>
    <t xml:space="preserve">&gt; 200 </t>
  </si>
  <si>
    <t xml:space="preserve">&lt; 5 </t>
  </si>
  <si>
    <t xml:space="preserve">Imposto a  favor do Estado </t>
  </si>
  <si>
    <t xml:space="preserve">Imposto a  favor do Sujeito Passivo </t>
  </si>
  <si>
    <t>Rácio</t>
  </si>
  <si>
    <t>Consumo</t>
  </si>
  <si>
    <t>declarações esperadas</t>
  </si>
  <si>
    <t>(f) = (a) + (b) + (e)</t>
  </si>
  <si>
    <t>(d) = (a) + (b) + (c)</t>
  </si>
  <si>
    <t xml:space="preserve">Receita declarada </t>
  </si>
  <si>
    <t xml:space="preserve">Receita cobrada </t>
  </si>
  <si>
    <t>-</t>
  </si>
  <si>
    <t>Índice de cumprimento</t>
  </si>
  <si>
    <t>Número de</t>
  </si>
  <si>
    <t>Peso sobre</t>
  </si>
  <si>
    <t>Crédito a reportar</t>
  </si>
  <si>
    <t>(campo 39)</t>
  </si>
  <si>
    <t xml:space="preserve">Crédito a reportar </t>
  </si>
  <si>
    <t xml:space="preserve">Pedido de reembolso </t>
  </si>
  <si>
    <t xml:space="preserve">Imposto a favor do Estado </t>
  </si>
  <si>
    <t>E - Captação, Tratamento e Distribuição de Água, Saneamento…</t>
  </si>
  <si>
    <t>T - Atividades das Familias Empregadoras de Pessoal Doméstico…</t>
  </si>
  <si>
    <t>E - Captação, Tratamento e Distribuição de Água, Saneamento …</t>
  </si>
  <si>
    <t>PIB nominal</t>
  </si>
  <si>
    <t>Não definido</t>
  </si>
  <si>
    <t>NAD</t>
  </si>
  <si>
    <t>(e )</t>
  </si>
  <si>
    <t>(f) = (a) - (c)</t>
  </si>
  <si>
    <t>(g) = (b) - (e)</t>
  </si>
  <si>
    <t>Consumo privado</t>
  </si>
  <si>
    <t>contribuintes ativos</t>
  </si>
  <si>
    <t>Área Fiscal</t>
  </si>
  <si>
    <t>Área fiscal</t>
  </si>
  <si>
    <t>contribuintes declarantes</t>
  </si>
  <si>
    <t>volume de negócios</t>
  </si>
  <si>
    <t>Com imposto nulo</t>
  </si>
  <si>
    <t>Área  fiscal</t>
  </si>
  <si>
    <t>no  prazo</t>
  </si>
  <si>
    <t>Receita do IVA</t>
  </si>
  <si>
    <t>no prazo</t>
  </si>
  <si>
    <t>Escalão de volume de negócios</t>
  </si>
  <si>
    <t>Taxa média efetiva</t>
  </si>
  <si>
    <t>Escalão de volume negócios</t>
  </si>
  <si>
    <t>Volume de negócios</t>
  </si>
  <si>
    <t>Consumo publico</t>
  </si>
  <si>
    <t xml:space="preserve">VAT Productivity </t>
  </si>
  <si>
    <t xml:space="preserve">VAT Gross Compliance Ratio </t>
  </si>
  <si>
    <t xml:space="preserve">VAT Revenue Ratio </t>
  </si>
  <si>
    <t>contribuintes faltosos</t>
  </si>
  <si>
    <t>Contribuintes ativos</t>
  </si>
  <si>
    <t>Contribuintes declarantes</t>
  </si>
  <si>
    <t>Contribuintes faltosos</t>
  </si>
  <si>
    <t>A.0 - Número de contribuintes</t>
  </si>
  <si>
    <t>(c) = (a) - (b)</t>
  </si>
  <si>
    <t xml:space="preserve">[100  a 200[ </t>
  </si>
  <si>
    <t xml:space="preserve">[50 a 100[ </t>
  </si>
  <si>
    <t xml:space="preserve">[25  a 50[ </t>
  </si>
  <si>
    <t xml:space="preserve">[10  a 25[ </t>
  </si>
  <si>
    <t xml:space="preserve">[5  a 10[ </t>
  </si>
  <si>
    <t xml:space="preserve">[50  a 100[ </t>
  </si>
  <si>
    <t xml:space="preserve">[25 a 50[ </t>
  </si>
  <si>
    <t xml:space="preserve">[100 a 200[ </t>
  </si>
  <si>
    <t>[25 a 50[</t>
  </si>
  <si>
    <t>das obrigações declarativas</t>
  </si>
  <si>
    <t>(h)= (e ) / (b)</t>
  </si>
  <si>
    <t xml:space="preserve">das obrigações </t>
  </si>
  <si>
    <t>declarativas</t>
  </si>
  <si>
    <t>Secção de CAE</t>
  </si>
  <si>
    <t xml:space="preserve">Índice de cumprimento das </t>
  </si>
  <si>
    <t>obrigações de pagamento</t>
  </si>
  <si>
    <t>das obriagações de pagamento</t>
  </si>
  <si>
    <t>das obrigações de pagamento</t>
  </si>
  <si>
    <t xml:space="preserve">A.1 -  Número de declarações entregues </t>
  </si>
  <si>
    <t xml:space="preserve">A.2 - Número de declarações por tipo </t>
  </si>
  <si>
    <t>A.3 - Índice de cumprimento das obrigações declarativas</t>
  </si>
  <si>
    <t>A.3.1 - Índice de cumprimento das obrigações declarativas, por área fiscal</t>
  </si>
  <si>
    <t>A.3.2 - Índice de cumprimento das obrigações declarativas, por classificação económica</t>
  </si>
  <si>
    <t>A.5. Montante declarado por situação fiscal, em milhões de CVE</t>
  </si>
  <si>
    <t>A.5.1. Montante declarado por área fiscal, em milhões de CVE</t>
  </si>
  <si>
    <t>A.5.2. Montante declarado por classificação económica, em milhões de CVE</t>
  </si>
  <si>
    <t>A.5.3 - Montante declarado por escalão de volume de negócios, em milhões de CVE</t>
  </si>
  <si>
    <t>A.6 - Índice de cumprimento das obrigações de pagamento</t>
  </si>
  <si>
    <t>A.6.1 - Índice de cumprimento das obrigações de pagamento, por área fiscal</t>
  </si>
  <si>
    <t>A.6.2 - Índice de cumprimento das obrigações de pagamento, por classificação económica</t>
  </si>
  <si>
    <t>A.6.3. Índice de cumprimento das obrigações de pagamento, por escalão de volume de negócios</t>
  </si>
  <si>
    <t>A.7 -  Volume Negócios declarado por área fiscal, em milhões de CVE</t>
  </si>
  <si>
    <t>A.8 -  Volume Negócios declarado por classificação económica, em milhões de CVE</t>
  </si>
  <si>
    <t>A.9. Rácio Receita do IVA/PIB nominal</t>
  </si>
  <si>
    <t>A.10 -  Rácio Receita do IVA/Consumo</t>
  </si>
  <si>
    <t>A.11 -  Rácio Receita do IVA/Receitas fiscais</t>
  </si>
  <si>
    <t xml:space="preserve">A.12 - Rácio Reeembolso e restituição do IVA/Receita do IVA </t>
  </si>
  <si>
    <t xml:space="preserve">A.4- Peso das declarações entregues, por escalão de volume de negócios </t>
  </si>
  <si>
    <t xml:space="preserve"> </t>
  </si>
  <si>
    <t>A.9 - Rácio Receita do IVA/PIB nominal</t>
  </si>
  <si>
    <t>ÍNDICE_TABELA</t>
  </si>
  <si>
    <t xml:space="preserve">A.2 - Número de declarações, por tipo </t>
  </si>
  <si>
    <r>
      <t xml:space="preserve">Receita do IVA </t>
    </r>
    <r>
      <rPr>
        <b/>
        <sz val="9"/>
        <color theme="0"/>
        <rFont val="Source Sans Pro"/>
        <family val="2"/>
      </rPr>
      <t>(Em milhões de CVE)</t>
    </r>
  </si>
  <si>
    <r>
      <t xml:space="preserve">Consumo </t>
    </r>
    <r>
      <rPr>
        <b/>
        <sz val="9"/>
        <color theme="0"/>
        <rFont val="Source Sans Pro"/>
        <family val="2"/>
      </rPr>
      <t>(Em milhões de CVE)</t>
    </r>
  </si>
  <si>
    <r>
      <t>Receitas fiscais (</t>
    </r>
    <r>
      <rPr>
        <b/>
        <sz val="9"/>
        <color theme="0"/>
        <rFont val="Source Sans Pro"/>
        <family val="2"/>
      </rPr>
      <t>Em milhões de CVE)</t>
    </r>
  </si>
  <si>
    <r>
      <t>Reembolso do IVA</t>
    </r>
    <r>
      <rPr>
        <b/>
        <sz val="9"/>
        <color theme="0"/>
        <rFont val="Source Sans Pro"/>
        <family val="2"/>
      </rPr>
      <t xml:space="preserve"> (Em milhões de CVE)</t>
    </r>
  </si>
  <si>
    <r>
      <t>Receita do IVA (</t>
    </r>
    <r>
      <rPr>
        <b/>
        <sz val="9"/>
        <color theme="0"/>
        <rFont val="Source Sans Pro"/>
        <family val="2"/>
      </rPr>
      <t>Em milhões de CVE)</t>
    </r>
  </si>
  <si>
    <r>
      <t xml:space="preserve">Receita cessante </t>
    </r>
    <r>
      <rPr>
        <b/>
        <sz val="9"/>
        <color theme="0"/>
        <rFont val="Source Sans Pro"/>
        <family val="2"/>
      </rPr>
      <t>(Em milhões de CVE)</t>
    </r>
  </si>
  <si>
    <r>
      <t xml:space="preserve">PIB nominal </t>
    </r>
    <r>
      <rPr>
        <b/>
        <sz val="9"/>
        <color theme="0"/>
        <rFont val="Source Sans Pro"/>
        <family val="2"/>
      </rPr>
      <t>(Em milhões de CVE)</t>
    </r>
  </si>
  <si>
    <t>Em milhões de CVE</t>
  </si>
  <si>
    <r>
      <t>Fonte</t>
    </r>
    <r>
      <rPr>
        <sz val="9"/>
        <color theme="1"/>
        <rFont val="Source Sans Pro"/>
        <family val="2"/>
      </rPr>
      <t>: Tabelas GRE_MOD 106_MODELO e GRE_CONTROLO_DECLARAÇÕES, extraídas em março de 2019</t>
    </r>
  </si>
  <si>
    <t>U - Atividades de Organismos Internacionais e Outras Insttuições Extraterritorias</t>
  </si>
  <si>
    <t xml:space="preserve">O - Administração Pública e Defesa; Segurança Social Obrigatória </t>
  </si>
  <si>
    <t xml:space="preserve">C- Eficiency Ratio </t>
  </si>
  <si>
    <t>A.6.3 - Índice de cumprimento das obrigações de pagamento, por escalão de volume de negócios</t>
  </si>
  <si>
    <t>T- Outras Atividades de Serviços</t>
  </si>
  <si>
    <t xml:space="preserve">Taxa Variação Homóloga </t>
  </si>
  <si>
    <t>Total</t>
  </si>
  <si>
    <t>K -Atividades Financeiras e de Seguros</t>
  </si>
  <si>
    <t>Receita do IVA  (Em milhões de CVE)</t>
  </si>
  <si>
    <t>PIB Nominal (Em milhões de CVE)</t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</si>
  <si>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Tabelas GRE_MOD 106_MODELO, extraídas em novembro  de 2022 e março de 2023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</si>
  <si>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INE, DGA e tabelas GRE_MOD 106_MODELO, extraída em novembro de 2022 e março de 2023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</si>
  <si>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 xml:space="preserve">: DGA, CGE e Tabelas GRE_MOD 106_MODELO, extraída em novembro de 2022 e março de 2023 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</si>
  <si>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Tabelas GRE_MOD 106_MODELO, extraídas em novembro de 2022 e março  de 2023</t>
    </r>
  </si>
  <si>
    <r>
      <rPr>
        <b/>
        <sz val="11"/>
        <color theme="1"/>
        <rFont val="Source Sans Pro"/>
        <family val="2"/>
      </rPr>
      <t>Fonte</t>
    </r>
    <r>
      <rPr>
        <sz val="11"/>
        <color theme="1"/>
        <rFont val="Source Sans Pro"/>
        <family val="2"/>
      </rPr>
      <t>: Tabelas GRE_MOD 106_MODELO, extraída em novembro de 2022 e março de 2023</t>
    </r>
  </si>
  <si>
    <r>
      <rPr>
        <b/>
        <sz val="11"/>
        <color theme="1"/>
        <rFont val="Source Sans Pro"/>
        <family val="2"/>
      </rPr>
      <t>Fonte</t>
    </r>
    <r>
      <rPr>
        <sz val="11"/>
        <color theme="1"/>
        <rFont val="Source Sans Pro"/>
        <family val="2"/>
      </rPr>
      <t>: Tabelas GRE_MOD 106_MODELO, extraídas em novembro de 2022 e março de 2023</t>
    </r>
  </si>
  <si>
    <r>
      <rPr>
        <b/>
        <sz val="11"/>
        <color theme="1"/>
        <rFont val="Source Sans Pro"/>
        <family val="2"/>
      </rPr>
      <t>Fonte</t>
    </r>
    <r>
      <rPr>
        <sz val="11"/>
        <color theme="1"/>
        <rFont val="Source Sans Pro"/>
        <family val="2"/>
      </rPr>
      <t>: Tabelas GRE_MOD 106_MODELO, extraídas em novembro  de 2022 e março de 2023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</si>
  <si>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 xml:space="preserve">: Tabelas GRE_MOD 106_MODELO, extraídas em novembro  </t>
    </r>
  </si>
  <si>
    <t>de 2022 e março de 2023</t>
  </si>
  <si>
    <t>BOLETIM ESTATÍSTICO DO IVA 2019 a 2022</t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</si>
  <si>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GRE_Cadastro dos contribuintes, extraído em novembro de 2022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</si>
  <si>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Tabelas GRE_MOD 106_MODELO, extraídas em novembro 2022  e março de 2023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</si>
  <si>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Tabelas GRE_MOD 106_MODELO, extraídas em novembro de 2022 e março de 2023</t>
    </r>
  </si>
  <si>
    <t>A.5. Montante declarado por situação fiscal, em  milhões de CVE</t>
  </si>
  <si>
    <t>Tabelas GRE_MOD 106_MODELO, extraídas em novembro  de 2022 e março de 2023</t>
  </si>
  <si>
    <t>T - Atividades das Familias Empregadoras de Pessoal Doméstico e Atividades de Produção das Familias para Uso Próprio</t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</si>
  <si>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 xml:space="preserve">: INE e CGE  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</si>
  <si>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 xml:space="preserve">: INE e CGE 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</si>
  <si>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 xml:space="preserve">: CGE </t>
    </r>
  </si>
  <si>
    <r>
      <rPr>
        <b/>
        <sz val="9"/>
        <color theme="1"/>
        <rFont val="Source Sans Pro"/>
        <family val="2"/>
      </rPr>
      <t>Fonte</t>
    </r>
    <r>
      <rPr>
        <sz val="9"/>
        <color theme="1"/>
        <rFont val="Source Sans Pro"/>
        <family val="2"/>
      </rPr>
      <t>: CGE e SIGOF</t>
    </r>
  </si>
  <si>
    <r>
      <rPr>
        <b/>
        <sz val="11"/>
        <color theme="1"/>
        <rFont val="Source Sans Pro"/>
        <family val="2"/>
      </rPr>
      <t>Fonte:</t>
    </r>
    <r>
      <rPr>
        <sz val="11"/>
        <color theme="1"/>
        <rFont val="Source Sans Pro"/>
        <family val="2"/>
      </rPr>
      <t xml:space="preserve"> INE, CGE e cálculos da equipa</t>
    </r>
  </si>
  <si>
    <t>A.13- Rácio Receita cessante/PIB nominal</t>
  </si>
  <si>
    <t>A.14 - Rácio Receita cessante/Receita do IVA</t>
  </si>
  <si>
    <t>A.15 - Taxa média efetiva do IVA</t>
  </si>
  <si>
    <t>A.15.1 - Taxa média efetiva, por área fiscal</t>
  </si>
  <si>
    <t>A.15.2 - Taxa média efetiva, por classificação económica</t>
  </si>
  <si>
    <t>A.15.3 - Taxa média efetiva, por escalão de volume de negócios</t>
  </si>
  <si>
    <t>A.16 - Outros indicadores de eficiência</t>
  </si>
  <si>
    <t>A.15. - Taxa média efetiva do IVA</t>
  </si>
  <si>
    <t>A.15.1 - Índice de cumprimento das obrigações de pagamento, por área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</si>
</sst>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%"/>
    <numFmt numFmtId="166" formatCode="#,##0.0"/>
  </numFmts>
  <fonts count="35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Source Sans Pro"/>
      <family val="2"/>
    </font>
    <font>
      <sz val="10"/>
      <color theme="1"/>
      <name val="Source Sans Pro"/>
      <family val="2"/>
    </font>
    <font>
      <b/>
      <sz val="11"/>
      <color theme="0"/>
      <name val="Source Sans Pro"/>
      <family val="2"/>
    </font>
    <font>
      <sz val="11"/>
      <color theme="1"/>
      <name val="Source Sans Pro"/>
      <family val="2"/>
    </font>
    <font>
      <sz val="9"/>
      <color theme="1"/>
      <name val="Source Sans Pro"/>
      <family val="2"/>
    </font>
    <font>
      <b/>
      <sz val="9"/>
      <color theme="1"/>
      <name val="Source Sans Pro"/>
      <family val="2"/>
    </font>
    <font>
      <b/>
      <sz val="12"/>
      <color rgb="FFFF0000"/>
      <name val="Calibri"/>
      <family val="2"/>
      <scheme val="minor"/>
    </font>
    <font>
      <b/>
      <sz val="11"/>
      <color rgb="FF002060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rgb="FF0070C0"/>
      <name val="Source Sans Pro"/>
      <family val="2"/>
    </font>
    <font>
      <b/>
      <sz val="11"/>
      <name val="Source Sans Pro"/>
      <family val="2"/>
    </font>
    <font>
      <sz val="11"/>
      <color theme="0"/>
      <name val="Source Sans Pro"/>
      <family val="2"/>
    </font>
    <font>
      <sz val="10"/>
      <name val="Arial"/>
      <family val="2"/>
    </font>
    <font>
      <sz val="11"/>
      <color rgb="FFFF0000"/>
      <name val="Source Sans Pro"/>
      <family val="2"/>
    </font>
    <font>
      <sz val="11"/>
      <color rgb="FF0070C0"/>
      <name val="Source Sans Pro"/>
      <family val="2"/>
    </font>
    <font>
      <b/>
      <sz val="9"/>
      <color theme="0"/>
      <name val="Source Sans Pro"/>
      <family val="2"/>
    </font>
    <font>
      <sz val="11"/>
      <color theme="1"/>
      <name val="Calibri"/>
      <family val="2"/>
      <scheme val="minor"/>
    </font>
    <font>
      <sz val="10"/>
      <name val="Source Sans Pro"/>
      <family val="2"/>
    </font>
    <font>
      <b/>
      <sz val="11"/>
      <color theme="1"/>
      <name val="Source Sans Pro"/>
    </font>
    <font>
      <sz val="10"/>
      <name val="Source"/>
    </font>
    <font>
      <sz val="10"/>
      <color theme="1"/>
      <name val="Source"/>
    </font>
    <font>
      <sz val="10"/>
      <color rgb="FFFF0000"/>
      <name val="Source Sans Pro"/>
      <family val="2"/>
    </font>
    <font>
      <sz val="11"/>
      <color rgb="FFFF0000"/>
      <name val="Calibri"/>
      <family val="2"/>
      <scheme val="minor"/>
    </font>
    <font>
      <sz val="9"/>
      <color rgb="FFFF0000"/>
      <name val="Source Sans Pro"/>
      <family val="2"/>
    </font>
    <font>
      <sz val="9"/>
      <name val="Source Sans Pro"/>
      <family val="2"/>
    </font>
    <font>
      <sz val="10"/>
      <color theme="1"/>
      <name val="Calibri"/>
      <family val="2"/>
      <scheme val="minor"/>
    </font>
    <font>
      <sz val="10"/>
      <name val="Source Sans Pro"/>
    </font>
    <font>
      <b/>
      <sz val="11"/>
      <color rgb="FFFF0000"/>
      <name val="Source Sans Pro"/>
    </font>
    <font>
      <b/>
      <sz val="11"/>
      <color theme="0"/>
      <name val="Source Sans Pro"/>
    </font>
    <font>
      <sz val="9"/>
      <name val="Source Sans Pro"/>
    </font>
    <font>
      <b/>
      <sz val="10"/>
      <color theme="0"/>
      <name val="Source Sans Pr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9">
    <border>
      <left/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theme="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/>
      <bottom style="thin">
        <color theme="0"/>
      </bottom>
      <diagonal/>
    </border>
    <border>
      <left/>
      <right style="thin">
        <color rgb="FF00206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206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00206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206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002060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/>
      <diagonal/>
    </border>
    <border>
      <left style="thin">
        <color auto="1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auto="1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auto="1"/>
      </left>
      <right style="thin">
        <color indexed="64"/>
      </right>
      <top style="thin">
        <color rgb="FF00206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theme="0"/>
      </top>
      <bottom/>
      <diagonal/>
    </border>
    <border>
      <left style="thin">
        <color rgb="FF002060"/>
      </left>
      <right style="thin">
        <color indexed="64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auto="1"/>
      </right>
      <top/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auto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rgb="FF002060"/>
      </left>
      <right style="thin">
        <color theme="1"/>
      </right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rgb="FF002060"/>
      </top>
      <bottom/>
      <diagonal/>
    </border>
    <border>
      <left style="thin">
        <color auto="1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1"/>
      </left>
      <right style="thin">
        <color rgb="FF002060"/>
      </right>
      <top style="thin">
        <color indexed="64"/>
      </top>
      <bottom/>
      <diagonal/>
    </border>
    <border>
      <left style="thin">
        <color auto="1"/>
      </left>
      <right style="thin">
        <color rgb="FF002060"/>
      </right>
      <top style="thin">
        <color indexed="64"/>
      </top>
      <bottom/>
      <diagonal/>
    </border>
    <border>
      <left style="thin">
        <color theme="1"/>
      </left>
      <right style="thin">
        <color rgb="FF002060"/>
      </right>
      <top/>
      <bottom style="thin">
        <color indexed="64"/>
      </bottom>
      <diagonal/>
    </border>
    <border>
      <left style="thin">
        <color auto="1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rgb="FF002060"/>
      </left>
      <right style="thin">
        <color auto="1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7">
    <xf numFmtId="0" fontId="0" fillId="0" borderId="0"/>
    <xf numFmtId="9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164" fontId="16" fillId="0" borderId="0" applyFont="0" applyFill="0" applyBorder="0" applyAlignment="0" applyProtection="0"/>
    <xf numFmtId="0" fontId="20" fillId="0" borderId="0"/>
  </cellStyleXfs>
  <cellXfs count="6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3" fontId="4" fillId="2" borderId="0" xfId="0" applyNumberFormat="1" applyFont="1" applyFill="1" applyBorder="1"/>
    <xf numFmtId="0" fontId="5" fillId="3" borderId="2" xfId="0" applyFont="1" applyFill="1" applyBorder="1" applyAlignment="1">
      <alignment horizontal="center"/>
    </xf>
    <xf numFmtId="3" fontId="6" fillId="2" borderId="0" xfId="0" applyNumberFormat="1" applyFont="1" applyFill="1" applyBorder="1"/>
    <xf numFmtId="165" fontId="6" fillId="0" borderId="0" xfId="1" applyNumberFormat="1" applyFont="1"/>
    <xf numFmtId="3" fontId="4" fillId="0" borderId="4" xfId="0" applyNumberFormat="1" applyFont="1" applyBorder="1"/>
    <xf numFmtId="3" fontId="4" fillId="0" borderId="1" xfId="0" applyNumberFormat="1" applyFont="1" applyBorder="1"/>
    <xf numFmtId="0" fontId="5" fillId="3" borderId="2" xfId="0" applyFont="1" applyFill="1" applyBorder="1" applyAlignment="1">
      <alignment vertical="center"/>
    </xf>
    <xf numFmtId="165" fontId="6" fillId="0" borderId="0" xfId="1" applyNumberFormat="1" applyFont="1" applyBorder="1"/>
    <xf numFmtId="0" fontId="6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3" fontId="4" fillId="0" borderId="9" xfId="0" applyNumberFormat="1" applyFont="1" applyBorder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/>
    <xf numFmtId="0" fontId="9" fillId="0" borderId="0" xfId="0" applyFont="1"/>
    <xf numFmtId="3" fontId="4" fillId="2" borderId="11" xfId="0" applyNumberFormat="1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0" fillId="0" borderId="0" xfId="0" applyFont="1"/>
    <xf numFmtId="0" fontId="6" fillId="0" borderId="0" xfId="0" applyFont="1"/>
    <xf numFmtId="0" fontId="11" fillId="0" borderId="0" xfId="0" applyFont="1"/>
    <xf numFmtId="165" fontId="6" fillId="2" borderId="0" xfId="1" applyNumberFormat="1" applyFont="1" applyFill="1" applyBorder="1"/>
    <xf numFmtId="0" fontId="6" fillId="0" borderId="11" xfId="0" applyFont="1" applyBorder="1"/>
    <xf numFmtId="0" fontId="6" fillId="0" borderId="20" xfId="0" applyFont="1" applyBorder="1"/>
    <xf numFmtId="0" fontId="5" fillId="3" borderId="14" xfId="0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right"/>
    </xf>
    <xf numFmtId="0" fontId="6" fillId="3" borderId="0" xfId="0" applyFont="1" applyFill="1" applyBorder="1"/>
    <xf numFmtId="0" fontId="6" fillId="3" borderId="0" xfId="0" applyFont="1" applyFill="1"/>
    <xf numFmtId="0" fontId="5" fillId="2" borderId="0" xfId="0" applyFont="1" applyFill="1" applyBorder="1" applyAlignment="1">
      <alignment horizontal="center"/>
    </xf>
    <xf numFmtId="0" fontId="10" fillId="2" borderId="0" xfId="0" applyFont="1" applyFill="1" applyBorder="1"/>
    <xf numFmtId="9" fontId="6" fillId="2" borderId="0" xfId="1" applyFont="1" applyFill="1" applyBorder="1"/>
    <xf numFmtId="0" fontId="6" fillId="0" borderId="0" xfId="0" applyFont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3" fontId="6" fillId="0" borderId="0" xfId="0" applyNumberFormat="1" applyFont="1"/>
    <xf numFmtId="0" fontId="6" fillId="0" borderId="0" xfId="0" applyFont="1" applyFill="1" applyBorder="1"/>
    <xf numFmtId="3" fontId="11" fillId="0" borderId="0" xfId="0" applyNumberFormat="1" applyFont="1"/>
    <xf numFmtId="0" fontId="14" fillId="0" borderId="0" xfId="0" applyFont="1"/>
    <xf numFmtId="0" fontId="10" fillId="0" borderId="0" xfId="0" applyFont="1" applyBorder="1"/>
    <xf numFmtId="0" fontId="6" fillId="0" borderId="0" xfId="0" applyFont="1" applyAlignment="1"/>
    <xf numFmtId="3" fontId="4" fillId="2" borderId="19" xfId="0" applyNumberFormat="1" applyFont="1" applyFill="1" applyBorder="1"/>
    <xf numFmtId="165" fontId="6" fillId="0" borderId="0" xfId="0" applyNumberFormat="1" applyFont="1"/>
    <xf numFmtId="0" fontId="6" fillId="2" borderId="0" xfId="0" applyFont="1" applyFill="1"/>
    <xf numFmtId="165" fontId="6" fillId="2" borderId="0" xfId="0" applyNumberFormat="1" applyFont="1" applyFill="1" applyBorder="1" applyAlignment="1">
      <alignment vertical="center"/>
    </xf>
    <xf numFmtId="165" fontId="6" fillId="2" borderId="0" xfId="0" applyNumberFormat="1" applyFont="1" applyFill="1" applyBorder="1"/>
    <xf numFmtId="0" fontId="6" fillId="2" borderId="0" xfId="0" applyFont="1" applyFill="1" applyBorder="1" applyAlignment="1"/>
    <xf numFmtId="0" fontId="12" fillId="0" borderId="0" xfId="0" applyFont="1"/>
    <xf numFmtId="0" fontId="0" fillId="0" borderId="0" xfId="0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0" fillId="0" borderId="0" xfId="1" applyNumberFormat="1" applyFont="1"/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0" fillId="0" borderId="0" xfId="0" applyFont="1"/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0" fillId="0" borderId="0" xfId="0" applyNumberFormat="1" applyBorder="1"/>
    <xf numFmtId="4" fontId="6" fillId="0" borderId="0" xfId="0" applyNumberFormat="1" applyFont="1" applyBorder="1" applyAlignment="1">
      <alignment vertical="center"/>
    </xf>
    <xf numFmtId="4" fontId="6" fillId="0" borderId="20" xfId="0" applyNumberFormat="1" applyFont="1" applyBorder="1"/>
    <xf numFmtId="4" fontId="6" fillId="2" borderId="20" xfId="0" applyNumberFormat="1" applyFont="1" applyFill="1" applyBorder="1"/>
    <xf numFmtId="4" fontId="6" fillId="2" borderId="0" xfId="0" applyNumberFormat="1" applyFont="1" applyFill="1" applyBorder="1"/>
    <xf numFmtId="3" fontId="15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4" fillId="0" borderId="0" xfId="0" applyNumberFormat="1" applyFont="1" applyBorder="1"/>
    <xf numFmtId="3" fontId="4" fillId="0" borderId="11" xfId="0" applyNumberFormat="1" applyFont="1" applyBorder="1"/>
    <xf numFmtId="0" fontId="4" fillId="0" borderId="0" xfId="0" applyFont="1" applyBorder="1"/>
    <xf numFmtId="0" fontId="4" fillId="0" borderId="11" xfId="0" applyFont="1" applyBorder="1"/>
    <xf numFmtId="165" fontId="4" fillId="2" borderId="26" xfId="0" applyNumberFormat="1" applyFont="1" applyFill="1" applyBorder="1"/>
    <xf numFmtId="165" fontId="6" fillId="2" borderId="26" xfId="0" applyNumberFormat="1" applyFont="1" applyFill="1" applyBorder="1"/>
    <xf numFmtId="0" fontId="4" fillId="0" borderId="19" xfId="0" applyFont="1" applyBorder="1"/>
    <xf numFmtId="0" fontId="4" fillId="0" borderId="36" xfId="0" applyFont="1" applyBorder="1"/>
    <xf numFmtId="165" fontId="6" fillId="0" borderId="42" xfId="1" applyNumberFormat="1" applyFont="1" applyBorder="1"/>
    <xf numFmtId="3" fontId="4" fillId="0" borderId="3" xfId="0" applyNumberFormat="1" applyFont="1" applyBorder="1"/>
    <xf numFmtId="3" fontId="6" fillId="0" borderId="20" xfId="0" applyNumberFormat="1" applyFont="1" applyBorder="1"/>
    <xf numFmtId="3" fontId="4" fillId="0" borderId="35" xfId="0" applyNumberFormat="1" applyFont="1" applyBorder="1"/>
    <xf numFmtId="3" fontId="4" fillId="2" borderId="36" xfId="0" applyNumberFormat="1" applyFont="1" applyFill="1" applyBorder="1"/>
    <xf numFmtId="0" fontId="3" fillId="3" borderId="13" xfId="0" applyFont="1" applyFill="1" applyBorder="1" applyAlignment="1">
      <alignment horizontal="center"/>
    </xf>
    <xf numFmtId="165" fontId="4" fillId="2" borderId="27" xfId="0" applyNumberFormat="1" applyFont="1" applyFill="1" applyBorder="1"/>
    <xf numFmtId="3" fontId="6" fillId="2" borderId="26" xfId="0" applyNumberFormat="1" applyFont="1" applyFill="1" applyBorder="1"/>
    <xf numFmtId="3" fontId="4" fillId="0" borderId="47" xfId="0" applyNumberFormat="1" applyFont="1" applyBorder="1"/>
    <xf numFmtId="17" fontId="6" fillId="2" borderId="0" xfId="0" applyNumberFormat="1" applyFont="1" applyFill="1" applyAlignment="1">
      <alignment horizontal="left"/>
    </xf>
    <xf numFmtId="16" fontId="6" fillId="2" borderId="0" xfId="0" applyNumberFormat="1" applyFont="1" applyFill="1" applyAlignment="1">
      <alignment horizontal="left"/>
    </xf>
    <xf numFmtId="165" fontId="6" fillId="2" borderId="0" xfId="1" applyNumberFormat="1" applyFont="1" applyFill="1"/>
    <xf numFmtId="0" fontId="6" fillId="2" borderId="0" xfId="0" applyFont="1" applyFill="1" applyAlignment="1">
      <alignment horizontal="left"/>
    </xf>
    <xf numFmtId="165" fontId="11" fillId="2" borderId="0" xfId="0" applyNumberFormat="1" applyFont="1" applyFill="1"/>
    <xf numFmtId="3" fontId="4" fillId="0" borderId="53" xfId="0" applyNumberFormat="1" applyFont="1" applyBorder="1"/>
    <xf numFmtId="0" fontId="4" fillId="0" borderId="0" xfId="0" applyFont="1"/>
    <xf numFmtId="0" fontId="4" fillId="0" borderId="38" xfId="0" applyFont="1" applyBorder="1"/>
    <xf numFmtId="3" fontId="4" fillId="0" borderId="26" xfId="0" applyNumberFormat="1" applyFont="1" applyBorder="1"/>
    <xf numFmtId="0" fontId="4" fillId="0" borderId="16" xfId="0" applyFont="1" applyBorder="1"/>
    <xf numFmtId="0" fontId="0" fillId="0" borderId="0" xfId="0" applyFill="1" applyBorder="1"/>
    <xf numFmtId="0" fontId="0" fillId="0" borderId="0" xfId="0" applyFill="1"/>
    <xf numFmtId="0" fontId="6" fillId="0" borderId="0" xfId="0" applyFont="1" applyFill="1"/>
    <xf numFmtId="0" fontId="6" fillId="0" borderId="36" xfId="0" applyFont="1" applyFill="1" applyBorder="1" applyAlignment="1">
      <alignment horizontal="right" vertical="center"/>
    </xf>
    <xf numFmtId="3" fontId="0" fillId="0" borderId="0" xfId="0" applyNumberFormat="1"/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165" fontId="6" fillId="0" borderId="0" xfId="0" applyNumberFormat="1" applyFont="1" applyBorder="1"/>
    <xf numFmtId="0" fontId="5" fillId="3" borderId="39" xfId="0" applyFont="1" applyFill="1" applyBorder="1" applyAlignment="1">
      <alignment horizontal="center"/>
    </xf>
    <xf numFmtId="0" fontId="5" fillId="3" borderId="72" xfId="0" applyFont="1" applyFill="1" applyBorder="1" applyAlignment="1">
      <alignment horizontal="center"/>
    </xf>
    <xf numFmtId="3" fontId="6" fillId="2" borderId="27" xfId="0" applyNumberFormat="1" applyFont="1" applyFill="1" applyBorder="1"/>
    <xf numFmtId="3" fontId="4" fillId="2" borderId="26" xfId="0" applyNumberFormat="1" applyFont="1" applyFill="1" applyBorder="1"/>
    <xf numFmtId="0" fontId="4" fillId="2" borderId="11" xfId="0" applyFont="1" applyFill="1" applyBorder="1"/>
    <xf numFmtId="3" fontId="4" fillId="0" borderId="29" xfId="0" applyNumberFormat="1" applyFont="1" applyBorder="1"/>
    <xf numFmtId="3" fontId="4" fillId="0" borderId="75" xfId="0" applyNumberFormat="1" applyFont="1" applyBorder="1"/>
    <xf numFmtId="3" fontId="4" fillId="0" borderId="10" xfId="0" applyNumberFormat="1" applyFont="1" applyBorder="1"/>
    <xf numFmtId="3" fontId="4" fillId="0" borderId="76" xfId="0" applyNumberFormat="1" applyFont="1" applyBorder="1"/>
    <xf numFmtId="3" fontId="4" fillId="0" borderId="77" xfId="0" applyNumberFormat="1" applyFont="1" applyBorder="1"/>
    <xf numFmtId="0" fontId="4" fillId="0" borderId="35" xfId="0" applyFont="1" applyBorder="1"/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21" fillId="2" borderId="11" xfId="0" applyNumberFormat="1" applyFont="1" applyFill="1" applyBorder="1"/>
    <xf numFmtId="3" fontId="21" fillId="2" borderId="19" xfId="0" applyNumberFormat="1" applyFont="1" applyFill="1" applyBorder="1"/>
    <xf numFmtId="0" fontId="0" fillId="0" borderId="0" xfId="0" applyAlignment="1">
      <alignment horizontal="left"/>
    </xf>
    <xf numFmtId="165" fontId="6" fillId="0" borderId="0" xfId="1" applyNumberFormat="1" applyFont="1" applyFill="1"/>
    <xf numFmtId="0" fontId="6" fillId="0" borderId="11" xfId="0" applyFont="1" applyFill="1" applyBorder="1" applyAlignment="1">
      <alignment horizontal="right" vertical="center"/>
    </xf>
    <xf numFmtId="0" fontId="22" fillId="0" borderId="0" xfId="0" applyFont="1"/>
    <xf numFmtId="0" fontId="0" fillId="0" borderId="0" xfId="0" applyNumberFormat="1"/>
    <xf numFmtId="3" fontId="4" fillId="2" borderId="42" xfId="0" applyNumberFormat="1" applyFont="1" applyFill="1" applyBorder="1"/>
    <xf numFmtId="3" fontId="4" fillId="0" borderId="94" xfId="0" applyNumberFormat="1" applyFont="1" applyBorder="1"/>
    <xf numFmtId="0" fontId="0" fillId="0" borderId="64" xfId="0" applyBorder="1"/>
    <xf numFmtId="3" fontId="23" fillId="2" borderId="11" xfId="0" applyNumberFormat="1" applyFont="1" applyFill="1" applyBorder="1"/>
    <xf numFmtId="3" fontId="23" fillId="0" borderId="0" xfId="0" applyNumberFormat="1" applyFont="1" applyBorder="1"/>
    <xf numFmtId="3" fontId="23" fillId="0" borderId="11" xfId="0" applyNumberFormat="1" applyFont="1" applyBorder="1"/>
    <xf numFmtId="3" fontId="23" fillId="0" borderId="19" xfId="0" applyNumberFormat="1" applyFont="1" applyBorder="1"/>
    <xf numFmtId="3" fontId="23" fillId="2" borderId="36" xfId="0" applyNumberFormat="1" applyFont="1" applyFill="1" applyBorder="1"/>
    <xf numFmtId="3" fontId="23" fillId="0" borderId="26" xfId="0" applyNumberFormat="1" applyFont="1" applyBorder="1"/>
    <xf numFmtId="3" fontId="23" fillId="0" borderId="0" xfId="0" applyNumberFormat="1" applyFont="1" applyFill="1" applyBorder="1"/>
    <xf numFmtId="3" fontId="23" fillId="0" borderId="26" xfId="0" applyNumberFormat="1" applyFont="1" applyFill="1" applyBorder="1"/>
    <xf numFmtId="3" fontId="23" fillId="0" borderId="27" xfId="0" applyNumberFormat="1" applyFont="1" applyFill="1" applyBorder="1"/>
    <xf numFmtId="3" fontId="23" fillId="2" borderId="0" xfId="0" applyNumberFormat="1" applyFont="1" applyFill="1" applyBorder="1"/>
    <xf numFmtId="3" fontId="23" fillId="2" borderId="19" xfId="0" applyNumberFormat="1" applyFont="1" applyFill="1" applyBorder="1"/>
    <xf numFmtId="3" fontId="23" fillId="2" borderId="26" xfId="0" applyNumberFormat="1" applyFont="1" applyFill="1" applyBorder="1"/>
    <xf numFmtId="3" fontId="23" fillId="2" borderId="42" xfId="0" applyNumberFormat="1" applyFont="1" applyFill="1" applyBorder="1"/>
    <xf numFmtId="0" fontId="23" fillId="2" borderId="27" xfId="0" applyFont="1" applyFill="1" applyBorder="1"/>
    <xf numFmtId="0" fontId="23" fillId="2" borderId="0" xfId="0" applyFont="1" applyFill="1" applyBorder="1"/>
    <xf numFmtId="1" fontId="23" fillId="2" borderId="11" xfId="0" applyNumberFormat="1" applyFont="1" applyFill="1" applyBorder="1"/>
    <xf numFmtId="3" fontId="23" fillId="2" borderId="27" xfId="0" applyNumberFormat="1" applyFont="1" applyFill="1" applyBorder="1"/>
    <xf numFmtId="3" fontId="24" fillId="0" borderId="11" xfId="0" applyNumberFormat="1" applyFont="1" applyBorder="1"/>
    <xf numFmtId="3" fontId="24" fillId="0" borderId="0" xfId="0" applyNumberFormat="1" applyFont="1"/>
    <xf numFmtId="3" fontId="24" fillId="0" borderId="15" xfId="0" applyNumberFormat="1" applyFont="1" applyBorder="1"/>
    <xf numFmtId="0" fontId="23" fillId="0" borderId="0" xfId="0" applyFont="1" applyBorder="1"/>
    <xf numFmtId="3" fontId="24" fillId="0" borderId="36" xfId="0" applyNumberFormat="1" applyFont="1" applyBorder="1"/>
    <xf numFmtId="0" fontId="24" fillId="2" borderId="0" xfId="0" applyFont="1" applyFill="1" applyBorder="1"/>
    <xf numFmtId="3" fontId="4" fillId="0" borderId="25" xfId="0" applyNumberFormat="1" applyFont="1" applyBorder="1"/>
    <xf numFmtId="3" fontId="4" fillId="0" borderId="27" xfId="0" applyNumberFormat="1" applyFont="1" applyBorder="1"/>
    <xf numFmtId="3" fontId="6" fillId="0" borderId="0" xfId="1" applyNumberFormat="1" applyFont="1"/>
    <xf numFmtId="3" fontId="23" fillId="2" borderId="35" xfId="0" applyNumberFormat="1" applyFont="1" applyFill="1" applyBorder="1"/>
    <xf numFmtId="165" fontId="6" fillId="0" borderId="27" xfId="1" applyNumberFormat="1" applyFont="1" applyFill="1" applyBorder="1"/>
    <xf numFmtId="165" fontId="17" fillId="0" borderId="0" xfId="1" applyNumberFormat="1" applyFont="1"/>
    <xf numFmtId="3" fontId="0" fillId="0" borderId="0" xfId="0" applyNumberFormat="1" applyAlignment="1">
      <alignment horizontal="left"/>
    </xf>
    <xf numFmtId="3" fontId="4" fillId="0" borderId="19" xfId="0" applyNumberFormat="1" applyFont="1" applyBorder="1"/>
    <xf numFmtId="3" fontId="4" fillId="2" borderId="35" xfId="0" applyNumberFormat="1" applyFont="1" applyFill="1" applyBorder="1"/>
    <xf numFmtId="3" fontId="0" fillId="2" borderId="0" xfId="0" applyNumberFormat="1" applyFill="1"/>
    <xf numFmtId="0" fontId="0" fillId="0" borderId="0" xfId="0" applyAlignment="1">
      <alignment horizontal="right"/>
    </xf>
    <xf numFmtId="0" fontId="4" fillId="0" borderId="37" xfId="0" applyFont="1" applyBorder="1" applyAlignment="1">
      <alignment horizontal="left" vertical="center"/>
    </xf>
    <xf numFmtId="0" fontId="7" fillId="0" borderId="35" xfId="0" applyFont="1" applyBorder="1"/>
    <xf numFmtId="3" fontId="4" fillId="2" borderId="32" xfId="0" applyNumberFormat="1" applyFont="1" applyFill="1" applyBorder="1"/>
    <xf numFmtId="3" fontId="4" fillId="0" borderId="32" xfId="0" applyNumberFormat="1" applyFont="1" applyBorder="1"/>
    <xf numFmtId="3" fontId="4" fillId="0" borderId="32" xfId="0" applyNumberFormat="1" applyFont="1" applyFill="1" applyBorder="1"/>
    <xf numFmtId="165" fontId="4" fillId="0" borderId="33" xfId="1" applyNumberFormat="1" applyFont="1" applyBorder="1"/>
    <xf numFmtId="3" fontId="4" fillId="0" borderId="32" xfId="0" applyNumberFormat="1" applyFont="1" applyFill="1" applyBorder="1" applyAlignment="1">
      <alignment horizontal="right" vertical="center"/>
    </xf>
    <xf numFmtId="0" fontId="4" fillId="2" borderId="16" xfId="0" applyFont="1" applyFill="1" applyBorder="1"/>
    <xf numFmtId="165" fontId="4" fillId="2" borderId="33" xfId="1" applyNumberFormat="1" applyFont="1" applyFill="1" applyBorder="1"/>
    <xf numFmtId="165" fontId="4" fillId="0" borderId="32" xfId="1" applyNumberFormat="1" applyFont="1" applyFill="1" applyBorder="1"/>
    <xf numFmtId="165" fontId="4" fillId="0" borderId="32" xfId="1" applyNumberFormat="1" applyFont="1" applyBorder="1"/>
    <xf numFmtId="165" fontId="25" fillId="0" borderId="33" xfId="0" applyNumberFormat="1" applyFont="1" applyBorder="1"/>
    <xf numFmtId="165" fontId="25" fillId="0" borderId="32" xfId="1" applyNumberFormat="1" applyFont="1" applyBorder="1"/>
    <xf numFmtId="165" fontId="4" fillId="0" borderId="33" xfId="0" applyNumberFormat="1" applyFont="1" applyBorder="1"/>
    <xf numFmtId="0" fontId="4" fillId="0" borderId="16" xfId="0" applyFont="1" applyFill="1" applyBorder="1"/>
    <xf numFmtId="165" fontId="4" fillId="0" borderId="16" xfId="1" applyNumberFormat="1" applyFont="1" applyFill="1" applyBorder="1"/>
    <xf numFmtId="165" fontId="25" fillId="0" borderId="16" xfId="1" applyNumberFormat="1" applyFont="1" applyFill="1" applyBorder="1"/>
    <xf numFmtId="0" fontId="7" fillId="0" borderId="16" xfId="0" applyFont="1" applyBorder="1"/>
    <xf numFmtId="3" fontId="7" fillId="0" borderId="32" xfId="0" applyNumberFormat="1" applyFont="1" applyBorder="1"/>
    <xf numFmtId="165" fontId="7" fillId="0" borderId="33" xfId="1" applyNumberFormat="1" applyFont="1" applyBorder="1"/>
    <xf numFmtId="165" fontId="7" fillId="0" borderId="32" xfId="1" applyNumberFormat="1" applyFont="1" applyBorder="1"/>
    <xf numFmtId="165" fontId="27" fillId="0" borderId="33" xfId="0" applyNumberFormat="1" applyFont="1" applyBorder="1"/>
    <xf numFmtId="165" fontId="27" fillId="0" borderId="32" xfId="1" applyNumberFormat="1" applyFont="1" applyBorder="1"/>
    <xf numFmtId="165" fontId="7" fillId="0" borderId="33" xfId="0" applyNumberFormat="1" applyFont="1" applyBorder="1"/>
    <xf numFmtId="0" fontId="4" fillId="0" borderId="59" xfId="0" applyFont="1" applyBorder="1"/>
    <xf numFmtId="3" fontId="29" fillId="0" borderId="0" xfId="0" applyNumberFormat="1" applyFont="1"/>
    <xf numFmtId="3" fontId="29" fillId="0" borderId="11" xfId="0" applyNumberFormat="1" applyFont="1" applyBorder="1"/>
    <xf numFmtId="0" fontId="29" fillId="0" borderId="0" xfId="0" applyNumberFormat="1" applyFont="1"/>
    <xf numFmtId="165" fontId="4" fillId="0" borderId="0" xfId="1" applyNumberFormat="1" applyFont="1" applyBorder="1"/>
    <xf numFmtId="0" fontId="4" fillId="0" borderId="60" xfId="0" applyFont="1" applyBorder="1"/>
    <xf numFmtId="0" fontId="4" fillId="0" borderId="61" xfId="0" applyFont="1" applyBorder="1"/>
    <xf numFmtId="3" fontId="4" fillId="2" borderId="63" xfId="0" applyNumberFormat="1" applyFont="1" applyFill="1" applyBorder="1"/>
    <xf numFmtId="3" fontId="4" fillId="2" borderId="73" xfId="0" applyNumberFormat="1" applyFont="1" applyFill="1" applyBorder="1"/>
    <xf numFmtId="3" fontId="4" fillId="0" borderId="63" xfId="0" applyNumberFormat="1" applyFont="1" applyBorder="1"/>
    <xf numFmtId="3" fontId="4" fillId="0" borderId="73" xfId="0" applyNumberFormat="1" applyFont="1" applyBorder="1"/>
    <xf numFmtId="165" fontId="4" fillId="0" borderId="27" xfId="1" applyNumberFormat="1" applyFont="1" applyBorder="1"/>
    <xf numFmtId="3" fontId="29" fillId="0" borderId="74" xfId="0" applyNumberFormat="1" applyFont="1" applyBorder="1"/>
    <xf numFmtId="3" fontId="29" fillId="0" borderId="36" xfId="0" applyNumberFormat="1" applyFont="1" applyBorder="1"/>
    <xf numFmtId="3" fontId="4" fillId="0" borderId="74" xfId="0" applyNumberFormat="1" applyFont="1" applyBorder="1"/>
    <xf numFmtId="165" fontId="21" fillId="0" borderId="0" xfId="1" applyNumberFormat="1" applyFont="1" applyFill="1" applyBorder="1"/>
    <xf numFmtId="3" fontId="4" fillId="0" borderId="82" xfId="0" applyNumberFormat="1" applyFont="1" applyBorder="1"/>
    <xf numFmtId="0" fontId="29" fillId="0" borderId="91" xfId="0" applyNumberFormat="1" applyFont="1" applyBorder="1"/>
    <xf numFmtId="3" fontId="29" fillId="0" borderId="15" xfId="0" applyNumberFormat="1" applyFont="1" applyBorder="1"/>
    <xf numFmtId="0" fontId="29" fillId="0" borderId="36" xfId="0" applyNumberFormat="1" applyFont="1" applyBorder="1"/>
    <xf numFmtId="165" fontId="21" fillId="0" borderId="64" xfId="1" applyNumberFormat="1" applyFont="1" applyFill="1" applyBorder="1"/>
    <xf numFmtId="3" fontId="4" fillId="0" borderId="92" xfId="0" applyNumberFormat="1" applyFont="1" applyBorder="1"/>
    <xf numFmtId="0" fontId="4" fillId="0" borderId="60" xfId="0" applyFont="1" applyFill="1" applyBorder="1"/>
    <xf numFmtId="3" fontId="4" fillId="0" borderId="89" xfId="0" applyNumberFormat="1" applyFont="1" applyBorder="1"/>
    <xf numFmtId="3" fontId="4" fillId="0" borderId="88" xfId="0" applyNumberFormat="1" applyFont="1" applyBorder="1"/>
    <xf numFmtId="0" fontId="4" fillId="0" borderId="65" xfId="0" applyFont="1" applyFill="1" applyBorder="1"/>
    <xf numFmtId="3" fontId="4" fillId="0" borderId="87" xfId="0" applyNumberFormat="1" applyFont="1" applyBorder="1"/>
    <xf numFmtId="0" fontId="4" fillId="0" borderId="65" xfId="0" applyFont="1" applyBorder="1"/>
    <xf numFmtId="0" fontId="4" fillId="2" borderId="65" xfId="0" applyFont="1" applyFill="1" applyBorder="1"/>
    <xf numFmtId="0" fontId="4" fillId="2" borderId="66" xfId="0" applyFont="1" applyFill="1" applyBorder="1"/>
    <xf numFmtId="3" fontId="4" fillId="0" borderId="36" xfId="0" applyNumberFormat="1" applyFont="1" applyBorder="1"/>
    <xf numFmtId="3" fontId="29" fillId="0" borderId="104" xfId="0" applyNumberFormat="1" applyFont="1" applyBorder="1"/>
    <xf numFmtId="165" fontId="4" fillId="2" borderId="0" xfId="1" applyNumberFormat="1" applyFont="1" applyFill="1" applyBorder="1"/>
    <xf numFmtId="3" fontId="4" fillId="0" borderId="86" xfId="0" applyNumberFormat="1" applyFont="1" applyBorder="1"/>
    <xf numFmtId="0" fontId="4" fillId="2" borderId="60" xfId="0" applyFont="1" applyFill="1" applyBorder="1"/>
    <xf numFmtId="0" fontId="4" fillId="2" borderId="61" xfId="0" applyFont="1" applyFill="1" applyBorder="1"/>
    <xf numFmtId="165" fontId="4" fillId="2" borderId="64" xfId="1" applyNumberFormat="1" applyFont="1" applyFill="1" applyBorder="1"/>
    <xf numFmtId="0" fontId="4" fillId="2" borderId="59" xfId="0" applyFont="1" applyFill="1" applyBorder="1"/>
    <xf numFmtId="3" fontId="4" fillId="0" borderId="83" xfId="0" applyNumberFormat="1" applyFont="1" applyBorder="1"/>
    <xf numFmtId="3" fontId="4" fillId="2" borderId="74" xfId="0" applyNumberFormat="1" applyFont="1" applyFill="1" applyBorder="1"/>
    <xf numFmtId="0" fontId="29" fillId="0" borderId="66" xfId="0" applyNumberFormat="1" applyFont="1" applyBorder="1"/>
    <xf numFmtId="0" fontId="29" fillId="0" borderId="99" xfId="0" applyNumberFormat="1" applyFont="1" applyBorder="1"/>
    <xf numFmtId="3" fontId="29" fillId="0" borderId="105" xfId="0" applyNumberFormat="1" applyFont="1" applyBorder="1"/>
    <xf numFmtId="3" fontId="4" fillId="0" borderId="84" xfId="0" applyNumberFormat="1" applyFont="1" applyBorder="1"/>
    <xf numFmtId="0" fontId="29" fillId="0" borderId="90" xfId="0" applyNumberFormat="1" applyFont="1" applyBorder="1"/>
    <xf numFmtId="165" fontId="4" fillId="2" borderId="98" xfId="1" applyNumberFormat="1" applyFont="1" applyFill="1" applyBorder="1"/>
    <xf numFmtId="3" fontId="4" fillId="0" borderId="45" xfId="0" applyNumberFormat="1" applyFont="1" applyBorder="1"/>
    <xf numFmtId="3" fontId="4" fillId="2" borderId="103" xfId="0" applyNumberFormat="1" applyFont="1" applyFill="1" applyBorder="1"/>
    <xf numFmtId="3" fontId="4" fillId="2" borderId="1" xfId="0" applyNumberFormat="1" applyFont="1" applyFill="1" applyBorder="1"/>
    <xf numFmtId="3" fontId="4" fillId="2" borderId="6" xfId="0" applyNumberFormat="1" applyFont="1" applyFill="1" applyBorder="1"/>
    <xf numFmtId="0" fontId="4" fillId="0" borderId="3" xfId="0" applyFont="1" applyBorder="1"/>
    <xf numFmtId="165" fontId="4" fillId="0" borderId="42" xfId="1" applyNumberFormat="1" applyFont="1" applyBorder="1"/>
    <xf numFmtId="165" fontId="25" fillId="0" borderId="11" xfId="1" applyNumberFormat="1" applyFont="1" applyBorder="1"/>
    <xf numFmtId="165" fontId="4" fillId="0" borderId="11" xfId="1" applyNumberFormat="1" applyFont="1" applyBorder="1"/>
    <xf numFmtId="165" fontId="25" fillId="0" borderId="42" xfId="1" applyNumberFormat="1" applyFont="1" applyBorder="1"/>
    <xf numFmtId="165" fontId="4" fillId="0" borderId="3" xfId="1" applyNumberFormat="1" applyFont="1" applyBorder="1"/>
    <xf numFmtId="165" fontId="25" fillId="0" borderId="3" xfId="1" applyNumberFormat="1" applyFont="1" applyBorder="1"/>
    <xf numFmtId="0" fontId="4" fillId="0" borderId="5" xfId="0" applyFont="1" applyBorder="1"/>
    <xf numFmtId="165" fontId="4" fillId="0" borderId="5" xfId="1" applyNumberFormat="1" applyFont="1" applyBorder="1"/>
    <xf numFmtId="165" fontId="25" fillId="0" borderId="5" xfId="1" applyNumberFormat="1" applyFont="1" applyBorder="1"/>
    <xf numFmtId="165" fontId="4" fillId="0" borderId="7" xfId="1" applyNumberFormat="1" applyFont="1" applyBorder="1"/>
    <xf numFmtId="3" fontId="4" fillId="2" borderId="3" xfId="0" applyNumberFormat="1" applyFont="1" applyFill="1" applyBorder="1"/>
    <xf numFmtId="3" fontId="4" fillId="2" borderId="17" xfId="0" applyNumberFormat="1" applyFont="1" applyFill="1" applyBorder="1"/>
    <xf numFmtId="3" fontId="4" fillId="0" borderId="17" xfId="0" applyNumberFormat="1" applyFont="1" applyBorder="1"/>
    <xf numFmtId="3" fontId="4" fillId="0" borderId="46" xfId="0" applyNumberFormat="1" applyFont="1" applyBorder="1"/>
    <xf numFmtId="0" fontId="4" fillId="0" borderId="35" xfId="0" applyFont="1" applyFill="1" applyBorder="1"/>
    <xf numFmtId="165" fontId="25" fillId="0" borderId="11" xfId="1" applyNumberFormat="1" applyFont="1" applyFill="1" applyBorder="1" applyAlignment="1">
      <alignment horizontal="right" vertical="center"/>
    </xf>
    <xf numFmtId="165" fontId="21" fillId="0" borderId="11" xfId="1" applyNumberFormat="1" applyFont="1" applyFill="1" applyBorder="1" applyAlignment="1">
      <alignment horizontal="right" vertical="center"/>
    </xf>
    <xf numFmtId="165" fontId="21" fillId="0" borderId="0" xfId="1" applyNumberFormat="1" applyFont="1" applyFill="1" applyAlignment="1">
      <alignment horizontal="right" vertical="center"/>
    </xf>
    <xf numFmtId="0" fontId="24" fillId="0" borderId="16" xfId="0" applyFont="1" applyBorder="1"/>
    <xf numFmtId="3" fontId="24" fillId="0" borderId="16" xfId="0" applyNumberFormat="1" applyFont="1" applyBorder="1"/>
    <xf numFmtId="3" fontId="24" fillId="0" borderId="34" xfId="0" applyNumberFormat="1" applyFont="1" applyBorder="1"/>
    <xf numFmtId="0" fontId="4" fillId="0" borderId="86" xfId="0" applyFont="1" applyBorder="1"/>
    <xf numFmtId="3" fontId="4" fillId="0" borderId="60" xfId="0" applyNumberFormat="1" applyFont="1" applyBorder="1"/>
    <xf numFmtId="0" fontId="30" fillId="2" borderId="0" xfId="0" applyFont="1" applyFill="1" applyBorder="1" applyAlignment="1">
      <alignment horizontal="right" vertical="center"/>
    </xf>
    <xf numFmtId="3" fontId="21" fillId="0" borderId="60" xfId="0" applyNumberFormat="1" applyFont="1" applyBorder="1"/>
    <xf numFmtId="3" fontId="21" fillId="2" borderId="60" xfId="0" applyNumberFormat="1" applyFont="1" applyFill="1" applyBorder="1"/>
    <xf numFmtId="3" fontId="4" fillId="2" borderId="60" xfId="0" applyNumberFormat="1" applyFont="1" applyFill="1" applyBorder="1"/>
    <xf numFmtId="3" fontId="4" fillId="2" borderId="61" xfId="0" applyNumberFormat="1" applyFont="1" applyFill="1" applyBorder="1"/>
    <xf numFmtId="0" fontId="4" fillId="0" borderId="90" xfId="0" applyFont="1" applyBorder="1"/>
    <xf numFmtId="3" fontId="4" fillId="2" borderId="67" xfId="0" applyNumberFormat="1" applyFont="1" applyFill="1" applyBorder="1"/>
    <xf numFmtId="3" fontId="29" fillId="0" borderId="85" xfId="0" applyNumberFormat="1" applyFont="1" applyBorder="1"/>
    <xf numFmtId="3" fontId="4" fillId="2" borderId="59" xfId="0" applyNumberFormat="1" applyFont="1" applyFill="1" applyBorder="1"/>
    <xf numFmtId="3" fontId="4" fillId="0" borderId="99" xfId="0" applyNumberFormat="1" applyFont="1" applyBorder="1"/>
    <xf numFmtId="165" fontId="4" fillId="2" borderId="66" xfId="1" applyNumberFormat="1" applyFont="1" applyFill="1" applyBorder="1"/>
    <xf numFmtId="0" fontId="4" fillId="0" borderId="86" xfId="0" applyFont="1" applyFill="1" applyBorder="1"/>
    <xf numFmtId="3" fontId="4" fillId="0" borderId="11" xfId="0" applyNumberFormat="1" applyFont="1" applyFill="1" applyBorder="1"/>
    <xf numFmtId="0" fontId="4" fillId="0" borderId="89" xfId="0" applyFont="1" applyFill="1" applyBorder="1"/>
    <xf numFmtId="3" fontId="4" fillId="0" borderId="19" xfId="0" applyNumberFormat="1" applyFont="1" applyFill="1" applyBorder="1"/>
    <xf numFmtId="3" fontId="4" fillId="2" borderId="69" xfId="0" applyNumberFormat="1" applyFont="1" applyFill="1" applyBorder="1"/>
    <xf numFmtId="3" fontId="21" fillId="2" borderId="61" xfId="0" applyNumberFormat="1" applyFont="1" applyFill="1" applyBorder="1"/>
    <xf numFmtId="3" fontId="4" fillId="0" borderId="96" xfId="0" applyNumberFormat="1" applyFont="1" applyBorder="1"/>
    <xf numFmtId="165" fontId="4" fillId="2" borderId="62" xfId="1" applyNumberFormat="1" applyFont="1" applyFill="1" applyBorder="1"/>
    <xf numFmtId="0" fontId="4" fillId="0" borderId="66" xfId="0" applyFont="1" applyFill="1" applyBorder="1"/>
    <xf numFmtId="3" fontId="4" fillId="0" borderId="83" xfId="0" applyNumberFormat="1" applyFont="1" applyFill="1" applyBorder="1"/>
    <xf numFmtId="3" fontId="4" fillId="0" borderId="0" xfId="0" applyNumberFormat="1" applyFont="1" applyFill="1" applyBorder="1"/>
    <xf numFmtId="3" fontId="4" fillId="2" borderId="91" xfId="0" applyNumberFormat="1" applyFont="1" applyFill="1" applyBorder="1"/>
    <xf numFmtId="0" fontId="4" fillId="0" borderId="0" xfId="0" applyFont="1" applyFill="1" applyBorder="1"/>
    <xf numFmtId="3" fontId="4" fillId="0" borderId="86" xfId="0" applyNumberFormat="1" applyFont="1" applyFill="1" applyBorder="1"/>
    <xf numFmtId="3" fontId="4" fillId="2" borderId="92" xfId="0" applyNumberFormat="1" applyFont="1" applyFill="1" applyBorder="1"/>
    <xf numFmtId="0" fontId="4" fillId="0" borderId="90" xfId="0" applyFont="1" applyFill="1" applyBorder="1"/>
    <xf numFmtId="3" fontId="4" fillId="0" borderId="36" xfId="0" applyNumberFormat="1" applyFont="1" applyFill="1" applyBorder="1"/>
    <xf numFmtId="3" fontId="21" fillId="2" borderId="96" xfId="0" applyNumberFormat="1" applyFont="1" applyFill="1" applyBorder="1"/>
    <xf numFmtId="3" fontId="4" fillId="0" borderId="61" xfId="0" applyNumberFormat="1" applyFont="1" applyBorder="1"/>
    <xf numFmtId="3" fontId="4" fillId="2" borderId="106" xfId="0" applyNumberFormat="1" applyFont="1" applyFill="1" applyBorder="1"/>
    <xf numFmtId="0" fontId="4" fillId="2" borderId="86" xfId="0" applyFont="1" applyFill="1" applyBorder="1"/>
    <xf numFmtId="0" fontId="4" fillId="2" borderId="89" xfId="0" applyFont="1" applyFill="1" applyBorder="1"/>
    <xf numFmtId="0" fontId="4" fillId="2" borderId="90" xfId="0" applyFont="1" applyFill="1" applyBorder="1"/>
    <xf numFmtId="3" fontId="4" fillId="2" borderId="83" xfId="0" applyNumberFormat="1" applyFont="1" applyFill="1" applyBorder="1"/>
    <xf numFmtId="3" fontId="4" fillId="2" borderId="37" xfId="0" applyNumberFormat="1" applyFont="1" applyFill="1" applyBorder="1"/>
    <xf numFmtId="3" fontId="4" fillId="2" borderId="86" xfId="0" applyNumberFormat="1" applyFont="1" applyFill="1" applyBorder="1"/>
    <xf numFmtId="3" fontId="4" fillId="2" borderId="82" xfId="0" applyNumberFormat="1" applyFont="1" applyFill="1" applyBorder="1"/>
    <xf numFmtId="3" fontId="4" fillId="2" borderId="93" xfId="0" applyNumberFormat="1" applyFont="1" applyFill="1" applyBorder="1"/>
    <xf numFmtId="165" fontId="4" fillId="2" borderId="0" xfId="1" applyNumberFormat="1" applyFont="1" applyFill="1" applyBorder="1" applyAlignment="1">
      <alignment horizontal="right"/>
    </xf>
    <xf numFmtId="3" fontId="4" fillId="0" borderId="92" xfId="0" applyNumberFormat="1" applyFont="1" applyBorder="1" applyAlignment="1">
      <alignment horizontal="right"/>
    </xf>
    <xf numFmtId="3" fontId="4" fillId="2" borderId="92" xfId="0" applyNumberFormat="1" applyFont="1" applyFill="1" applyBorder="1" applyAlignment="1">
      <alignment horizontal="right"/>
    </xf>
    <xf numFmtId="3" fontId="4" fillId="2" borderId="91" xfId="0" applyNumberFormat="1" applyFont="1" applyFill="1" applyBorder="1" applyAlignment="1">
      <alignment horizontal="right"/>
    </xf>
    <xf numFmtId="165" fontId="4" fillId="2" borderId="85" xfId="1" applyNumberFormat="1" applyFont="1" applyFill="1" applyBorder="1"/>
    <xf numFmtId="3" fontId="4" fillId="2" borderId="65" xfId="0" applyNumberFormat="1" applyFont="1" applyFill="1" applyBorder="1"/>
    <xf numFmtId="3" fontId="4" fillId="2" borderId="66" xfId="0" applyNumberFormat="1" applyFont="1" applyFill="1" applyBorder="1"/>
    <xf numFmtId="3" fontId="29" fillId="0" borderId="91" xfId="0" applyNumberFormat="1" applyFont="1" applyBorder="1"/>
    <xf numFmtId="3" fontId="21" fillId="2" borderId="59" xfId="0" applyNumberFormat="1" applyFont="1" applyFill="1" applyBorder="1"/>
    <xf numFmtId="3" fontId="21" fillId="2" borderId="60" xfId="0" applyNumberFormat="1" applyFont="1" applyFill="1" applyBorder="1" applyAlignment="1">
      <alignment horizontal="right"/>
    </xf>
    <xf numFmtId="165" fontId="4" fillId="2" borderId="62" xfId="1" applyNumberFormat="1" applyFont="1" applyFill="1" applyBorder="1" applyAlignment="1">
      <alignment horizontal="right"/>
    </xf>
    <xf numFmtId="3" fontId="21" fillId="2" borderId="59" xfId="0" applyNumberFormat="1" applyFont="1" applyFill="1" applyBorder="1" applyAlignment="1">
      <alignment horizontal="right"/>
    </xf>
    <xf numFmtId="3" fontId="4" fillId="0" borderId="59" xfId="0" applyNumberFormat="1" applyFont="1" applyBorder="1"/>
    <xf numFmtId="3" fontId="4" fillId="0" borderId="6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21" fillId="0" borderId="6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1" fillId="0" borderId="61" xfId="0" applyNumberFormat="1" applyFont="1" applyBorder="1" applyAlignment="1">
      <alignment horizontal="right"/>
    </xf>
    <xf numFmtId="3" fontId="4" fillId="0" borderId="63" xfId="0" applyNumberFormat="1" applyFont="1" applyBorder="1" applyAlignment="1">
      <alignment horizontal="right"/>
    </xf>
    <xf numFmtId="3" fontId="4" fillId="0" borderId="61" xfId="0" applyNumberFormat="1" applyFont="1" applyBorder="1" applyAlignment="1">
      <alignment horizontal="right"/>
    </xf>
    <xf numFmtId="0" fontId="4" fillId="2" borderId="11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0" borderId="38" xfId="0" applyNumberFormat="1" applyFont="1" applyBorder="1"/>
    <xf numFmtId="165" fontId="4" fillId="2" borderId="27" xfId="1" applyNumberFormat="1" applyFont="1" applyFill="1" applyBorder="1"/>
    <xf numFmtId="3" fontId="4" fillId="2" borderId="38" xfId="0" applyNumberFormat="1" applyFont="1" applyFill="1" applyBorder="1"/>
    <xf numFmtId="0" fontId="4" fillId="0" borderId="20" xfId="0" applyFont="1" applyBorder="1"/>
    <xf numFmtId="165" fontId="4" fillId="2" borderId="15" xfId="1" applyNumberFormat="1" applyFont="1" applyFill="1" applyBorder="1"/>
    <xf numFmtId="0" fontId="4" fillId="0" borderId="42" xfId="0" applyFont="1" applyBorder="1"/>
    <xf numFmtId="3" fontId="4" fillId="0" borderId="42" xfId="0" applyNumberFormat="1" applyFont="1" applyBorder="1"/>
    <xf numFmtId="0" fontId="4" fillId="2" borderId="19" xfId="0" applyFont="1" applyFill="1" applyBorder="1" applyAlignment="1">
      <alignment vertical="center"/>
    </xf>
    <xf numFmtId="165" fontId="4" fillId="2" borderId="26" xfId="1" applyNumberFormat="1" applyFont="1" applyFill="1" applyBorder="1"/>
    <xf numFmtId="3" fontId="4" fillId="2" borderId="27" xfId="0" applyNumberFormat="1" applyFont="1" applyFill="1" applyBorder="1"/>
    <xf numFmtId="165" fontId="4" fillId="0" borderId="0" xfId="1" applyNumberFormat="1" applyFont="1"/>
    <xf numFmtId="165" fontId="25" fillId="0" borderId="0" xfId="1" applyNumberFormat="1" applyFont="1"/>
    <xf numFmtId="0" fontId="4" fillId="0" borderId="21" xfId="0" applyFont="1" applyBorder="1"/>
    <xf numFmtId="165" fontId="4" fillId="0" borderId="21" xfId="1" applyNumberFormat="1" applyFont="1" applyBorder="1"/>
    <xf numFmtId="165" fontId="25" fillId="0" borderId="21" xfId="1" applyNumberFormat="1" applyFont="1" applyBorder="1"/>
    <xf numFmtId="165" fontId="4" fillId="0" borderId="22" xfId="1" applyNumberFormat="1" applyFont="1" applyBorder="1"/>
    <xf numFmtId="3" fontId="4" fillId="0" borderId="93" xfId="0" applyNumberFormat="1" applyFont="1" applyBorder="1"/>
    <xf numFmtId="3" fontId="4" fillId="0" borderId="20" xfId="0" applyNumberFormat="1" applyFont="1" applyBorder="1"/>
    <xf numFmtId="0" fontId="4" fillId="0" borderId="11" xfId="0" applyFont="1" applyFill="1" applyBorder="1"/>
    <xf numFmtId="0" fontId="4" fillId="0" borderId="36" xfId="0" applyFont="1" applyFill="1" applyBorder="1"/>
    <xf numFmtId="3" fontId="4" fillId="0" borderId="15" xfId="0" applyNumberFormat="1" applyFont="1" applyBorder="1"/>
    <xf numFmtId="3" fontId="4" fillId="0" borderId="68" xfId="0" applyNumberFormat="1" applyFont="1" applyBorder="1"/>
    <xf numFmtId="3" fontId="4" fillId="0" borderId="105" xfId="0" applyNumberFormat="1" applyFont="1" applyBorder="1"/>
    <xf numFmtId="3" fontId="4" fillId="0" borderId="69" xfId="0" applyNumberFormat="1" applyFont="1" applyBorder="1"/>
    <xf numFmtId="3" fontId="4" fillId="0" borderId="26" xfId="0" applyNumberFormat="1" applyFont="1" applyFill="1" applyBorder="1"/>
    <xf numFmtId="0" fontId="4" fillId="0" borderId="19" xfId="0" applyFont="1" applyFill="1" applyBorder="1"/>
    <xf numFmtId="3" fontId="4" fillId="2" borderId="68" xfId="0" applyNumberFormat="1" applyFont="1" applyFill="1" applyBorder="1"/>
    <xf numFmtId="0" fontId="4" fillId="2" borderId="36" xfId="0" applyFont="1" applyFill="1" applyBorder="1"/>
    <xf numFmtId="0" fontId="4" fillId="2" borderId="19" xfId="0" applyFont="1" applyFill="1" applyBorder="1"/>
    <xf numFmtId="3" fontId="4" fillId="0" borderId="37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0" fontId="4" fillId="0" borderId="18" xfId="0" applyFont="1" applyBorder="1"/>
    <xf numFmtId="3" fontId="4" fillId="0" borderId="18" xfId="0" applyNumberFormat="1" applyFont="1" applyBorder="1"/>
    <xf numFmtId="3" fontId="4" fillId="2" borderId="25" xfId="0" applyNumberFormat="1" applyFont="1" applyFill="1" applyBorder="1"/>
    <xf numFmtId="165" fontId="4" fillId="0" borderId="26" xfId="1" applyNumberFormat="1" applyFont="1" applyBorder="1"/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165" fontId="4" fillId="0" borderId="15" xfId="1" applyNumberFormat="1" applyFont="1" applyBorder="1"/>
    <xf numFmtId="165" fontId="4" fillId="0" borderId="0" xfId="1" applyNumberFormat="1" applyFont="1" applyBorder="1" applyAlignment="1">
      <alignment horizontal="right"/>
    </xf>
    <xf numFmtId="0" fontId="21" fillId="0" borderId="11" xfId="0" applyFont="1" applyFill="1" applyBorder="1" applyAlignment="1">
      <alignment horizontal="right" vertical="center"/>
    </xf>
    <xf numFmtId="3" fontId="29" fillId="0" borderId="68" xfId="0" applyNumberFormat="1" applyFont="1" applyBorder="1"/>
    <xf numFmtId="165" fontId="4" fillId="0" borderId="6" xfId="1" applyNumberFormat="1" applyFont="1" applyBorder="1"/>
    <xf numFmtId="0" fontId="4" fillId="0" borderId="101" xfId="0" applyFont="1" applyBorder="1"/>
    <xf numFmtId="3" fontId="29" fillId="0" borderId="69" xfId="0" applyNumberFormat="1" applyFont="1" applyBorder="1"/>
    <xf numFmtId="165" fontId="4" fillId="0" borderId="31" xfId="1" applyNumberFormat="1" applyFont="1" applyBorder="1"/>
    <xf numFmtId="0" fontId="4" fillId="0" borderId="44" xfId="0" applyFont="1" applyBorder="1"/>
    <xf numFmtId="0" fontId="4" fillId="0" borderId="10" xfId="0" applyFont="1" applyBorder="1"/>
    <xf numFmtId="0" fontId="4" fillId="0" borderId="1" xfId="0" applyFont="1" applyFill="1" applyBorder="1"/>
    <xf numFmtId="3" fontId="29" fillId="0" borderId="97" xfId="0" applyNumberFormat="1" applyFont="1" applyBorder="1"/>
    <xf numFmtId="0" fontId="4" fillId="0" borderId="7" xfId="0" applyFont="1" applyFill="1" applyBorder="1"/>
    <xf numFmtId="0" fontId="4" fillId="0" borderId="44" xfId="0" applyFont="1" applyFill="1" applyBorder="1"/>
    <xf numFmtId="3" fontId="29" fillId="0" borderId="35" xfId="0" applyNumberFormat="1" applyFont="1" applyBorder="1"/>
    <xf numFmtId="0" fontId="4" fillId="0" borderId="10" xfId="0" applyFont="1" applyFill="1" applyBorder="1"/>
    <xf numFmtId="3" fontId="29" fillId="0" borderId="100" xfId="0" applyNumberFormat="1" applyFont="1" applyBorder="1"/>
    <xf numFmtId="3" fontId="29" fillId="0" borderId="92" xfId="0" applyNumberFormat="1" applyFont="1" applyBorder="1"/>
    <xf numFmtId="0" fontId="4" fillId="0" borderId="58" xfId="0" applyFont="1" applyFill="1" applyBorder="1"/>
    <xf numFmtId="0" fontId="4" fillId="2" borderId="42" xfId="0" applyFont="1" applyFill="1" applyBorder="1"/>
    <xf numFmtId="0" fontId="4" fillId="2" borderId="45" xfId="0" applyFont="1" applyFill="1" applyBorder="1"/>
    <xf numFmtId="0" fontId="4" fillId="2" borderId="102" xfId="0" applyFont="1" applyFill="1" applyBorder="1"/>
    <xf numFmtId="0" fontId="4" fillId="2" borderId="44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3" fontId="29" fillId="0" borderId="10" xfId="0" applyNumberFormat="1" applyFont="1" applyBorder="1"/>
    <xf numFmtId="3" fontId="29" fillId="0" borderId="44" xfId="0" applyNumberFormat="1" applyFont="1" applyBorder="1"/>
    <xf numFmtId="3" fontId="29" fillId="0" borderId="58" xfId="0" applyNumberFormat="1" applyFont="1" applyBorder="1"/>
    <xf numFmtId="0" fontId="4" fillId="2" borderId="8" xfId="0" applyFont="1" applyFill="1" applyBorder="1"/>
    <xf numFmtId="0" fontId="4" fillId="2" borderId="1" xfId="0" applyFont="1" applyFill="1" applyBorder="1"/>
    <xf numFmtId="165" fontId="4" fillId="0" borderId="103" xfId="1" applyNumberFormat="1" applyFont="1" applyBorder="1"/>
    <xf numFmtId="0" fontId="4" fillId="0" borderId="1" xfId="0" applyFont="1" applyBorder="1"/>
    <xf numFmtId="0" fontId="4" fillId="0" borderId="15" xfId="0" applyFont="1" applyFill="1" applyBorder="1"/>
    <xf numFmtId="0" fontId="4" fillId="0" borderId="42" xfId="0" applyFont="1" applyFill="1" applyBorder="1"/>
    <xf numFmtId="3" fontId="29" fillId="0" borderId="38" xfId="0" applyNumberFormat="1" applyFont="1" applyBorder="1"/>
    <xf numFmtId="165" fontId="4" fillId="0" borderId="15" xfId="1" applyNumberFormat="1" applyFont="1" applyBorder="1" applyAlignment="1">
      <alignment horizontal="right"/>
    </xf>
    <xf numFmtId="0" fontId="4" fillId="0" borderId="8" xfId="0" applyFont="1" applyFill="1" applyBorder="1"/>
    <xf numFmtId="0" fontId="4" fillId="0" borderId="37" xfId="0" applyFont="1" applyBorder="1"/>
    <xf numFmtId="0" fontId="4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3" fontId="29" fillId="0" borderId="37" xfId="0" applyNumberFormat="1" applyFont="1" applyBorder="1"/>
    <xf numFmtId="0" fontId="4" fillId="0" borderId="0" xfId="0" applyFont="1" applyBorder="1" applyAlignment="1"/>
    <xf numFmtId="165" fontId="21" fillId="0" borderId="32" xfId="1" applyNumberFormat="1" applyFont="1" applyBorder="1"/>
    <xf numFmtId="165" fontId="4" fillId="0" borderId="34" xfId="1" applyNumberFormat="1" applyFont="1" applyBorder="1"/>
    <xf numFmtId="0" fontId="21" fillId="0" borderId="16" xfId="0" applyFont="1" applyBorder="1"/>
    <xf numFmtId="165" fontId="21" fillId="0" borderId="33" xfId="0" applyNumberFormat="1" applyFont="1" applyBorder="1"/>
    <xf numFmtId="0" fontId="21" fillId="0" borderId="35" xfId="0" applyFont="1" applyBorder="1"/>
    <xf numFmtId="0" fontId="21" fillId="0" borderId="37" xfId="0" applyFont="1" applyBorder="1"/>
    <xf numFmtId="165" fontId="21" fillId="2" borderId="36" xfId="1" applyNumberFormat="1" applyFont="1" applyFill="1" applyBorder="1" applyAlignment="1">
      <alignment horizontal="right" vertical="center"/>
    </xf>
    <xf numFmtId="165" fontId="4" fillId="2" borderId="33" xfId="1" applyNumberFormat="1" applyFont="1" applyFill="1" applyBorder="1" applyAlignment="1">
      <alignment horizontal="right" vertical="center"/>
    </xf>
    <xf numFmtId="165" fontId="25" fillId="2" borderId="33" xfId="1" applyNumberFormat="1" applyFont="1" applyFill="1" applyBorder="1" applyAlignment="1">
      <alignment horizontal="right" vertical="center"/>
    </xf>
    <xf numFmtId="165" fontId="25" fillId="2" borderId="32" xfId="1" applyNumberFormat="1" applyFont="1" applyFill="1" applyBorder="1" applyAlignment="1">
      <alignment horizontal="right" vertical="center"/>
    </xf>
    <xf numFmtId="165" fontId="4" fillId="0" borderId="16" xfId="1" applyNumberFormat="1" applyFont="1" applyBorder="1"/>
    <xf numFmtId="3" fontId="4" fillId="0" borderId="16" xfId="0" applyNumberFormat="1" applyFont="1" applyBorder="1"/>
    <xf numFmtId="165" fontId="25" fillId="0" borderId="34" xfId="0" applyNumberFormat="1" applyFont="1" applyBorder="1"/>
    <xf numFmtId="165" fontId="25" fillId="0" borderId="16" xfId="1" applyNumberFormat="1" applyFont="1" applyBorder="1"/>
    <xf numFmtId="0" fontId="4" fillId="0" borderId="35" xfId="0" applyFont="1" applyFill="1" applyBorder="1" applyAlignment="1">
      <alignment horizontal="right" vertical="center"/>
    </xf>
    <xf numFmtId="165" fontId="4" fillId="0" borderId="79" xfId="1" applyNumberFormat="1" applyFont="1" applyBorder="1"/>
    <xf numFmtId="0" fontId="4" fillId="0" borderId="16" xfId="0" applyFont="1" applyFill="1" applyBorder="1" applyAlignment="1">
      <alignment horizontal="right" vertical="center"/>
    </xf>
    <xf numFmtId="0" fontId="4" fillId="0" borderId="78" xfId="0" applyFont="1" applyBorder="1"/>
    <xf numFmtId="0" fontId="4" fillId="0" borderId="50" xfId="0" applyFont="1" applyBorder="1"/>
    <xf numFmtId="165" fontId="4" fillId="0" borderId="48" xfId="1" applyNumberFormat="1" applyFont="1" applyBorder="1"/>
    <xf numFmtId="0" fontId="4" fillId="0" borderId="51" xfId="0" applyFont="1" applyBorder="1"/>
    <xf numFmtId="0" fontId="4" fillId="0" borderId="52" xfId="0" applyFont="1" applyBorder="1"/>
    <xf numFmtId="165" fontId="4" fillId="0" borderId="49" xfId="1" applyNumberFormat="1" applyFont="1" applyBorder="1"/>
    <xf numFmtId="1" fontId="4" fillId="0" borderId="38" xfId="1" applyNumberFormat="1" applyFont="1" applyFill="1" applyBorder="1" applyAlignment="1">
      <alignment horizontal="right" vertical="center"/>
    </xf>
    <xf numFmtId="166" fontId="25" fillId="0" borderId="27" xfId="1" applyNumberFormat="1" applyFont="1" applyBorder="1"/>
    <xf numFmtId="1" fontId="4" fillId="0" borderId="35" xfId="1" applyNumberFormat="1" applyFont="1" applyFill="1" applyBorder="1" applyAlignment="1">
      <alignment horizontal="right" vertical="center"/>
    </xf>
    <xf numFmtId="1" fontId="4" fillId="0" borderId="37" xfId="1" applyNumberFormat="1" applyFont="1" applyFill="1" applyBorder="1" applyAlignment="1">
      <alignment horizontal="right" vertical="center"/>
    </xf>
    <xf numFmtId="166" fontId="25" fillId="0" borderId="33" xfId="1" applyNumberFormat="1" applyFont="1" applyBorder="1"/>
    <xf numFmtId="166" fontId="4" fillId="0" borderId="33" xfId="1" applyNumberFormat="1" applyFont="1" applyBorder="1"/>
    <xf numFmtId="165" fontId="29" fillId="0" borderId="11" xfId="1" applyNumberFormat="1" applyFont="1" applyBorder="1"/>
    <xf numFmtId="165" fontId="4" fillId="0" borderId="35" xfId="1" applyNumberFormat="1" applyFont="1" applyBorder="1"/>
    <xf numFmtId="165" fontId="4" fillId="2" borderId="11" xfId="1" applyNumberFormat="1" applyFont="1" applyFill="1" applyBorder="1"/>
    <xf numFmtId="165" fontId="4" fillId="0" borderId="11" xfId="1" applyNumberFormat="1" applyFont="1" applyBorder="1" applyAlignment="1">
      <alignment horizontal="right"/>
    </xf>
    <xf numFmtId="165" fontId="29" fillId="0" borderId="11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19" xfId="1" applyNumberFormat="1" applyFont="1" applyBorder="1"/>
    <xf numFmtId="165" fontId="29" fillId="0" borderId="19" xfId="1" applyNumberFormat="1" applyFont="1" applyBorder="1"/>
    <xf numFmtId="165" fontId="4" fillId="0" borderId="19" xfId="0" applyNumberFormat="1" applyFont="1" applyBorder="1"/>
    <xf numFmtId="166" fontId="4" fillId="0" borderId="0" xfId="0" applyNumberFormat="1" applyFont="1" applyBorder="1"/>
    <xf numFmtId="166" fontId="4" fillId="0" borderId="11" xfId="0" applyNumberFormat="1" applyFont="1" applyBorder="1"/>
    <xf numFmtId="165" fontId="4" fillId="0" borderId="92" xfId="1" applyNumberFormat="1" applyFont="1" applyBorder="1"/>
    <xf numFmtId="165" fontId="4" fillId="0" borderId="60" xfId="1" applyNumberFormat="1" applyFont="1" applyBorder="1"/>
    <xf numFmtId="166" fontId="4" fillId="0" borderId="19" xfId="0" applyNumberFormat="1" applyFont="1" applyBorder="1"/>
    <xf numFmtId="165" fontId="4" fillId="0" borderId="95" xfId="1" applyNumberFormat="1" applyFont="1" applyBorder="1"/>
    <xf numFmtId="165" fontId="4" fillId="0" borderId="96" xfId="1" applyNumberFormat="1" applyFont="1" applyBorder="1"/>
    <xf numFmtId="0" fontId="24" fillId="0" borderId="38" xfId="0" applyFont="1" applyBorder="1"/>
    <xf numFmtId="3" fontId="24" fillId="0" borderId="27" xfId="0" applyNumberFormat="1" applyFont="1" applyBorder="1"/>
    <xf numFmtId="3" fontId="24" fillId="0" borderId="19" xfId="0" applyNumberFormat="1" applyFont="1" applyBorder="1"/>
    <xf numFmtId="3" fontId="24" fillId="0" borderId="32" xfId="0" applyNumberFormat="1" applyFont="1" applyBorder="1"/>
    <xf numFmtId="4" fontId="24" fillId="0" borderId="19" xfId="0" applyNumberFormat="1" applyFont="1" applyBorder="1" applyAlignment="1">
      <alignment vertical="center"/>
    </xf>
    <xf numFmtId="4" fontId="24" fillId="0" borderId="19" xfId="0" applyNumberFormat="1" applyFont="1" applyBorder="1"/>
    <xf numFmtId="4" fontId="24" fillId="2" borderId="19" xfId="0" applyNumberFormat="1" applyFont="1" applyFill="1" applyBorder="1"/>
    <xf numFmtId="4" fontId="24" fillId="2" borderId="27" xfId="0" applyNumberFormat="1" applyFont="1" applyFill="1" applyBorder="1"/>
    <xf numFmtId="4" fontId="24" fillId="0" borderId="32" xfId="0" applyNumberFormat="1" applyFont="1" applyBorder="1" applyAlignment="1">
      <alignment vertical="center"/>
    </xf>
    <xf numFmtId="4" fontId="24" fillId="0" borderId="32" xfId="0" applyNumberFormat="1" applyFont="1" applyBorder="1"/>
    <xf numFmtId="4" fontId="24" fillId="2" borderId="32" xfId="0" applyNumberFormat="1" applyFont="1" applyFill="1" applyBorder="1"/>
    <xf numFmtId="4" fontId="24" fillId="2" borderId="33" xfId="0" applyNumberFormat="1" applyFont="1" applyFill="1" applyBorder="1"/>
    <xf numFmtId="4" fontId="24" fillId="0" borderId="37" xfId="0" applyNumberFormat="1" applyFont="1" applyBorder="1" applyAlignment="1">
      <alignment vertical="center"/>
    </xf>
    <xf numFmtId="3" fontId="24" fillId="0" borderId="33" xfId="0" applyNumberFormat="1" applyFont="1" applyBorder="1"/>
    <xf numFmtId="4" fontId="24" fillId="0" borderId="11" xfId="0" applyNumberFormat="1" applyFont="1" applyBorder="1"/>
    <xf numFmtId="4" fontId="24" fillId="2" borderId="11" xfId="0" applyNumberFormat="1" applyFont="1" applyFill="1" applyBorder="1"/>
    <xf numFmtId="4" fontId="24" fillId="0" borderId="16" xfId="0" applyNumberFormat="1" applyFont="1" applyBorder="1" applyAlignment="1">
      <alignment vertical="center"/>
    </xf>
    <xf numFmtId="3" fontId="29" fillId="0" borderId="83" xfId="0" applyNumberFormat="1" applyFont="1" applyBorder="1"/>
    <xf numFmtId="165" fontId="4" fillId="0" borderId="0" xfId="1" applyNumberFormat="1" applyFont="1" applyFill="1" applyBorder="1"/>
    <xf numFmtId="165" fontId="4" fillId="2" borderId="84" xfId="1" applyNumberFormat="1" applyFont="1" applyFill="1" applyBorder="1" applyAlignment="1">
      <alignment horizontal="right"/>
    </xf>
    <xf numFmtId="3" fontId="21" fillId="2" borderId="99" xfId="0" applyNumberFormat="1" applyFont="1" applyFill="1" applyBorder="1"/>
    <xf numFmtId="3" fontId="4" fillId="2" borderId="70" xfId="0" applyNumberFormat="1" applyFont="1" applyFill="1" applyBorder="1"/>
    <xf numFmtId="3" fontId="21" fillId="2" borderId="86" xfId="0" applyNumberFormat="1" applyFont="1" applyFill="1" applyBorder="1"/>
    <xf numFmtId="3" fontId="21" fillId="2" borderId="83" xfId="0" applyNumberFormat="1" applyFont="1" applyFill="1" applyBorder="1"/>
    <xf numFmtId="165" fontId="0" fillId="0" borderId="0" xfId="0" applyNumberFormat="1" applyAlignment="1">
      <alignment horizontal="left"/>
    </xf>
    <xf numFmtId="165" fontId="0" fillId="2" borderId="0" xfId="0" applyNumberFormat="1" applyFill="1" applyAlignment="1">
      <alignment horizontal="left"/>
    </xf>
    <xf numFmtId="165" fontId="31" fillId="0" borderId="0" xfId="1" applyNumberFormat="1" applyFont="1"/>
    <xf numFmtId="0" fontId="26" fillId="0" borderId="0" xfId="0" applyFont="1" applyAlignment="1">
      <alignment horizontal="left"/>
    </xf>
    <xf numFmtId="0" fontId="22" fillId="2" borderId="0" xfId="0" applyFont="1" applyFill="1"/>
    <xf numFmtId="166" fontId="6" fillId="0" borderId="0" xfId="0" applyNumberFormat="1" applyFont="1"/>
    <xf numFmtId="0" fontId="19" fillId="3" borderId="54" xfId="0" applyFont="1" applyFill="1" applyBorder="1" applyAlignment="1">
      <alignment horizontal="center" vertical="center"/>
    </xf>
    <xf numFmtId="0" fontId="7" fillId="0" borderId="38" xfId="0" applyFont="1" applyBorder="1"/>
    <xf numFmtId="165" fontId="28" fillId="0" borderId="32" xfId="1" applyNumberFormat="1" applyFont="1" applyBorder="1"/>
    <xf numFmtId="0" fontId="19" fillId="3" borderId="39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165" fontId="7" fillId="0" borderId="19" xfId="1" applyNumberFormat="1" applyFont="1" applyBorder="1"/>
    <xf numFmtId="165" fontId="28" fillId="0" borderId="19" xfId="1" applyNumberFormat="1" applyFont="1" applyBorder="1"/>
    <xf numFmtId="165" fontId="7" fillId="0" borderId="27" xfId="0" applyNumberFormat="1" applyFont="1" applyBorder="1"/>
    <xf numFmtId="0" fontId="5" fillId="3" borderId="12" xfId="0" applyFont="1" applyFill="1" applyBorder="1" applyAlignment="1">
      <alignment vertical="center"/>
    </xf>
    <xf numFmtId="0" fontId="15" fillId="2" borderId="0" xfId="0" applyFont="1" applyFill="1"/>
    <xf numFmtId="3" fontId="5" fillId="2" borderId="0" xfId="0" applyNumberFormat="1" applyFont="1" applyFill="1" applyBorder="1"/>
    <xf numFmtId="3" fontId="5" fillId="2" borderId="0" xfId="0" applyNumberFormat="1" applyFont="1" applyFill="1"/>
    <xf numFmtId="0" fontId="15" fillId="2" borderId="20" xfId="0" applyFont="1" applyFill="1" applyBorder="1"/>
    <xf numFmtId="0" fontId="15" fillId="2" borderId="0" xfId="0" applyFont="1" applyFill="1" applyBorder="1"/>
    <xf numFmtId="3" fontId="5" fillId="2" borderId="20" xfId="0" applyNumberFormat="1" applyFont="1" applyFill="1" applyBorder="1"/>
    <xf numFmtId="3" fontId="32" fillId="2" borderId="0" xfId="0" applyNumberFormat="1" applyFont="1" applyFill="1"/>
    <xf numFmtId="3" fontId="32" fillId="2" borderId="0" xfId="0" applyNumberFormat="1" applyFont="1" applyFill="1" applyBorder="1"/>
    <xf numFmtId="3" fontId="33" fillId="2" borderId="0" xfId="0" applyNumberFormat="1" applyFont="1" applyFill="1"/>
    <xf numFmtId="3" fontId="33" fillId="2" borderId="0" xfId="0" applyNumberFormat="1" applyFont="1" applyFill="1" applyAlignment="1">
      <alignment horizontal="left"/>
    </xf>
    <xf numFmtId="3" fontId="34" fillId="2" borderId="0" xfId="0" applyNumberFormat="1" applyFont="1" applyFill="1" applyBorder="1"/>
    <xf numFmtId="0" fontId="4" fillId="0" borderId="38" xfId="0" applyFont="1" applyBorder="1" applyAlignment="1"/>
    <xf numFmtId="3" fontId="4" fillId="2" borderId="15" xfId="0" applyNumberFormat="1" applyFont="1" applyFill="1" applyBorder="1"/>
    <xf numFmtId="0" fontId="4" fillId="0" borderId="3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6" xfId="0" applyFont="1" applyBorder="1"/>
    <xf numFmtId="0" fontId="4" fillId="0" borderId="83" xfId="0" applyFont="1" applyFill="1" applyBorder="1"/>
    <xf numFmtId="165" fontId="21" fillId="0" borderId="15" xfId="1" applyNumberFormat="1" applyFont="1" applyFill="1" applyBorder="1"/>
    <xf numFmtId="0" fontId="4" fillId="2" borderId="99" xfId="0" applyFont="1" applyFill="1" applyBorder="1"/>
    <xf numFmtId="3" fontId="4" fillId="0" borderId="91" xfId="0" applyNumberFormat="1" applyFont="1" applyBorder="1"/>
    <xf numFmtId="0" fontId="29" fillId="0" borderId="83" xfId="0" applyNumberFormat="1" applyFont="1" applyBorder="1"/>
    <xf numFmtId="0" fontId="7" fillId="0" borderId="20" xfId="0" applyFont="1" applyBorder="1"/>
    <xf numFmtId="165" fontId="21" fillId="0" borderId="27" xfId="1" applyNumberFormat="1" applyFont="1" applyFill="1" applyBorder="1"/>
    <xf numFmtId="165" fontId="4" fillId="2" borderId="84" xfId="1" applyNumberFormat="1" applyFont="1" applyFill="1" applyBorder="1"/>
    <xf numFmtId="165" fontId="4" fillId="2" borderId="65" xfId="1" applyNumberFormat="1" applyFont="1" applyFill="1" applyBorder="1"/>
    <xf numFmtId="165" fontId="4" fillId="2" borderId="85" xfId="1" applyNumberFormat="1" applyFont="1" applyFill="1" applyBorder="1" applyAlignment="1">
      <alignment horizontal="right"/>
    </xf>
    <xf numFmtId="0" fontId="23" fillId="0" borderId="27" xfId="0" applyFont="1" applyBorder="1"/>
    <xf numFmtId="3" fontId="23" fillId="0" borderId="27" xfId="0" applyNumberFormat="1" applyFont="1" applyBorder="1"/>
    <xf numFmtId="3" fontId="32" fillId="2" borderId="20" xfId="0" applyNumberFormat="1" applyFont="1" applyFill="1" applyBorder="1"/>
    <xf numFmtId="0" fontId="4" fillId="0" borderId="25" xfId="0" applyFont="1" applyFill="1" applyBorder="1"/>
    <xf numFmtId="3" fontId="29" fillId="0" borderId="109" xfId="0" applyNumberFormat="1" applyFont="1" applyBorder="1"/>
    <xf numFmtId="3" fontId="4" fillId="0" borderId="109" xfId="0" applyNumberFormat="1" applyFont="1" applyBorder="1"/>
    <xf numFmtId="3" fontId="29" fillId="0" borderId="110" xfId="0" applyNumberFormat="1" applyFont="1" applyBorder="1"/>
    <xf numFmtId="3" fontId="4" fillId="0" borderId="111" xfId="0" applyNumberFormat="1" applyFont="1" applyBorder="1"/>
    <xf numFmtId="3" fontId="4" fillId="0" borderId="112" xfId="0" applyNumberFormat="1" applyFont="1" applyBorder="1"/>
    <xf numFmtId="0" fontId="4" fillId="2" borderId="113" xfId="0" applyFont="1" applyFill="1" applyBorder="1"/>
    <xf numFmtId="0" fontId="4" fillId="2" borderId="114" xfId="0" applyFont="1" applyFill="1" applyBorder="1"/>
    <xf numFmtId="0" fontId="4" fillId="2" borderId="115" xfId="0" applyFont="1" applyFill="1" applyBorder="1"/>
    <xf numFmtId="3" fontId="29" fillId="0" borderId="114" xfId="0" applyNumberFormat="1" applyFont="1" applyBorder="1"/>
    <xf numFmtId="3" fontId="4" fillId="0" borderId="113" xfId="0" applyNumberFormat="1" applyFont="1" applyBorder="1"/>
    <xf numFmtId="0" fontId="4" fillId="2" borderId="25" xfId="0" applyFont="1" applyFill="1" applyBorder="1"/>
    <xf numFmtId="0" fontId="4" fillId="0" borderId="115" xfId="0" applyFont="1" applyBorder="1"/>
    <xf numFmtId="3" fontId="4" fillId="0" borderId="114" xfId="0" applyNumberFormat="1" applyFont="1" applyBorder="1"/>
    <xf numFmtId="3" fontId="29" fillId="0" borderId="19" xfId="0" applyNumberFormat="1" applyFont="1" applyBorder="1"/>
    <xf numFmtId="3" fontId="34" fillId="2" borderId="20" xfId="0" applyNumberFormat="1" applyFont="1" applyFill="1" applyBorder="1"/>
    <xf numFmtId="3" fontId="6" fillId="2" borderId="15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0" fontId="8" fillId="0" borderId="20" xfId="0" applyFont="1" applyBorder="1"/>
    <xf numFmtId="0" fontId="6" fillId="0" borderId="19" xfId="0" applyFont="1" applyBorder="1"/>
    <xf numFmtId="165" fontId="6" fillId="0" borderId="15" xfId="1" applyNumberFormat="1" applyFont="1" applyBorder="1"/>
    <xf numFmtId="165" fontId="6" fillId="0" borderId="27" xfId="1" applyNumberFormat="1" applyFont="1" applyBorder="1"/>
    <xf numFmtId="0" fontId="4" fillId="2" borderId="20" xfId="0" applyFont="1" applyFill="1" applyBorder="1"/>
    <xf numFmtId="0" fontId="7" fillId="2" borderId="20" xfId="0" applyFont="1" applyFill="1" applyBorder="1" applyAlignment="1"/>
    <xf numFmtId="3" fontId="33" fillId="2" borderId="0" xfId="0" applyNumberFormat="1" applyFont="1" applyFill="1" applyBorder="1"/>
    <xf numFmtId="3" fontId="6" fillId="2" borderId="116" xfId="0" applyNumberFormat="1" applyFont="1" applyFill="1" applyBorder="1"/>
    <xf numFmtId="3" fontId="6" fillId="2" borderId="42" xfId="0" applyNumberFormat="1" applyFont="1" applyFill="1" applyBorder="1"/>
    <xf numFmtId="3" fontId="0" fillId="0" borderId="28" xfId="0" applyNumberFormat="1" applyBorder="1"/>
    <xf numFmtId="165" fontId="4" fillId="0" borderId="11" xfId="1" applyNumberFormat="1" applyFont="1" applyFill="1" applyBorder="1" applyAlignment="1">
      <alignment horizontal="right" vertical="center"/>
    </xf>
    <xf numFmtId="0" fontId="4" fillId="0" borderId="29" xfId="0" applyFont="1" applyBorder="1"/>
    <xf numFmtId="3" fontId="4" fillId="2" borderId="4" xfId="0" applyNumberFormat="1" applyFont="1" applyFill="1" applyBorder="1"/>
    <xf numFmtId="165" fontId="4" fillId="0" borderId="117" xfId="1" applyNumberFormat="1" applyFont="1" applyBorder="1"/>
    <xf numFmtId="0" fontId="0" fillId="0" borderId="12" xfId="0" applyBorder="1"/>
    <xf numFmtId="0" fontId="7" fillId="0" borderId="0" xfId="0" applyFont="1" applyBorder="1"/>
    <xf numFmtId="165" fontId="0" fillId="0" borderId="32" xfId="1" applyNumberFormat="1" applyFont="1" applyBorder="1"/>
    <xf numFmtId="165" fontId="0" fillId="0" borderId="33" xfId="1" applyNumberFormat="1" applyFont="1" applyBorder="1"/>
    <xf numFmtId="0" fontId="24" fillId="0" borderId="16" xfId="0" applyFont="1" applyFill="1" applyBorder="1"/>
    <xf numFmtId="9" fontId="6" fillId="0" borderId="0" xfId="0" applyNumberFormat="1" applyFont="1"/>
    <xf numFmtId="3" fontId="7" fillId="2" borderId="32" xfId="0" applyNumberFormat="1" applyFont="1" applyFill="1" applyBorder="1"/>
    <xf numFmtId="3" fontId="24" fillId="2" borderId="27" xfId="0" applyNumberFormat="1" applyFont="1" applyFill="1" applyBorder="1"/>
    <xf numFmtId="0" fontId="7" fillId="0" borderId="118" xfId="0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67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71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2" borderId="71" xfId="0" applyFont="1" applyFill="1" applyBorder="1" applyAlignment="1">
      <alignment horizontal="left" vertical="center"/>
    </xf>
    <xf numFmtId="0" fontId="4" fillId="2" borderId="68" xfId="0" applyFont="1" applyFill="1" applyBorder="1" applyAlignment="1">
      <alignment horizontal="left" vertical="center"/>
    </xf>
    <xf numFmtId="0" fontId="4" fillId="2" borderId="70" xfId="0" applyFont="1" applyFill="1" applyBorder="1" applyAlignment="1">
      <alignment horizontal="left" vertical="center"/>
    </xf>
    <xf numFmtId="0" fontId="4" fillId="0" borderId="7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9" fontId="19" fillId="3" borderId="107" xfId="1" applyFont="1" applyFill="1" applyBorder="1" applyAlignment="1">
      <alignment horizontal="center" vertical="center"/>
    </xf>
    <xf numFmtId="9" fontId="19" fillId="3" borderId="108" xfId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9" fontId="3" fillId="3" borderId="33" xfId="1" applyFont="1" applyFill="1" applyBorder="1" applyAlignment="1">
      <alignment horizontal="center" vertical="center"/>
    </xf>
    <xf numFmtId="9" fontId="3" fillId="3" borderId="34" xfId="1" applyFont="1" applyFill="1" applyBorder="1" applyAlignment="1">
      <alignment horizontal="center" vertical="center"/>
    </xf>
    <xf numFmtId="9" fontId="3" fillId="3" borderId="80" xfId="1" applyFont="1" applyFill="1" applyBorder="1" applyAlignment="1">
      <alignment horizontal="center" vertical="center"/>
    </xf>
    <xf numFmtId="9" fontId="3" fillId="3" borderId="23" xfId="1" applyFont="1" applyFill="1" applyBorder="1" applyAlignment="1">
      <alignment horizontal="center" vertical="center"/>
    </xf>
    <xf numFmtId="9" fontId="3" fillId="3" borderId="24" xfId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9" fontId="3" fillId="3" borderId="42" xfId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 vertical="center"/>
    </xf>
  </cellXfs>
  <cellStyles count="7">
    <cellStyle name="Normal" xfId="0" builtinId="0"/>
    <cellStyle name="Normal 3" xfId="6"/>
    <cellStyle name="Normal 53 2" xfId="2"/>
    <cellStyle name="Normal 53 2 3" xfId="4"/>
    <cellStyle name="Percentagem" xfId="1" builtinId="5"/>
    <cellStyle name="Vírgula 14" xfId="3"/>
    <cellStyle name="Vírgula 2" xf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31-4AC3-9E6D-CFBFA993C7AB}"/>
            </c:ext>
          </c:extLst>
        </c:ser>
        <c:ser>
          <c:idx val="1"/>
          <c:order val="1"/>
          <c:spPr>
            <a:solidFill>
              <a:schemeClr val="accent2"/>
            </a:solidFill>
            <a:ln w="635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931-4AC3-9E6D-CFBFA993C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343908349"/>
        <c:axId val="-1039972241"/>
      </c:barChart>
      <c:lineChart>
        <c:grouping val="standard"/>
        <c:varyColors val="0"/>
        <c:ser>
          <c:idx val="3"/>
          <c:order val="2"/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A9-40E2-95EE-40E85846C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591830"/>
        <c:axId val="1448911000"/>
      </c:lineChart>
      <c:catAx>
        <c:axId val="-13439083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/>
                <a:ea typeface="Source Sans Pro"/>
                <a:cs typeface="Source Sans Pro"/>
              </a:defRPr>
            </a:pPr>
            <a:endParaRPr lang="pt-PT"/>
          </a:p>
        </c:txPr>
        <c:crossAx val="-1039972241"/>
        <c:crosses val="autoZero"/>
        <c:auto val="1"/>
        <c:lblAlgn val="ctr"/>
        <c:lblOffset val="100"/>
        <c:noMultiLvlLbl val="0"/>
      </c:catAx>
      <c:valAx>
        <c:axId val="-103997224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bg1"/>
                </a:solidFill>
              </a:defRPr>
            </a:pPr>
            <a:endParaRPr lang="pt-PT"/>
          </a:p>
        </c:txPr>
        <c:crossAx val="-1343908349"/>
        <c:crosses val="max"/>
        <c:crossBetween val="between"/>
      </c:valAx>
      <c:catAx>
        <c:axId val="2116591830"/>
        <c:scaling>
          <c:orientation val="minMax"/>
        </c:scaling>
        <c:delete val="1"/>
        <c:axPos val="b"/>
        <c:majorTickMark val="none"/>
        <c:minorTickMark val="none"/>
        <c:tickLblPos val="nextTo"/>
        <c:crossAx val="1448911000"/>
        <c:crosses val="autoZero"/>
        <c:auto val="1"/>
        <c:lblAlgn val="ctr"/>
        <c:lblOffset val="100"/>
        <c:noMultiLvlLbl val="0"/>
      </c:catAx>
      <c:valAx>
        <c:axId val="1448911000"/>
        <c:scaling>
          <c:orientation val="minMax"/>
          <c:min val="0.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bg1"/>
                </a:solidFill>
              </a:defRPr>
            </a:pPr>
            <a:endParaRPr lang="pt-PT"/>
          </a:p>
        </c:txPr>
        <c:crossAx val="2116591830"/>
        <c:crosses val="autoZero"/>
        <c:crossBetween val="between"/>
      </c:valAx>
      <c:spPr>
        <a:noFill/>
        <a:ln w="6350">
          <a:noFill/>
        </a:ln>
      </c:spPr>
    </c:plotArea>
    <c:legend>
      <c:legendPos val="b"/>
      <c:overlay val="0"/>
      <c:spPr>
        <a:noFill/>
        <a:ln w="6350">
          <a:noFill/>
        </a:ln>
      </c:spPr>
      <c:txPr>
        <a:bodyPr rot="0" vert="horz"/>
        <a:lstStyle/>
        <a:p>
          <a:pPr>
            <a:defRPr lang="en-US" sz="8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Source Sans Pro"/>
              <a:ea typeface="Source Sans Pro"/>
              <a:cs typeface="Source Sans Pro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bg1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/>
            </a:gradFill>
            <a:ln w="25400">
              <a:noFill/>
            </a:ln>
            <a:effectLst>
              <a:outerShdw blurRad="57150" dist="19050" dir="5400000" algn="ctr" rotWithShape="0">
                <a:prstClr val="black">
                  <a:alpha val="63000"/>
                </a:prstClr>
              </a:outerShdw>
            </a:effectLst>
          </c:spPr>
          <c:dLbls>
            <c:spPr>
              <a:noFill/>
              <a:ln w="6350">
                <a:noFill/>
              </a:ln>
            </c:spPr>
            <c:txPr>
              <a:bodyPr rot="0" vert="horz" lIns="38100" tIns="19050" rIns="38100" bIns="19050">
                <a:spAutoFit/>
              </a:bodyPr>
              <a:lstStyle/>
              <a:p>
                <a:pPr algn="ctr">
                  <a:defRPr lang="en-US" sz="1600" b="0" i="0" u="non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A6-4702-843D-B6212077D26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/>
            </a:gradFill>
            <a:ln w="25400">
              <a:noFill/>
            </a:ln>
            <a:effectLst>
              <a:outerShdw blurRad="57150" dist="19050" dir="5400000" algn="ctr" rotWithShape="0">
                <a:prstClr val="black">
                  <a:alpha val="63000"/>
                </a:prstClr>
              </a:outerShdw>
            </a:effectLst>
          </c:spPr>
          <c:dLbls>
            <c:spPr>
              <a:noFill/>
              <a:ln w="6350">
                <a:noFill/>
              </a:ln>
            </c:spPr>
            <c:txPr>
              <a:bodyPr rot="0" vert="horz" lIns="38100" tIns="19050" rIns="38100" bIns="19050">
                <a:spAutoFit/>
              </a:bodyPr>
              <a:lstStyle/>
              <a:p>
                <a:pPr algn="ctr">
                  <a:defRPr lang="en-US" sz="1600" b="0" i="0" u="non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5A6-4702-843D-B6212077D26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/>
            </a:gradFill>
            <a:ln w="25400">
              <a:noFill/>
            </a:ln>
            <a:effectLst>
              <a:outerShdw blurRad="57150" dist="19050" dir="5400000" algn="ctr" rotWithShape="0">
                <a:prstClr val="black">
                  <a:alpha val="63000"/>
                </a:prstClr>
              </a:outerShdw>
            </a:effectLst>
          </c:spPr>
          <c:dLbls>
            <c:spPr>
              <a:noFill/>
              <a:ln w="6350">
                <a:noFill/>
              </a:ln>
            </c:spPr>
            <c:txPr>
              <a:bodyPr rot="0" vert="horz" lIns="38100" tIns="19050" rIns="38100" bIns="19050">
                <a:spAutoFit/>
              </a:bodyPr>
              <a:lstStyle/>
              <a:p>
                <a:pPr algn="ctr">
                  <a:defRPr lang="en-US" sz="1600" b="0" i="0" u="non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5A6-4702-843D-B6212077D26D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/>
            </a:gradFill>
            <a:ln w="25400">
              <a:noFill/>
            </a:ln>
            <a:effectLst>
              <a:outerShdw blurRad="57150" dist="19050" dir="5400000" algn="ctr" rotWithShape="0">
                <a:prstClr val="black">
                  <a:alpha val="63000"/>
                </a:prstClr>
              </a:outerShdw>
            </a:effectLst>
          </c:spPr>
          <c:dLbls>
            <c:spPr>
              <a:noFill/>
              <a:ln w="6350">
                <a:noFill/>
              </a:ln>
            </c:spPr>
            <c:txPr>
              <a:bodyPr rot="0" vert="horz" lIns="38100" tIns="19050" rIns="38100" bIns="19050">
                <a:spAutoFit/>
              </a:bodyPr>
              <a:lstStyle/>
              <a:p>
                <a:pPr algn="ctr">
                  <a:defRPr lang="en-US" sz="1600" b="0" i="0" u="none" baseline="0">
                    <a:solidFill>
                      <a:schemeClr val="bg1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5A6-4702-843D-B6212077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568394"/>
        <c:axId val="-2135769001"/>
      </c:areaChart>
      <c:catAx>
        <c:axId val="1100568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/>
                <a:ea typeface="Source Sans Pro"/>
                <a:cs typeface="Source Sans Pro"/>
              </a:defRPr>
            </a:pPr>
            <a:endParaRPr lang="pt-PT"/>
          </a:p>
        </c:txPr>
        <c:crossAx val="-2135769001"/>
        <c:crosses val="autoZero"/>
        <c:auto val="1"/>
        <c:lblAlgn val="ctr"/>
        <c:lblOffset val="100"/>
        <c:noMultiLvlLbl val="0"/>
      </c:catAx>
      <c:valAx>
        <c:axId val="-213576900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056839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6350">
          <a:noFill/>
        </a:ln>
      </c:spPr>
      <c:txPr>
        <a:bodyPr rot="0" vert="horz"/>
        <a:lstStyle/>
        <a:p>
          <a:pPr>
            <a:defRPr lang="en-US" sz="12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Source Sans Pro"/>
              <a:ea typeface="Source Sans Pro"/>
              <a:cs typeface="Source Sans Pro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bg1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15</xdr:row>
      <xdr:rowOff>0</xdr:rowOff>
    </xdr:from>
    <xdr:to>
      <xdr:col>7</xdr:col>
      <xdr:colOff>579120</xdr:colOff>
      <xdr:row>15</xdr:row>
      <xdr:rowOff>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0</xdr:rowOff>
    </xdr:from>
    <xdr:to>
      <xdr:col>3</xdr:col>
      <xdr:colOff>1409700</xdr:colOff>
      <xdr:row>23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workbookViewId="0"/>
  </sheetViews>
  <sheetFormatPr defaultRowHeight="15"/>
  <cols>
    <col min="1" max="1" width="1.7109375" customWidth="1"/>
  </cols>
  <sheetData>
    <row r="1" spans="2:13">
      <c r="B1" s="1"/>
      <c r="M1" s="1"/>
    </row>
    <row r="2" spans="2:13">
      <c r="B2" s="57" t="s">
        <v>190</v>
      </c>
      <c r="C2" s="66"/>
      <c r="D2" s="66"/>
      <c r="E2" s="66"/>
    </row>
    <row r="3" spans="2:13">
      <c r="C3" s="1"/>
      <c r="D3" s="1"/>
      <c r="E3" s="1"/>
      <c r="F3" s="1"/>
    </row>
    <row r="4" spans="2:13">
      <c r="B4" s="32" t="s">
        <v>160</v>
      </c>
    </row>
    <row r="6" spans="2:13">
      <c r="B6" s="66" t="s">
        <v>118</v>
      </c>
      <c r="C6" s="89"/>
      <c r="D6" s="89"/>
      <c r="E6" s="89"/>
      <c r="F6" s="31"/>
      <c r="G6" s="31"/>
      <c r="H6" s="31"/>
      <c r="I6" s="31"/>
    </row>
    <row r="7" spans="2:13">
      <c r="B7" s="31" t="s">
        <v>138</v>
      </c>
      <c r="C7" s="31"/>
      <c r="D7" s="31"/>
      <c r="E7" s="31"/>
      <c r="F7" s="31"/>
      <c r="G7" s="31"/>
      <c r="H7" s="31"/>
      <c r="I7" s="31"/>
    </row>
    <row r="8" spans="2:13">
      <c r="B8" s="31" t="s">
        <v>139</v>
      </c>
      <c r="C8" s="31"/>
      <c r="D8" s="31"/>
      <c r="E8" s="31"/>
      <c r="F8" s="31"/>
      <c r="G8" s="31"/>
      <c r="H8" s="31"/>
      <c r="I8" s="31"/>
    </row>
    <row r="9" spans="2:13">
      <c r="B9" s="31" t="s">
        <v>140</v>
      </c>
      <c r="C9" s="31"/>
      <c r="D9" s="31"/>
      <c r="E9" s="31"/>
      <c r="F9" s="31"/>
      <c r="G9" s="31"/>
      <c r="H9" s="31"/>
      <c r="I9" s="31"/>
    </row>
    <row r="10" spans="2:13">
      <c r="B10" s="31" t="s">
        <v>141</v>
      </c>
      <c r="C10" s="31"/>
      <c r="D10" s="31"/>
      <c r="E10" s="31"/>
      <c r="F10" s="31"/>
      <c r="G10" s="31"/>
      <c r="H10" s="31"/>
      <c r="I10" s="31"/>
    </row>
    <row r="11" spans="2:13">
      <c r="B11" s="31" t="s">
        <v>142</v>
      </c>
      <c r="C11" s="31"/>
      <c r="D11" s="31"/>
      <c r="E11" s="31"/>
      <c r="F11" s="31"/>
      <c r="G11" s="31"/>
      <c r="H11" s="31"/>
      <c r="I11" s="31"/>
    </row>
    <row r="12" spans="2:13">
      <c r="B12" s="66" t="s">
        <v>157</v>
      </c>
      <c r="C12" s="31"/>
      <c r="D12" s="31"/>
      <c r="E12" s="31"/>
      <c r="F12" s="31"/>
      <c r="G12" s="31"/>
      <c r="H12" s="31"/>
      <c r="I12" s="31"/>
    </row>
    <row r="13" spans="2:13">
      <c r="B13" s="31" t="s">
        <v>143</v>
      </c>
      <c r="C13" s="89"/>
      <c r="D13" s="89"/>
      <c r="E13" s="31"/>
      <c r="F13" s="31"/>
      <c r="G13" s="31"/>
      <c r="H13" s="31"/>
      <c r="I13" s="31"/>
    </row>
    <row r="14" spans="2:13">
      <c r="B14" s="31" t="s">
        <v>144</v>
      </c>
      <c r="C14" s="31"/>
      <c r="D14" s="31"/>
      <c r="E14" s="31"/>
      <c r="F14" s="31"/>
      <c r="G14" s="31"/>
      <c r="H14" s="31"/>
      <c r="I14" s="31"/>
    </row>
    <row r="15" spans="2:13">
      <c r="B15" s="66" t="s">
        <v>145</v>
      </c>
      <c r="C15" s="31"/>
      <c r="D15" s="31"/>
      <c r="E15" s="31"/>
      <c r="F15" s="31"/>
      <c r="G15" s="31"/>
      <c r="H15" s="31"/>
      <c r="I15" s="31"/>
    </row>
    <row r="16" spans="2:13">
      <c r="B16" s="66" t="s">
        <v>146</v>
      </c>
      <c r="C16" s="31"/>
      <c r="D16" s="31"/>
      <c r="E16" s="31"/>
      <c r="F16" s="31"/>
      <c r="G16" s="31"/>
      <c r="H16" s="31"/>
      <c r="I16" s="31"/>
    </row>
    <row r="17" spans="1:9">
      <c r="B17" s="66" t="s">
        <v>147</v>
      </c>
      <c r="C17" s="31"/>
      <c r="D17" s="31"/>
      <c r="E17" s="31"/>
      <c r="F17" s="31"/>
      <c r="G17" s="31"/>
      <c r="H17" s="31"/>
      <c r="I17" s="31"/>
    </row>
    <row r="18" spans="1:9">
      <c r="B18" s="66" t="s">
        <v>148</v>
      </c>
      <c r="C18" s="89"/>
      <c r="D18" s="89"/>
      <c r="E18" s="89"/>
      <c r="F18" s="31"/>
      <c r="G18" s="31"/>
      <c r="H18" s="31"/>
      <c r="I18" s="31"/>
    </row>
    <row r="19" spans="1:9">
      <c r="A19" t="s">
        <v>158</v>
      </c>
      <c r="B19" s="66" t="s">
        <v>149</v>
      </c>
      <c r="C19" s="31"/>
      <c r="D19" s="31"/>
      <c r="E19" s="31"/>
      <c r="F19" s="31"/>
      <c r="G19" s="31"/>
      <c r="H19" s="31"/>
      <c r="I19" s="31"/>
    </row>
    <row r="20" spans="1:9">
      <c r="B20" s="66" t="s">
        <v>174</v>
      </c>
      <c r="C20" s="31"/>
      <c r="D20" s="31"/>
      <c r="E20" s="31"/>
      <c r="F20" s="31"/>
      <c r="G20" s="31"/>
      <c r="H20" s="31"/>
      <c r="I20" s="31"/>
    </row>
    <row r="21" spans="1:9">
      <c r="B21" s="66" t="s">
        <v>151</v>
      </c>
      <c r="C21" s="31"/>
      <c r="D21" s="31"/>
      <c r="E21" s="31"/>
      <c r="F21" s="31"/>
      <c r="G21" s="31"/>
      <c r="H21" s="31"/>
      <c r="I21" s="31"/>
    </row>
    <row r="22" spans="1:9">
      <c r="B22" s="66" t="s">
        <v>152</v>
      </c>
      <c r="C22" s="31"/>
      <c r="D22" s="31"/>
      <c r="E22" s="31"/>
      <c r="F22" s="31"/>
      <c r="G22" s="31"/>
      <c r="H22" s="31"/>
      <c r="I22" s="31"/>
    </row>
    <row r="23" spans="1:9">
      <c r="B23" s="66" t="s">
        <v>153</v>
      </c>
      <c r="C23" s="89"/>
      <c r="D23" s="89"/>
      <c r="E23" s="89"/>
      <c r="F23" s="31"/>
      <c r="G23" s="31"/>
      <c r="H23" s="31"/>
      <c r="I23" s="31"/>
    </row>
    <row r="24" spans="1:9">
      <c r="B24" s="66" t="s">
        <v>154</v>
      </c>
      <c r="C24" s="66"/>
      <c r="D24" s="66"/>
      <c r="E24" s="66"/>
      <c r="F24" s="66"/>
      <c r="G24" s="66"/>
      <c r="H24" s="31"/>
      <c r="I24" s="31"/>
    </row>
    <row r="25" spans="1:9">
      <c r="B25" s="66" t="s">
        <v>155</v>
      </c>
      <c r="C25" s="31"/>
      <c r="D25" s="66"/>
      <c r="E25" s="66"/>
      <c r="F25" s="66"/>
      <c r="G25" s="66"/>
      <c r="H25" s="31"/>
      <c r="I25" s="31"/>
    </row>
    <row r="26" spans="1:9">
      <c r="B26" s="66" t="s">
        <v>156</v>
      </c>
      <c r="C26" s="31"/>
      <c r="D26" s="31"/>
      <c r="E26" s="31"/>
      <c r="F26" s="31"/>
      <c r="G26" s="31"/>
      <c r="H26" s="31"/>
      <c r="I26" s="31"/>
    </row>
    <row r="27" spans="1:9">
      <c r="B27" s="31" t="s">
        <v>202</v>
      </c>
      <c r="C27" s="31"/>
      <c r="D27" s="31"/>
      <c r="E27" s="31"/>
      <c r="F27" s="31"/>
      <c r="G27" s="31"/>
      <c r="H27" s="31"/>
      <c r="I27" s="31"/>
    </row>
    <row r="28" spans="1:9">
      <c r="B28" s="31" t="s">
        <v>203</v>
      </c>
      <c r="C28" s="89"/>
      <c r="D28" s="89"/>
      <c r="E28" s="89"/>
      <c r="F28" s="31"/>
      <c r="G28" s="66"/>
      <c r="H28" s="31"/>
      <c r="I28" s="31"/>
    </row>
    <row r="29" spans="1:9">
      <c r="B29" s="66" t="s">
        <v>209</v>
      </c>
      <c r="C29" s="31"/>
      <c r="D29" s="31"/>
      <c r="E29" s="31"/>
      <c r="F29" s="31"/>
      <c r="G29" s="31"/>
      <c r="H29" s="31"/>
      <c r="I29" s="31"/>
    </row>
    <row r="30" spans="1:9">
      <c r="B30" s="66" t="s">
        <v>210</v>
      </c>
      <c r="C30" s="88"/>
      <c r="D30" s="88"/>
      <c r="E30" s="88"/>
      <c r="F30" s="88"/>
      <c r="G30" s="88"/>
      <c r="H30" s="31"/>
      <c r="I30" s="31"/>
    </row>
    <row r="31" spans="1:9">
      <c r="B31" s="66" t="s">
        <v>206</v>
      </c>
      <c r="C31" s="66"/>
      <c r="D31" s="66"/>
      <c r="E31" s="66"/>
      <c r="F31" s="66"/>
      <c r="G31" s="66"/>
      <c r="H31" s="88"/>
      <c r="I31" s="88"/>
    </row>
    <row r="32" spans="1:9">
      <c r="B32" s="66" t="s">
        <v>207</v>
      </c>
      <c r="C32" s="88"/>
      <c r="D32" s="88"/>
      <c r="E32" s="88"/>
      <c r="F32" s="88"/>
      <c r="G32" s="88"/>
      <c r="H32" s="66"/>
      <c r="I32" s="66"/>
    </row>
    <row r="33" spans="2:9">
      <c r="B33" s="31" t="s">
        <v>208</v>
      </c>
      <c r="C33" s="31"/>
      <c r="D33" s="31"/>
      <c r="E33" s="31"/>
      <c r="F33" s="31"/>
      <c r="G33" s="31"/>
      <c r="H33" s="88"/>
      <c r="I33" s="88"/>
    </row>
    <row r="34" spans="2:9">
      <c r="H34" s="31"/>
      <c r="I34" s="31"/>
    </row>
    <row r="35" spans="2:9">
      <c r="B35" s="1"/>
    </row>
    <row r="36" spans="2:9">
      <c r="B36" s="2"/>
    </row>
    <row r="37" spans="2:9">
      <c r="B37" s="2"/>
    </row>
    <row r="40" spans="2:9" ht="15.75">
      <c r="B40" s="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01"/>
  <sheetViews>
    <sheetView showGridLines="0" zoomScale="80" zoomScaleNormal="80" workbookViewId="0"/>
  </sheetViews>
  <sheetFormatPr defaultColWidth="18.7109375" defaultRowHeight="14.25"/>
  <cols>
    <col min="1" max="1" width="1.7109375" style="17" customWidth="1"/>
    <col min="2" max="2" width="25.7109375" style="31" customWidth="1"/>
    <col min="3" max="3" width="25.28515625" style="31" customWidth="1"/>
    <col min="4" max="4" width="28.140625" style="31" customWidth="1"/>
    <col min="5" max="6" width="36" style="31" customWidth="1"/>
    <col min="7" max="7" width="26.7109375" style="31" customWidth="1"/>
    <col min="8" max="16384" width="18.7109375" style="31"/>
  </cols>
  <sheetData>
    <row r="2" spans="2:7" ht="15">
      <c r="B2" s="32" t="s">
        <v>144</v>
      </c>
    </row>
    <row r="4" spans="2:7" ht="15">
      <c r="B4" s="589" t="s">
        <v>98</v>
      </c>
      <c r="C4" s="592" t="s">
        <v>2</v>
      </c>
      <c r="D4" s="5" t="s">
        <v>68</v>
      </c>
      <c r="E4" s="5" t="s">
        <v>69</v>
      </c>
      <c r="F4" s="24" t="s">
        <v>81</v>
      </c>
      <c r="G4" s="24" t="s">
        <v>84</v>
      </c>
    </row>
    <row r="5" spans="2:7" ht="15">
      <c r="B5" s="589"/>
      <c r="C5" s="592"/>
      <c r="D5" s="5" t="s">
        <v>0</v>
      </c>
      <c r="E5" s="5" t="s">
        <v>1</v>
      </c>
      <c r="F5" s="24" t="s">
        <v>3</v>
      </c>
      <c r="G5" s="24" t="s">
        <v>4</v>
      </c>
    </row>
    <row r="6" spans="2:7">
      <c r="B6" s="612" t="s">
        <v>6</v>
      </c>
      <c r="C6" s="95">
        <v>2022</v>
      </c>
      <c r="D6" s="93">
        <v>4761.3015290000003</v>
      </c>
      <c r="E6" s="212">
        <v>1713.2864440000001</v>
      </c>
      <c r="F6" s="213">
        <v>1588.0002030000001</v>
      </c>
      <c r="G6" s="353">
        <v>272.98393900000002</v>
      </c>
    </row>
    <row r="7" spans="2:7">
      <c r="B7" s="612"/>
      <c r="C7" s="95">
        <v>2021</v>
      </c>
      <c r="D7" s="92">
        <v>3122.9022020000002</v>
      </c>
      <c r="E7" s="93">
        <v>599.61618399999998</v>
      </c>
      <c r="F7" s="232">
        <v>473.72271699999999</v>
      </c>
      <c r="G7" s="92">
        <v>297.321957</v>
      </c>
    </row>
    <row r="8" spans="2:7">
      <c r="B8" s="612"/>
      <c r="C8" s="95">
        <v>2020</v>
      </c>
      <c r="D8" s="92">
        <v>3724.1653030000002</v>
      </c>
      <c r="E8" s="93">
        <v>774.14991099999997</v>
      </c>
      <c r="F8" s="232">
        <v>679.53844300000003</v>
      </c>
      <c r="G8" s="92">
        <v>451.88003700000002</v>
      </c>
    </row>
    <row r="9" spans="2:7">
      <c r="B9" s="612"/>
      <c r="C9" s="95">
        <v>2019</v>
      </c>
      <c r="D9" s="92">
        <v>6472.7181879999998</v>
      </c>
      <c r="E9" s="93">
        <v>782.08943599999998</v>
      </c>
      <c r="F9" s="232">
        <v>642</v>
      </c>
      <c r="G9" s="92">
        <v>430.93839000000003</v>
      </c>
    </row>
    <row r="10" spans="2:7" hidden="1">
      <c r="B10" s="612"/>
      <c r="C10" s="95">
        <v>2018</v>
      </c>
      <c r="D10" s="92">
        <v>5533.1484680000003</v>
      </c>
      <c r="E10" s="93">
        <v>688.34838000000002</v>
      </c>
      <c r="F10" s="232">
        <v>546</v>
      </c>
      <c r="G10" s="92">
        <v>644.62449600000002</v>
      </c>
    </row>
    <row r="11" spans="2:7" hidden="1">
      <c r="B11" s="612"/>
      <c r="C11" s="95">
        <v>2017</v>
      </c>
      <c r="D11" s="92">
        <v>4039.6760610000001</v>
      </c>
      <c r="E11" s="93">
        <v>393.341613</v>
      </c>
      <c r="F11" s="232">
        <v>360</v>
      </c>
      <c r="G11" s="92">
        <v>561.99416199999996</v>
      </c>
    </row>
    <row r="12" spans="2:7" hidden="1">
      <c r="B12" s="612"/>
      <c r="C12" s="95">
        <v>2016</v>
      </c>
      <c r="D12" s="92">
        <v>3579.013653</v>
      </c>
      <c r="E12" s="93">
        <v>691.09508800000003</v>
      </c>
      <c r="F12" s="232">
        <v>623</v>
      </c>
      <c r="G12" s="92">
        <v>725.05730000000005</v>
      </c>
    </row>
    <row r="13" spans="2:7" hidden="1">
      <c r="B13" s="613"/>
      <c r="C13" s="95">
        <v>2015</v>
      </c>
      <c r="D13" s="183">
        <v>3504.7872929999999</v>
      </c>
      <c r="E13" s="93">
        <v>1449.4076990000001</v>
      </c>
      <c r="F13" s="363">
        <v>1342</v>
      </c>
      <c r="G13" s="117">
        <v>323.50811199999998</v>
      </c>
    </row>
    <row r="14" spans="2:7" ht="15" customHeight="1">
      <c r="B14" s="614" t="s">
        <v>7</v>
      </c>
      <c r="C14" s="99">
        <v>2022</v>
      </c>
      <c r="D14" s="241">
        <v>1416.756492</v>
      </c>
      <c r="E14" s="241">
        <v>744.78884400000004</v>
      </c>
      <c r="F14" s="538">
        <v>744.78884400000004</v>
      </c>
      <c r="G14" s="364">
        <v>44.057583999999999</v>
      </c>
    </row>
    <row r="15" spans="2:7">
      <c r="B15" s="612"/>
      <c r="C15" s="95">
        <v>2021</v>
      </c>
      <c r="D15" s="92">
        <v>1274.4105770000001</v>
      </c>
      <c r="E15" s="93">
        <v>549.11528499999997</v>
      </c>
      <c r="F15" s="232">
        <v>548.61083099999996</v>
      </c>
      <c r="G15" s="92">
        <v>44.106223</v>
      </c>
    </row>
    <row r="16" spans="2:7">
      <c r="B16" s="612"/>
      <c r="C16" s="95">
        <v>2020</v>
      </c>
      <c r="D16" s="92">
        <v>1250.320856</v>
      </c>
      <c r="E16" s="93">
        <v>474.76205399999998</v>
      </c>
      <c r="F16" s="232">
        <v>473.793676</v>
      </c>
      <c r="G16" s="92">
        <v>74.291668000000001</v>
      </c>
    </row>
    <row r="17" spans="2:7">
      <c r="B17" s="612"/>
      <c r="C17" s="95">
        <v>2019</v>
      </c>
      <c r="D17" s="183">
        <v>1112.0462600000001</v>
      </c>
      <c r="E17" s="93">
        <v>454.00956300000001</v>
      </c>
      <c r="F17" s="232">
        <v>451</v>
      </c>
      <c r="G17" s="92">
        <v>40.684123999999997</v>
      </c>
    </row>
    <row r="18" spans="2:7" hidden="1">
      <c r="B18" s="612"/>
      <c r="C18" s="365">
        <v>2018</v>
      </c>
      <c r="D18" s="92">
        <v>993.68470300000001</v>
      </c>
      <c r="E18" s="93">
        <v>514.32322099999999</v>
      </c>
      <c r="F18" s="232">
        <v>509</v>
      </c>
      <c r="G18" s="92">
        <v>28.071213</v>
      </c>
    </row>
    <row r="19" spans="2:7" hidden="1">
      <c r="B19" s="612"/>
      <c r="C19" s="365">
        <v>2017</v>
      </c>
      <c r="D19" s="92">
        <v>1529.97714</v>
      </c>
      <c r="E19" s="93">
        <v>740.58004700000004</v>
      </c>
      <c r="F19" s="232">
        <v>725</v>
      </c>
      <c r="G19" s="92">
        <v>381.83785699999999</v>
      </c>
    </row>
    <row r="20" spans="2:7" hidden="1">
      <c r="B20" s="612"/>
      <c r="C20" s="365">
        <v>2016</v>
      </c>
      <c r="D20" s="92">
        <v>1287.1663570000001</v>
      </c>
      <c r="E20" s="93">
        <v>816.98127299999999</v>
      </c>
      <c r="F20" s="232">
        <v>817</v>
      </c>
      <c r="G20" s="92">
        <v>100.28150599999999</v>
      </c>
    </row>
    <row r="21" spans="2:7" hidden="1">
      <c r="B21" s="613"/>
      <c r="C21" s="365">
        <v>2015</v>
      </c>
      <c r="D21" s="117">
        <v>1059.231147</v>
      </c>
      <c r="E21" s="183">
        <v>711.81232299999999</v>
      </c>
      <c r="F21" s="363">
        <v>697</v>
      </c>
      <c r="G21" s="117">
        <v>84.674851000000004</v>
      </c>
    </row>
    <row r="22" spans="2:7" ht="15" customHeight="1">
      <c r="B22" s="614" t="s">
        <v>9</v>
      </c>
      <c r="C22" s="366">
        <v>2022</v>
      </c>
      <c r="D22" s="92">
        <v>608.70327799999995</v>
      </c>
      <c r="E22" s="367">
        <v>379.716297</v>
      </c>
      <c r="F22" s="367">
        <v>379.716297</v>
      </c>
      <c r="G22" s="367">
        <v>9.3289869999999997</v>
      </c>
    </row>
    <row r="23" spans="2:7">
      <c r="B23" s="612"/>
      <c r="C23" s="365">
        <v>2021</v>
      </c>
      <c r="D23" s="92">
        <v>197.73325600000001</v>
      </c>
      <c r="E23" s="93">
        <v>371.51697799999999</v>
      </c>
      <c r="F23" s="232">
        <v>370.45660500000002</v>
      </c>
      <c r="G23" s="92">
        <v>11.384520999999999</v>
      </c>
    </row>
    <row r="24" spans="2:7">
      <c r="B24" s="612"/>
      <c r="C24" s="95">
        <v>2020</v>
      </c>
      <c r="D24" s="92">
        <v>343.25355300000001</v>
      </c>
      <c r="E24" s="93">
        <v>387.383036</v>
      </c>
      <c r="F24" s="232">
        <v>387.383036</v>
      </c>
      <c r="G24" s="92">
        <v>10.398346999999999</v>
      </c>
    </row>
    <row r="25" spans="2:7">
      <c r="B25" s="612"/>
      <c r="C25" s="95">
        <v>2019</v>
      </c>
      <c r="D25" s="92">
        <v>565.894316</v>
      </c>
      <c r="E25" s="93">
        <v>295.30545999999998</v>
      </c>
      <c r="F25" s="232">
        <v>295</v>
      </c>
      <c r="G25" s="92">
        <v>64.166534999999996</v>
      </c>
    </row>
    <row r="26" spans="2:7" hidden="1">
      <c r="B26" s="612"/>
      <c r="C26" s="95">
        <v>2018</v>
      </c>
      <c r="D26" s="92">
        <v>558.74794499999996</v>
      </c>
      <c r="E26" s="93">
        <v>355.51520599999998</v>
      </c>
      <c r="F26" s="232">
        <v>355</v>
      </c>
      <c r="G26" s="92">
        <v>0.82365299999999997</v>
      </c>
    </row>
    <row r="27" spans="2:7" hidden="1">
      <c r="B27" s="612"/>
      <c r="C27" s="95">
        <v>2017</v>
      </c>
      <c r="D27" s="92">
        <v>826.28794300000004</v>
      </c>
      <c r="E27" s="93">
        <v>348.41881100000001</v>
      </c>
      <c r="F27" s="232">
        <v>348</v>
      </c>
      <c r="G27" s="92">
        <v>23.855549</v>
      </c>
    </row>
    <row r="28" spans="2:7" hidden="1">
      <c r="B28" s="612"/>
      <c r="C28" s="95">
        <v>2016</v>
      </c>
      <c r="D28" s="92">
        <v>674.24427900000001</v>
      </c>
      <c r="E28" s="93">
        <v>307.60321199999998</v>
      </c>
      <c r="F28" s="232">
        <v>308</v>
      </c>
      <c r="G28" s="92">
        <v>50</v>
      </c>
    </row>
    <row r="29" spans="2:7" hidden="1">
      <c r="B29" s="613"/>
      <c r="C29" s="95">
        <v>2015</v>
      </c>
      <c r="D29" s="117">
        <v>542.67995299999995</v>
      </c>
      <c r="E29" s="93">
        <v>298.45923299999998</v>
      </c>
      <c r="F29" s="363">
        <v>253</v>
      </c>
      <c r="G29" s="117">
        <v>107.542717</v>
      </c>
    </row>
    <row r="30" spans="2:7" ht="15" customHeight="1">
      <c r="B30" s="614" t="s">
        <v>8</v>
      </c>
      <c r="C30" s="99">
        <v>2022</v>
      </c>
      <c r="D30" s="241">
        <v>623.06765399999995</v>
      </c>
      <c r="E30" s="241">
        <v>337.53893599999998</v>
      </c>
      <c r="F30" s="241">
        <v>331.18247500000001</v>
      </c>
      <c r="G30" s="367">
        <v>35.042799000000002</v>
      </c>
    </row>
    <row r="31" spans="2:7">
      <c r="B31" s="612"/>
      <c r="C31" s="95">
        <v>2021</v>
      </c>
      <c r="D31" s="92">
        <v>499.33347600000002</v>
      </c>
      <c r="E31" s="93">
        <v>255.722262</v>
      </c>
      <c r="F31" s="232">
        <v>248.305992</v>
      </c>
      <c r="G31" s="92">
        <v>86.317514000000003</v>
      </c>
    </row>
    <row r="32" spans="2:7">
      <c r="B32" s="612"/>
      <c r="C32" s="95">
        <v>2020</v>
      </c>
      <c r="D32" s="92">
        <v>458.67004200000002</v>
      </c>
      <c r="E32" s="93">
        <v>290.59490799999998</v>
      </c>
      <c r="F32" s="232">
        <v>281.23830199999998</v>
      </c>
      <c r="G32" s="92">
        <v>47.415123000000001</v>
      </c>
    </row>
    <row r="33" spans="2:7">
      <c r="B33" s="612"/>
      <c r="C33" s="95">
        <v>2019</v>
      </c>
      <c r="D33" s="92">
        <v>515.52237700000001</v>
      </c>
      <c r="E33" s="93">
        <v>281.21557100000001</v>
      </c>
      <c r="F33" s="232">
        <v>265</v>
      </c>
      <c r="G33" s="92">
        <v>69.035787999999997</v>
      </c>
    </row>
    <row r="34" spans="2:7" hidden="1">
      <c r="B34" s="612"/>
      <c r="C34" s="365">
        <v>2018</v>
      </c>
      <c r="D34" s="92">
        <v>481.12262099999998</v>
      </c>
      <c r="E34" s="93">
        <v>276.76997</v>
      </c>
      <c r="F34" s="232">
        <v>262</v>
      </c>
      <c r="G34" s="92">
        <v>58.992364000000002</v>
      </c>
    </row>
    <row r="35" spans="2:7" hidden="1">
      <c r="B35" s="612"/>
      <c r="C35" s="365">
        <v>2017</v>
      </c>
      <c r="D35" s="92">
        <v>565.82144700000003</v>
      </c>
      <c r="E35" s="93">
        <v>264.02123</v>
      </c>
      <c r="F35" s="232">
        <v>256</v>
      </c>
      <c r="G35" s="92">
        <v>50.028075999999999</v>
      </c>
    </row>
    <row r="36" spans="2:7" hidden="1">
      <c r="B36" s="612"/>
      <c r="C36" s="365">
        <v>2016</v>
      </c>
      <c r="D36" s="92">
        <v>497.949141</v>
      </c>
      <c r="E36" s="93">
        <v>233.294398</v>
      </c>
      <c r="F36" s="232">
        <v>223</v>
      </c>
      <c r="G36" s="92">
        <v>45.711016000000001</v>
      </c>
    </row>
    <row r="37" spans="2:7" hidden="1">
      <c r="B37" s="613"/>
      <c r="C37" s="365">
        <v>2015</v>
      </c>
      <c r="D37" s="117">
        <v>465.57901600000002</v>
      </c>
      <c r="E37" s="183">
        <v>218.108982</v>
      </c>
      <c r="F37" s="363">
        <v>195</v>
      </c>
      <c r="G37" s="117">
        <v>47.673634999999997</v>
      </c>
    </row>
    <row r="38" spans="2:7" ht="15" customHeight="1">
      <c r="B38" s="614" t="s">
        <v>10</v>
      </c>
      <c r="C38" s="366">
        <v>2022</v>
      </c>
      <c r="D38" s="241">
        <v>201.40641099999999</v>
      </c>
      <c r="E38" s="367">
        <v>136.511776</v>
      </c>
      <c r="F38" s="241">
        <v>136.26010099999999</v>
      </c>
      <c r="G38" s="367">
        <v>3.0038490000000002</v>
      </c>
    </row>
    <row r="39" spans="2:7">
      <c r="B39" s="612"/>
      <c r="C39" s="365">
        <v>2021</v>
      </c>
      <c r="D39" s="92">
        <v>76.960494999999995</v>
      </c>
      <c r="E39" s="93">
        <v>76.626266000000001</v>
      </c>
      <c r="F39" s="232">
        <v>76.626266000000001</v>
      </c>
      <c r="G39" s="353">
        <v>0</v>
      </c>
    </row>
    <row r="40" spans="2:7">
      <c r="B40" s="612"/>
      <c r="C40" s="95">
        <v>2020</v>
      </c>
      <c r="D40" s="92">
        <v>90.308858999999998</v>
      </c>
      <c r="E40" s="93">
        <v>79.346147000000002</v>
      </c>
      <c r="F40" s="232">
        <v>76.346147000000002</v>
      </c>
      <c r="G40" s="353">
        <v>5.0981820000000004</v>
      </c>
    </row>
    <row r="41" spans="2:7">
      <c r="B41" s="612"/>
      <c r="C41" s="98">
        <v>2019</v>
      </c>
      <c r="D41" s="183">
        <v>169.747964</v>
      </c>
      <c r="E41" s="93">
        <v>72.020123999999996</v>
      </c>
      <c r="F41" s="353">
        <v>72</v>
      </c>
      <c r="G41" s="353">
        <v>3.682776</v>
      </c>
    </row>
    <row r="42" spans="2:7" hidden="1">
      <c r="B42" s="612"/>
      <c r="C42" s="95">
        <v>2018</v>
      </c>
      <c r="D42" s="92">
        <v>229.280035</v>
      </c>
      <c r="E42" s="93">
        <v>41.390638000000003</v>
      </c>
      <c r="F42" s="353">
        <v>41</v>
      </c>
      <c r="G42" s="353">
        <v>2.3858359999999998</v>
      </c>
    </row>
    <row r="43" spans="2:7" hidden="1">
      <c r="B43" s="612"/>
      <c r="C43" s="95">
        <v>2017</v>
      </c>
      <c r="D43" s="92">
        <v>198.68786499999999</v>
      </c>
      <c r="E43" s="93">
        <v>34.690123999999997</v>
      </c>
      <c r="F43" s="353">
        <v>35</v>
      </c>
      <c r="G43" s="353">
        <v>0</v>
      </c>
    </row>
    <row r="44" spans="2:7" hidden="1">
      <c r="B44" s="612"/>
      <c r="C44" s="95">
        <v>2016</v>
      </c>
      <c r="D44" s="92">
        <v>159.53429299999999</v>
      </c>
      <c r="E44" s="93">
        <v>45.920786</v>
      </c>
      <c r="F44" s="353">
        <v>46</v>
      </c>
      <c r="G44" s="353">
        <v>0</v>
      </c>
    </row>
    <row r="45" spans="2:7" hidden="1">
      <c r="B45" s="613"/>
      <c r="C45" s="98">
        <v>2015</v>
      </c>
      <c r="D45" s="183">
        <v>162.040368</v>
      </c>
      <c r="E45" s="347">
        <v>48.959325999999997</v>
      </c>
      <c r="F45" s="363">
        <v>49</v>
      </c>
      <c r="G45" s="117">
        <v>0</v>
      </c>
    </row>
    <row r="46" spans="2:7" ht="15" customHeight="1">
      <c r="B46" s="614" t="s">
        <v>11</v>
      </c>
      <c r="C46" s="95">
        <v>2022</v>
      </c>
      <c r="D46" s="92">
        <v>20.186634000000002</v>
      </c>
      <c r="E46" s="367">
        <v>50.111573999999997</v>
      </c>
      <c r="F46" s="367">
        <v>50.111573999999997</v>
      </c>
      <c r="G46" s="367">
        <v>1.061266</v>
      </c>
    </row>
    <row r="47" spans="2:7">
      <c r="B47" s="612"/>
      <c r="C47" s="95">
        <v>2021</v>
      </c>
      <c r="D47" s="92">
        <v>17.713208999999999</v>
      </c>
      <c r="E47" s="93">
        <v>90.682491999999996</v>
      </c>
      <c r="F47" s="232">
        <v>90.682491999999996</v>
      </c>
      <c r="G47" s="92">
        <v>0</v>
      </c>
    </row>
    <row r="48" spans="2:7">
      <c r="B48" s="612"/>
      <c r="C48" s="95">
        <v>2020</v>
      </c>
      <c r="D48" s="92">
        <v>14.716481</v>
      </c>
      <c r="E48" s="93">
        <v>88.127177000000003</v>
      </c>
      <c r="F48" s="232">
        <v>88.127177000000003</v>
      </c>
      <c r="G48" s="92">
        <v>0</v>
      </c>
    </row>
    <row r="49" spans="2:7">
      <c r="B49" s="612"/>
      <c r="C49" s="95">
        <v>2019</v>
      </c>
      <c r="D49" s="92">
        <v>18.449012</v>
      </c>
      <c r="E49" s="93">
        <v>24.732609</v>
      </c>
      <c r="F49" s="232">
        <v>25</v>
      </c>
      <c r="G49" s="92">
        <v>0.258021</v>
      </c>
    </row>
    <row r="50" spans="2:7" hidden="1">
      <c r="B50" s="612"/>
      <c r="C50" s="365">
        <v>2018</v>
      </c>
      <c r="D50" s="92">
        <v>15.711026</v>
      </c>
      <c r="E50" s="93">
        <v>44.362614999999998</v>
      </c>
      <c r="F50" s="232">
        <v>44</v>
      </c>
      <c r="G50" s="92">
        <v>12.074531</v>
      </c>
    </row>
    <row r="51" spans="2:7" hidden="1">
      <c r="B51" s="612"/>
      <c r="C51" s="365">
        <v>2017</v>
      </c>
      <c r="D51" s="92">
        <v>17.996300000000002</v>
      </c>
      <c r="E51" s="93">
        <v>48.742469999999997</v>
      </c>
      <c r="F51" s="232">
        <v>49</v>
      </c>
      <c r="G51" s="92">
        <v>14.344944999999999</v>
      </c>
    </row>
    <row r="52" spans="2:7" hidden="1">
      <c r="B52" s="612"/>
      <c r="C52" s="365">
        <v>2016</v>
      </c>
      <c r="D52" s="92">
        <v>10.910818000000001</v>
      </c>
      <c r="E52" s="93">
        <v>39.298127999999998</v>
      </c>
      <c r="F52" s="232">
        <v>39</v>
      </c>
      <c r="G52" s="92">
        <v>0</v>
      </c>
    </row>
    <row r="53" spans="2:7" hidden="1">
      <c r="B53" s="613"/>
      <c r="C53" s="365">
        <v>2015</v>
      </c>
      <c r="D53" s="183">
        <v>12.481769999999999</v>
      </c>
      <c r="E53" s="183">
        <v>32.091639999999998</v>
      </c>
      <c r="F53" s="363">
        <v>30</v>
      </c>
      <c r="G53" s="92">
        <v>0</v>
      </c>
    </row>
    <row r="54" spans="2:7" ht="15" customHeight="1">
      <c r="B54" s="614" t="s">
        <v>12</v>
      </c>
      <c r="C54" s="366">
        <v>2022</v>
      </c>
      <c r="D54" s="241">
        <v>27.582287999999998</v>
      </c>
      <c r="E54" s="367">
        <v>11.212669</v>
      </c>
      <c r="F54" s="241">
        <v>11.212669</v>
      </c>
      <c r="G54" s="367">
        <v>0</v>
      </c>
    </row>
    <row r="55" spans="2:7">
      <c r="B55" s="612"/>
      <c r="C55" s="365">
        <v>2021</v>
      </c>
      <c r="D55" s="93">
        <v>13.571825</v>
      </c>
      <c r="E55" s="92">
        <v>6.7194940000000001</v>
      </c>
      <c r="F55" s="232">
        <v>6.7194940000000001</v>
      </c>
      <c r="G55" s="353">
        <v>9.0160879999999999</v>
      </c>
    </row>
    <row r="56" spans="2:7">
      <c r="B56" s="612"/>
      <c r="C56" s="95">
        <v>2020</v>
      </c>
      <c r="D56" s="93">
        <v>14.729179</v>
      </c>
      <c r="E56" s="368">
        <v>14.395701000000001</v>
      </c>
      <c r="F56" s="232">
        <v>13.846679</v>
      </c>
      <c r="G56" s="353">
        <v>2.0490219999999999</v>
      </c>
    </row>
    <row r="57" spans="2:7">
      <c r="B57" s="612"/>
      <c r="C57" s="95">
        <v>2019</v>
      </c>
      <c r="D57" s="92">
        <v>19.707585000000002</v>
      </c>
      <c r="E57" s="93">
        <v>11.332081000000001</v>
      </c>
      <c r="F57" s="353">
        <v>11</v>
      </c>
      <c r="G57" s="353">
        <v>0</v>
      </c>
    </row>
    <row r="58" spans="2:7" hidden="1">
      <c r="B58" s="612"/>
      <c r="C58" s="95">
        <v>2018</v>
      </c>
      <c r="D58" s="92">
        <v>22.046105000000001</v>
      </c>
      <c r="E58" s="93">
        <v>10.96631</v>
      </c>
      <c r="F58" s="353">
        <v>11</v>
      </c>
      <c r="G58" s="353">
        <v>0.6</v>
      </c>
    </row>
    <row r="59" spans="2:7" hidden="1">
      <c r="B59" s="612"/>
      <c r="C59" s="95">
        <v>2017</v>
      </c>
      <c r="D59" s="92">
        <v>20.947258999999999</v>
      </c>
      <c r="E59" s="93">
        <v>9.2835669999999997</v>
      </c>
      <c r="F59" s="353">
        <v>9</v>
      </c>
      <c r="G59" s="353">
        <v>0</v>
      </c>
    </row>
    <row r="60" spans="2:7" hidden="1">
      <c r="B60" s="612"/>
      <c r="C60" s="95">
        <v>2016</v>
      </c>
      <c r="D60" s="92">
        <v>36.113754999999998</v>
      </c>
      <c r="E60" s="93">
        <v>5.3906210000000003</v>
      </c>
      <c r="F60" s="353">
        <v>5</v>
      </c>
      <c r="G60" s="353">
        <v>0</v>
      </c>
    </row>
    <row r="61" spans="2:7" hidden="1">
      <c r="B61" s="613"/>
      <c r="C61" s="95">
        <v>2015</v>
      </c>
      <c r="D61" s="117">
        <v>9.392182</v>
      </c>
      <c r="E61" s="221">
        <v>4.4973270000000003</v>
      </c>
      <c r="F61" s="221">
        <v>4</v>
      </c>
      <c r="G61" s="353">
        <v>0</v>
      </c>
    </row>
    <row r="62" spans="2:7" ht="15" customHeight="1">
      <c r="B62" s="614" t="s">
        <v>13</v>
      </c>
      <c r="C62" s="99">
        <v>2022</v>
      </c>
      <c r="D62" s="241">
        <v>32.758229999999998</v>
      </c>
      <c r="E62" s="369">
        <v>91.241850999999997</v>
      </c>
      <c r="F62" s="369">
        <v>91.241850999999997</v>
      </c>
      <c r="G62" s="367">
        <v>0</v>
      </c>
    </row>
    <row r="63" spans="2:7">
      <c r="B63" s="612"/>
      <c r="C63" s="95">
        <v>2021</v>
      </c>
      <c r="D63" s="93">
        <v>25.279558999999999</v>
      </c>
      <c r="E63" s="103">
        <v>48.407794000000003</v>
      </c>
      <c r="F63" s="232">
        <v>48.407794000000003</v>
      </c>
      <c r="G63" s="306">
        <v>0</v>
      </c>
    </row>
    <row r="64" spans="2:7">
      <c r="B64" s="612"/>
      <c r="C64" s="95">
        <v>2020</v>
      </c>
      <c r="D64" s="93">
        <v>33.124395</v>
      </c>
      <c r="E64" s="93">
        <v>44.115734000000003</v>
      </c>
      <c r="F64" s="232">
        <v>44.115734000000003</v>
      </c>
      <c r="G64" s="212">
        <v>4.3185370000000001</v>
      </c>
    </row>
    <row r="65" spans="2:7">
      <c r="B65" s="612"/>
      <c r="C65" s="95">
        <v>2019</v>
      </c>
      <c r="D65" s="92">
        <v>33.706992</v>
      </c>
      <c r="E65" s="93">
        <v>42.279522999999998</v>
      </c>
      <c r="F65" s="232">
        <v>27</v>
      </c>
      <c r="G65" s="92">
        <v>22.194579000000001</v>
      </c>
    </row>
    <row r="66" spans="2:7" hidden="1">
      <c r="B66" s="612"/>
      <c r="C66" s="365">
        <v>2018</v>
      </c>
      <c r="D66" s="92">
        <v>34.597166000000001</v>
      </c>
      <c r="E66" s="93">
        <v>41.449936000000001</v>
      </c>
      <c r="F66" s="232">
        <v>41</v>
      </c>
      <c r="G66" s="92">
        <v>0.83019699999999996</v>
      </c>
    </row>
    <row r="67" spans="2:7" hidden="1">
      <c r="B67" s="612"/>
      <c r="C67" s="365">
        <v>2017</v>
      </c>
      <c r="D67" s="92">
        <v>31.352875999999998</v>
      </c>
      <c r="E67" s="93">
        <v>35.313403999999998</v>
      </c>
      <c r="F67" s="232">
        <v>33</v>
      </c>
      <c r="G67" s="92">
        <v>6.8915480000000002</v>
      </c>
    </row>
    <row r="68" spans="2:7" hidden="1">
      <c r="B68" s="612"/>
      <c r="C68" s="365">
        <v>2016</v>
      </c>
      <c r="D68" s="92">
        <v>26.687366999999998</v>
      </c>
      <c r="E68" s="93">
        <v>35.875186999999997</v>
      </c>
      <c r="F68" s="232">
        <v>36</v>
      </c>
      <c r="G68" s="306">
        <v>0</v>
      </c>
    </row>
    <row r="69" spans="2:7" hidden="1">
      <c r="B69" s="613"/>
      <c r="C69" s="365">
        <v>2015</v>
      </c>
      <c r="D69" s="183">
        <v>28.677201</v>
      </c>
      <c r="E69" s="183">
        <v>31.490691999999999</v>
      </c>
      <c r="F69" s="363">
        <v>31</v>
      </c>
      <c r="G69" s="117">
        <v>2.7244600000000001</v>
      </c>
    </row>
    <row r="70" spans="2:7" ht="15" customHeight="1">
      <c r="B70" s="614" t="s">
        <v>14</v>
      </c>
      <c r="C70" s="366">
        <v>2022</v>
      </c>
      <c r="D70" s="241">
        <v>12.647297</v>
      </c>
      <c r="E70" s="241">
        <v>14.361143</v>
      </c>
      <c r="F70" s="241">
        <v>14.361143</v>
      </c>
      <c r="G70" s="367">
        <v>0</v>
      </c>
    </row>
    <row r="71" spans="2:7">
      <c r="B71" s="612"/>
      <c r="C71" s="365">
        <v>2021</v>
      </c>
      <c r="D71" s="93">
        <v>9.8746290000000005</v>
      </c>
      <c r="E71" s="93">
        <v>12.838362</v>
      </c>
      <c r="F71" s="232">
        <v>12.838362</v>
      </c>
      <c r="G71" s="92">
        <v>0</v>
      </c>
    </row>
    <row r="72" spans="2:7">
      <c r="B72" s="612"/>
      <c r="C72" s="95">
        <v>2020</v>
      </c>
      <c r="D72" s="93">
        <v>9.9233619999999991</v>
      </c>
      <c r="E72" s="93">
        <v>16.927928999999999</v>
      </c>
      <c r="F72" s="232">
        <v>16.927928999999999</v>
      </c>
      <c r="G72" s="92">
        <v>0</v>
      </c>
    </row>
    <row r="73" spans="2:7">
      <c r="B73" s="612"/>
      <c r="C73" s="95">
        <v>2019</v>
      </c>
      <c r="D73" s="93">
        <v>5.4138440000000001</v>
      </c>
      <c r="E73" s="183">
        <v>12.461270000000001</v>
      </c>
      <c r="F73" s="368">
        <v>12</v>
      </c>
      <c r="G73" s="92">
        <v>0</v>
      </c>
    </row>
    <row r="74" spans="2:7" hidden="1">
      <c r="B74" s="612"/>
      <c r="C74" s="95">
        <v>2018</v>
      </c>
      <c r="D74" s="93">
        <v>4.3419080000000001</v>
      </c>
      <c r="E74" s="103">
        <v>9.8311060000000001</v>
      </c>
      <c r="F74" s="368">
        <v>10</v>
      </c>
      <c r="G74" s="92">
        <v>0</v>
      </c>
    </row>
    <row r="75" spans="2:7" hidden="1">
      <c r="B75" s="612"/>
      <c r="C75" s="95">
        <v>2017</v>
      </c>
      <c r="D75" s="93">
        <v>4.0146620000000004</v>
      </c>
      <c r="E75" s="103">
        <v>9.1398489999999999</v>
      </c>
      <c r="F75" s="368">
        <v>9</v>
      </c>
      <c r="G75" s="306">
        <v>0</v>
      </c>
    </row>
    <row r="76" spans="2:7" hidden="1">
      <c r="B76" s="612"/>
      <c r="C76" s="95">
        <v>2016</v>
      </c>
      <c r="D76" s="93">
        <v>2.8413919999999999</v>
      </c>
      <c r="E76" s="103">
        <v>3.5085500000000001</v>
      </c>
      <c r="F76" s="368">
        <v>4</v>
      </c>
      <c r="G76" s="306">
        <v>0</v>
      </c>
    </row>
    <row r="77" spans="2:7" hidden="1">
      <c r="B77" s="613"/>
      <c r="C77" s="98">
        <v>2015</v>
      </c>
      <c r="D77" s="183">
        <v>2.8555730000000001</v>
      </c>
      <c r="E77" s="347">
        <v>3.1291669999999998</v>
      </c>
      <c r="F77" s="370">
        <v>3</v>
      </c>
      <c r="G77" s="371">
        <v>0</v>
      </c>
    </row>
    <row r="78" spans="2:7" ht="15" customHeight="1">
      <c r="B78" s="614" t="s">
        <v>15</v>
      </c>
      <c r="C78" s="99">
        <v>2022</v>
      </c>
      <c r="D78" s="241">
        <v>23.7072</v>
      </c>
      <c r="E78" s="92">
        <v>17.909980000000001</v>
      </c>
      <c r="F78" s="241">
        <v>17.909980000000001</v>
      </c>
      <c r="G78" s="364">
        <v>0.50573800000000002</v>
      </c>
    </row>
    <row r="79" spans="2:7">
      <c r="B79" s="612"/>
      <c r="C79" s="95">
        <v>2021</v>
      </c>
      <c r="D79" s="93">
        <v>18.425757000000001</v>
      </c>
      <c r="E79" s="93">
        <v>11.647943</v>
      </c>
      <c r="F79" s="232">
        <v>11.647943</v>
      </c>
      <c r="G79" s="212">
        <v>3.0726390000000001</v>
      </c>
    </row>
    <row r="80" spans="2:7">
      <c r="B80" s="612"/>
      <c r="C80" s="95">
        <v>2020</v>
      </c>
      <c r="D80" s="93">
        <v>20.716608999999998</v>
      </c>
      <c r="E80" s="93">
        <v>10.422022</v>
      </c>
      <c r="F80" s="232">
        <v>10.422022</v>
      </c>
      <c r="G80" s="212">
        <v>2.8698030000000001</v>
      </c>
    </row>
    <row r="81" spans="2:7">
      <c r="B81" s="612"/>
      <c r="C81" s="98">
        <v>2019</v>
      </c>
      <c r="D81" s="93">
        <v>22.002832999999999</v>
      </c>
      <c r="E81" s="103">
        <v>10.704992000000001</v>
      </c>
      <c r="F81" s="368">
        <v>11</v>
      </c>
      <c r="G81" s="92">
        <v>5.3830159999999996</v>
      </c>
    </row>
    <row r="82" spans="2:7" hidden="1">
      <c r="B82" s="612"/>
      <c r="C82" s="365">
        <v>2018</v>
      </c>
      <c r="D82" s="93">
        <v>16.354733</v>
      </c>
      <c r="E82" s="103">
        <v>14.886172</v>
      </c>
      <c r="F82" s="368">
        <v>15</v>
      </c>
      <c r="G82" s="306">
        <v>0</v>
      </c>
    </row>
    <row r="83" spans="2:7" hidden="1">
      <c r="B83" s="612"/>
      <c r="C83" s="365">
        <v>2017</v>
      </c>
      <c r="D83" s="92">
        <v>23.593482000000002</v>
      </c>
      <c r="E83" s="93">
        <v>10.655627000000001</v>
      </c>
      <c r="F83" s="368">
        <v>11</v>
      </c>
      <c r="G83" s="306">
        <v>0</v>
      </c>
    </row>
    <row r="84" spans="2:7" hidden="1">
      <c r="B84" s="612"/>
      <c r="C84" s="365">
        <v>2016</v>
      </c>
      <c r="D84" s="92">
        <v>24.553011000000001</v>
      </c>
      <c r="E84" s="93">
        <v>8.8747919999999993</v>
      </c>
      <c r="F84" s="368">
        <v>9</v>
      </c>
      <c r="G84" s="92">
        <v>0</v>
      </c>
    </row>
    <row r="85" spans="2:7" hidden="1">
      <c r="B85" s="613"/>
      <c r="C85" s="372">
        <v>2015</v>
      </c>
      <c r="D85" s="117">
        <v>19.096813000000001</v>
      </c>
      <c r="E85" s="183">
        <v>7.2545799999999998</v>
      </c>
      <c r="F85" s="370">
        <v>7</v>
      </c>
      <c r="G85" s="371">
        <v>0</v>
      </c>
    </row>
    <row r="86" spans="2:7" ht="15" customHeight="1">
      <c r="B86" s="614" t="s">
        <v>16</v>
      </c>
      <c r="C86" s="365">
        <v>2022</v>
      </c>
      <c r="D86" s="241">
        <v>23.323186</v>
      </c>
      <c r="E86" s="241">
        <v>12.891956</v>
      </c>
      <c r="F86" s="241">
        <v>12.891956</v>
      </c>
      <c r="G86" s="367">
        <v>0</v>
      </c>
    </row>
    <row r="87" spans="2:7">
      <c r="B87" s="612"/>
      <c r="C87" s="365">
        <v>2021</v>
      </c>
      <c r="D87" s="93">
        <v>14.911142</v>
      </c>
      <c r="E87" s="93">
        <v>7.6923570000000003</v>
      </c>
      <c r="F87" s="232">
        <v>7.6923570000000003</v>
      </c>
      <c r="G87" s="212">
        <v>0.80380600000000002</v>
      </c>
    </row>
    <row r="88" spans="2:7">
      <c r="B88" s="612"/>
      <c r="C88" s="95">
        <v>2020</v>
      </c>
      <c r="D88" s="93">
        <v>8.7794159999999994</v>
      </c>
      <c r="E88" s="93">
        <v>3.7208039999999998</v>
      </c>
      <c r="F88" s="232">
        <v>3.7208039999999998</v>
      </c>
      <c r="G88" s="92">
        <v>0</v>
      </c>
    </row>
    <row r="89" spans="2:7">
      <c r="B89" s="612"/>
      <c r="C89" s="95">
        <v>2019</v>
      </c>
      <c r="D89" s="183">
        <v>7.8537080000000001</v>
      </c>
      <c r="E89" s="93">
        <v>5.2799630000000004</v>
      </c>
      <c r="F89" s="368">
        <v>5</v>
      </c>
      <c r="G89" s="92">
        <v>6.6280080000000003</v>
      </c>
    </row>
    <row r="90" spans="2:7" hidden="1">
      <c r="B90" s="612"/>
      <c r="C90" s="365">
        <v>2018</v>
      </c>
      <c r="D90" s="92">
        <v>17.636939999999999</v>
      </c>
      <c r="E90" s="93">
        <v>9.3546060000000004</v>
      </c>
      <c r="F90" s="368">
        <v>9</v>
      </c>
      <c r="G90" s="306">
        <v>0</v>
      </c>
    </row>
    <row r="91" spans="2:7" hidden="1">
      <c r="B91" s="612"/>
      <c r="C91" s="365">
        <v>2017</v>
      </c>
      <c r="D91" s="92">
        <v>8.5871980000000008</v>
      </c>
      <c r="E91" s="93">
        <v>7.5486959999999996</v>
      </c>
      <c r="F91" s="368">
        <v>8</v>
      </c>
      <c r="G91" s="306">
        <v>0</v>
      </c>
    </row>
    <row r="92" spans="2:7" hidden="1">
      <c r="B92" s="612"/>
      <c r="C92" s="365">
        <v>2016</v>
      </c>
      <c r="D92" s="92">
        <v>8.356204</v>
      </c>
      <c r="E92" s="93">
        <v>5.893497</v>
      </c>
      <c r="F92" s="368">
        <v>6</v>
      </c>
      <c r="G92" s="306">
        <v>0</v>
      </c>
    </row>
    <row r="93" spans="2:7" hidden="1">
      <c r="B93" s="613"/>
      <c r="C93" s="365">
        <v>2015</v>
      </c>
      <c r="D93" s="183">
        <v>9.1076110000000003</v>
      </c>
      <c r="E93" s="183">
        <v>3.8365490000000002</v>
      </c>
      <c r="F93" s="363">
        <v>4</v>
      </c>
      <c r="G93" s="306">
        <v>0</v>
      </c>
    </row>
    <row r="94" spans="2:7" ht="15" customHeight="1">
      <c r="B94" s="614" t="s">
        <v>17</v>
      </c>
      <c r="C94" s="366">
        <v>2022</v>
      </c>
      <c r="D94" s="92">
        <v>8.8693639999999991</v>
      </c>
      <c r="E94" s="367">
        <v>4.8243720000000003</v>
      </c>
      <c r="F94" s="241">
        <v>4.8243720000000003</v>
      </c>
      <c r="G94" s="367">
        <v>0</v>
      </c>
    </row>
    <row r="95" spans="2:7">
      <c r="B95" s="612"/>
      <c r="C95" s="365">
        <v>2021</v>
      </c>
      <c r="D95" s="93">
        <v>6.750432</v>
      </c>
      <c r="E95" s="93">
        <v>3.511838</v>
      </c>
      <c r="F95" s="232">
        <v>3.511838</v>
      </c>
      <c r="G95" s="306">
        <v>0</v>
      </c>
    </row>
    <row r="96" spans="2:7">
      <c r="B96" s="612"/>
      <c r="C96" s="95">
        <v>2020</v>
      </c>
      <c r="D96" s="93">
        <v>7.9246049999999997</v>
      </c>
      <c r="E96" s="93">
        <v>0.67373400000000006</v>
      </c>
      <c r="F96" s="232">
        <v>0.67373400000000006</v>
      </c>
      <c r="G96" s="92">
        <v>0</v>
      </c>
    </row>
    <row r="97" spans="2:7">
      <c r="B97" s="612"/>
      <c r="C97" s="95">
        <v>2019</v>
      </c>
      <c r="D97" s="93">
        <v>5.6763630000000003</v>
      </c>
      <c r="E97" s="103">
        <v>0.83049200000000001</v>
      </c>
      <c r="F97" s="368">
        <v>1</v>
      </c>
      <c r="G97" s="92">
        <v>0</v>
      </c>
    </row>
    <row r="98" spans="2:7" hidden="1">
      <c r="B98" s="612"/>
      <c r="C98" s="95">
        <v>2018</v>
      </c>
      <c r="D98" s="93">
        <v>3.6929090000000002</v>
      </c>
      <c r="E98" s="103">
        <v>0.205261</v>
      </c>
      <c r="F98" s="368">
        <v>0</v>
      </c>
      <c r="G98" s="306">
        <v>0</v>
      </c>
    </row>
    <row r="99" spans="2:7" hidden="1">
      <c r="B99" s="612"/>
      <c r="C99" s="95">
        <v>2017</v>
      </c>
      <c r="D99" s="93">
        <v>1.100185</v>
      </c>
      <c r="E99" s="103">
        <v>0.26296700000000001</v>
      </c>
      <c r="F99" s="368">
        <v>0</v>
      </c>
      <c r="G99" s="306">
        <v>0</v>
      </c>
    </row>
    <row r="100" spans="2:7" hidden="1">
      <c r="B100" s="612"/>
      <c r="C100" s="95">
        <v>2016</v>
      </c>
      <c r="D100" s="93">
        <v>0.80537499999999995</v>
      </c>
      <c r="E100" s="103">
        <v>1.3649180000000001</v>
      </c>
      <c r="F100" s="368">
        <v>1</v>
      </c>
      <c r="G100" s="306">
        <v>0</v>
      </c>
    </row>
    <row r="101" spans="2:7" hidden="1">
      <c r="B101" s="613"/>
      <c r="C101" s="95">
        <v>2015</v>
      </c>
      <c r="D101" s="183">
        <v>0.44133600000000001</v>
      </c>
      <c r="E101" s="183">
        <v>2.9326000000000001E-2</v>
      </c>
      <c r="F101" s="363">
        <v>0</v>
      </c>
      <c r="G101" s="306">
        <v>0</v>
      </c>
    </row>
    <row r="102" spans="2:7" ht="15" customHeight="1">
      <c r="B102" s="614" t="s">
        <v>18</v>
      </c>
      <c r="C102" s="99">
        <v>2022</v>
      </c>
      <c r="D102" s="241">
        <v>2.074986</v>
      </c>
      <c r="E102" s="241">
        <v>6.0746890000000002</v>
      </c>
      <c r="F102" s="241">
        <v>6.0746890000000002</v>
      </c>
      <c r="G102" s="367">
        <v>0</v>
      </c>
    </row>
    <row r="103" spans="2:7">
      <c r="B103" s="612"/>
      <c r="C103" s="95">
        <v>2021</v>
      </c>
      <c r="D103" s="92">
        <v>0.89</v>
      </c>
      <c r="E103" s="93">
        <v>5.6107009999999997</v>
      </c>
      <c r="F103" s="232">
        <v>5.6107009999999997</v>
      </c>
      <c r="G103" s="306">
        <v>0</v>
      </c>
    </row>
    <row r="104" spans="2:7">
      <c r="B104" s="612"/>
      <c r="C104" s="95">
        <v>2020</v>
      </c>
      <c r="D104" s="93">
        <v>7.4079879999999996</v>
      </c>
      <c r="E104" s="93">
        <v>5.5285570000000002</v>
      </c>
      <c r="F104" s="232">
        <v>5.5285570000000002</v>
      </c>
      <c r="G104" s="212">
        <v>1.36931</v>
      </c>
    </row>
    <row r="105" spans="2:7">
      <c r="B105" s="612"/>
      <c r="C105" s="98">
        <v>2019</v>
      </c>
      <c r="D105" s="183">
        <v>0.50370400000000004</v>
      </c>
      <c r="E105" s="93">
        <v>4.8426289999999996</v>
      </c>
      <c r="F105" s="368">
        <v>5</v>
      </c>
      <c r="G105" s="92">
        <v>0</v>
      </c>
    </row>
    <row r="106" spans="2:7" hidden="1">
      <c r="B106" s="612"/>
      <c r="C106" s="95">
        <v>2018</v>
      </c>
      <c r="D106" s="4">
        <v>0.50259500000000001</v>
      </c>
      <c r="E106" s="20">
        <v>2.2773409999999998</v>
      </c>
      <c r="F106" s="373">
        <v>2</v>
      </c>
      <c r="G106" s="306">
        <v>0</v>
      </c>
    </row>
    <row r="107" spans="2:7" hidden="1">
      <c r="B107" s="612"/>
      <c r="C107" s="95">
        <v>2017</v>
      </c>
      <c r="D107" s="4">
        <v>0.55410800000000004</v>
      </c>
      <c r="E107" s="20">
        <v>0.79360200000000003</v>
      </c>
      <c r="F107" s="373">
        <v>1</v>
      </c>
      <c r="G107" s="306">
        <v>0</v>
      </c>
    </row>
    <row r="108" spans="2:7" hidden="1">
      <c r="B108" s="612"/>
      <c r="C108" s="95">
        <v>2016</v>
      </c>
      <c r="D108" s="4">
        <v>0.554504</v>
      </c>
      <c r="E108" s="93">
        <v>0.49965100000000001</v>
      </c>
      <c r="F108" s="368">
        <v>0</v>
      </c>
      <c r="G108" s="306">
        <v>0.38253399999999999</v>
      </c>
    </row>
    <row r="109" spans="2:7" hidden="1">
      <c r="B109" s="613"/>
      <c r="C109" s="98">
        <v>2015</v>
      </c>
      <c r="D109" s="183">
        <v>1.415756</v>
      </c>
      <c r="E109" s="183">
        <v>0.90712000000000004</v>
      </c>
      <c r="F109" s="370">
        <v>1</v>
      </c>
      <c r="G109" s="371">
        <v>0</v>
      </c>
    </row>
    <row r="110" spans="2:7" ht="15" customHeight="1">
      <c r="B110" s="614" t="s">
        <v>19</v>
      </c>
      <c r="C110" s="95">
        <v>2022</v>
      </c>
      <c r="D110" s="92">
        <v>7.4993879999999997</v>
      </c>
      <c r="E110" s="367">
        <v>5.5766210000000003</v>
      </c>
      <c r="F110" s="367">
        <v>5.5766210000000003</v>
      </c>
      <c r="G110" s="367">
        <v>0</v>
      </c>
    </row>
    <row r="111" spans="2:7">
      <c r="B111" s="612"/>
      <c r="C111" s="95">
        <v>2021</v>
      </c>
      <c r="D111" s="93">
        <v>4.6646989999999997</v>
      </c>
      <c r="E111" s="93">
        <v>3.5101290000000001</v>
      </c>
      <c r="F111" s="232">
        <v>3.5101290000000001</v>
      </c>
      <c r="G111" s="306">
        <v>0</v>
      </c>
    </row>
    <row r="112" spans="2:7">
      <c r="B112" s="612"/>
      <c r="C112" s="95">
        <v>2020</v>
      </c>
      <c r="D112" s="93">
        <v>12.087177000000001</v>
      </c>
      <c r="E112" s="93">
        <v>3.1086490000000002</v>
      </c>
      <c r="F112" s="232">
        <v>3.1086490000000002</v>
      </c>
      <c r="G112" s="92">
        <v>0</v>
      </c>
    </row>
    <row r="113" spans="2:7">
      <c r="B113" s="612"/>
      <c r="C113" s="95">
        <v>2019</v>
      </c>
      <c r="D113" s="183">
        <v>7.5200480000000001</v>
      </c>
      <c r="E113" s="103">
        <v>12.066779</v>
      </c>
      <c r="F113" s="363">
        <v>12</v>
      </c>
      <c r="G113" s="92">
        <v>1.10358</v>
      </c>
    </row>
    <row r="114" spans="2:7" hidden="1">
      <c r="B114" s="612"/>
      <c r="C114" s="365">
        <v>2018</v>
      </c>
      <c r="D114" s="92">
        <v>3.0275979999999998</v>
      </c>
      <c r="E114" s="20">
        <v>13.025753</v>
      </c>
      <c r="F114" s="373">
        <v>13</v>
      </c>
      <c r="G114" s="306">
        <v>0</v>
      </c>
    </row>
    <row r="115" spans="2:7" hidden="1">
      <c r="B115" s="612"/>
      <c r="C115" s="365">
        <v>2017</v>
      </c>
      <c r="D115" s="92">
        <v>3.5685859999999998</v>
      </c>
      <c r="E115" s="93">
        <v>10.713775999999999</v>
      </c>
      <c r="F115" s="368">
        <v>11</v>
      </c>
      <c r="G115" s="306">
        <v>0</v>
      </c>
    </row>
    <row r="116" spans="2:7" hidden="1">
      <c r="B116" s="612"/>
      <c r="C116" s="365">
        <v>2016</v>
      </c>
      <c r="D116" s="92">
        <v>2.4154719999999998</v>
      </c>
      <c r="E116" s="93">
        <v>6.6962479999999998</v>
      </c>
      <c r="F116" s="368">
        <v>7</v>
      </c>
      <c r="G116" s="306">
        <v>0</v>
      </c>
    </row>
    <row r="117" spans="2:7" hidden="1">
      <c r="B117" s="613"/>
      <c r="C117" s="365">
        <v>2015</v>
      </c>
      <c r="D117" s="183">
        <v>1.9385269999999999</v>
      </c>
      <c r="E117" s="183">
        <v>9.1830219999999994</v>
      </c>
      <c r="F117" s="363">
        <v>9</v>
      </c>
      <c r="G117" s="306">
        <v>0</v>
      </c>
    </row>
    <row r="118" spans="2:7" ht="15" customHeight="1">
      <c r="B118" s="614" t="s">
        <v>43</v>
      </c>
      <c r="C118" s="366">
        <v>2022</v>
      </c>
      <c r="D118" s="92">
        <v>3.9948100000000002</v>
      </c>
      <c r="E118" s="241">
        <v>3.0587409999999999</v>
      </c>
      <c r="F118" s="92">
        <v>3.0587409999999999</v>
      </c>
      <c r="G118" s="367">
        <v>0</v>
      </c>
    </row>
    <row r="119" spans="2:7">
      <c r="B119" s="612"/>
      <c r="C119" s="365">
        <v>2021</v>
      </c>
      <c r="D119" s="93">
        <v>1.3545430000000001</v>
      </c>
      <c r="E119" s="93">
        <v>3.397405</v>
      </c>
      <c r="F119" s="232">
        <v>3.397405</v>
      </c>
      <c r="G119" s="306">
        <v>0</v>
      </c>
    </row>
    <row r="120" spans="2:7">
      <c r="B120" s="612"/>
      <c r="C120" s="95">
        <v>2020</v>
      </c>
      <c r="D120" s="93">
        <v>1.410539</v>
      </c>
      <c r="E120" s="93">
        <v>2.5816750000000002</v>
      </c>
      <c r="F120" s="232">
        <v>2.5816750000000002</v>
      </c>
      <c r="G120" s="92">
        <v>0</v>
      </c>
    </row>
    <row r="121" spans="2:7">
      <c r="B121" s="612"/>
      <c r="C121" s="95">
        <v>2019</v>
      </c>
      <c r="D121" s="93">
        <v>2.2037360000000001</v>
      </c>
      <c r="E121" s="93">
        <v>2.4371800000000001</v>
      </c>
      <c r="F121" s="368">
        <v>2</v>
      </c>
      <c r="G121" s="92">
        <v>0</v>
      </c>
    </row>
    <row r="122" spans="2:7" hidden="1">
      <c r="B122" s="612"/>
      <c r="C122" s="365">
        <v>2018</v>
      </c>
      <c r="D122" s="93">
        <v>1.6363730000000001</v>
      </c>
      <c r="E122" s="103">
        <v>2.5312670000000002</v>
      </c>
      <c r="F122" s="232">
        <v>3</v>
      </c>
      <c r="G122" s="306">
        <v>0</v>
      </c>
    </row>
    <row r="123" spans="2:7" hidden="1">
      <c r="B123" s="612"/>
      <c r="C123" s="365">
        <v>2017</v>
      </c>
      <c r="D123" s="92">
        <v>1.721895</v>
      </c>
      <c r="E123" s="93">
        <v>2.4468770000000002</v>
      </c>
      <c r="F123" s="232">
        <v>2</v>
      </c>
      <c r="G123" s="306">
        <v>0</v>
      </c>
    </row>
    <row r="124" spans="2:7" hidden="1">
      <c r="B124" s="612"/>
      <c r="C124" s="365">
        <v>2016</v>
      </c>
      <c r="D124" s="92">
        <v>0.75415299999999996</v>
      </c>
      <c r="E124" s="93">
        <v>3.1007099999999999</v>
      </c>
      <c r="F124" s="232">
        <v>3</v>
      </c>
      <c r="G124" s="92">
        <v>1.2266000000000001E-2</v>
      </c>
    </row>
    <row r="125" spans="2:7" hidden="1">
      <c r="B125" s="613"/>
      <c r="C125" s="372">
        <v>2015</v>
      </c>
      <c r="D125" s="117">
        <v>0.70162999999999998</v>
      </c>
      <c r="E125" s="183">
        <v>2.565788</v>
      </c>
      <c r="F125" s="363">
        <v>3</v>
      </c>
      <c r="G125" s="371">
        <v>0</v>
      </c>
    </row>
    <row r="126" spans="2:7" ht="15" customHeight="1">
      <c r="B126" s="614" t="s">
        <v>20</v>
      </c>
      <c r="C126" s="366">
        <v>2022</v>
      </c>
      <c r="D126" s="241">
        <v>0.41325499999999998</v>
      </c>
      <c r="E126" s="241">
        <v>2.953166</v>
      </c>
      <c r="F126" s="241">
        <v>2.953166</v>
      </c>
      <c r="G126" s="367">
        <v>0</v>
      </c>
    </row>
    <row r="127" spans="2:7">
      <c r="B127" s="612"/>
      <c r="C127" s="365">
        <v>2021</v>
      </c>
      <c r="D127" s="93">
        <v>0.38950099999999999</v>
      </c>
      <c r="E127" s="93">
        <v>3.7608649999999999</v>
      </c>
      <c r="F127" s="232">
        <v>3.7608649999999999</v>
      </c>
      <c r="G127" s="306">
        <v>0</v>
      </c>
    </row>
    <row r="128" spans="2:7">
      <c r="B128" s="612"/>
      <c r="C128" s="95">
        <v>2020</v>
      </c>
      <c r="D128" s="93">
        <v>0.344277</v>
      </c>
      <c r="E128" s="93">
        <v>3.1863969999999999</v>
      </c>
      <c r="F128" s="232">
        <v>3.1863969999999999</v>
      </c>
      <c r="G128" s="92">
        <v>0</v>
      </c>
    </row>
    <row r="129" spans="2:7">
      <c r="B129" s="612"/>
      <c r="C129" s="98">
        <v>2019</v>
      </c>
      <c r="D129" s="183">
        <v>1.020033</v>
      </c>
      <c r="E129" s="93">
        <v>1.6225769999999999</v>
      </c>
      <c r="F129" s="232">
        <v>2</v>
      </c>
      <c r="G129" s="254">
        <v>0</v>
      </c>
    </row>
    <row r="130" spans="2:7" hidden="1">
      <c r="B130" s="612"/>
      <c r="C130" s="365">
        <v>2018</v>
      </c>
      <c r="D130" s="92">
        <v>1.9137999999999999E-2</v>
      </c>
      <c r="E130" s="93">
        <v>0.42342999999999997</v>
      </c>
      <c r="F130" s="232">
        <v>0</v>
      </c>
      <c r="G130" s="92">
        <v>0</v>
      </c>
    </row>
    <row r="131" spans="2:7" hidden="1">
      <c r="B131" s="612"/>
      <c r="C131" s="365">
        <v>2017</v>
      </c>
      <c r="D131" s="92">
        <v>0</v>
      </c>
      <c r="E131" s="93">
        <v>0.45003100000000001</v>
      </c>
      <c r="F131" s="232">
        <v>0</v>
      </c>
      <c r="G131" s="92">
        <v>0</v>
      </c>
    </row>
    <row r="132" spans="2:7" hidden="1">
      <c r="B132" s="612"/>
      <c r="C132" s="365">
        <v>2016</v>
      </c>
      <c r="D132" s="92">
        <v>5.4357999999999997E-2</v>
      </c>
      <c r="E132" s="93">
        <v>0.51384700000000005</v>
      </c>
      <c r="F132" s="232">
        <v>1</v>
      </c>
      <c r="G132" s="92">
        <v>0</v>
      </c>
    </row>
    <row r="133" spans="2:7" hidden="1">
      <c r="B133" s="613"/>
      <c r="C133" s="372">
        <v>2015</v>
      </c>
      <c r="D133" s="117">
        <v>0.13195599999999999</v>
      </c>
      <c r="E133" s="183">
        <v>0.33097100000000002</v>
      </c>
      <c r="F133" s="363">
        <v>0</v>
      </c>
      <c r="G133" s="117">
        <v>0.29885499999999998</v>
      </c>
    </row>
    <row r="134" spans="2:7" ht="15">
      <c r="B134" s="540" t="s">
        <v>181</v>
      </c>
      <c r="D134" s="518"/>
      <c r="E134" s="521"/>
      <c r="F134" s="523">
        <f>+F126+F118+F110+F102+F94+F86+F78+F70+F62+F54+F46+F38+F30+F22+F14+F6</f>
        <v>3400.1646820000001</v>
      </c>
      <c r="G134" s="520">
        <f t="shared" ref="D134:G135" si="0">+G6+G14+G22+G30+G38+G46+G54+G62+G70+G78+G86+G94+G102+G110+G118+G126</f>
        <v>365.98416200000003</v>
      </c>
    </row>
    <row r="135" spans="2:7" ht="15">
      <c r="D135" s="520">
        <f t="shared" si="0"/>
        <v>5285.1653019999994</v>
      </c>
      <c r="E135" s="519">
        <f t="shared" si="0"/>
        <v>2050.3763549999994</v>
      </c>
      <c r="F135" s="519">
        <f>+F127+F119+F111+F103+F95+F87+F79+F71+F63+F55+F47+F39+F31+F23+F15+F7</f>
        <v>1915.5017910000001</v>
      </c>
      <c r="G135" s="519">
        <f t="shared" si="0"/>
        <v>452.02274800000004</v>
      </c>
    </row>
    <row r="136" spans="2:7" ht="15">
      <c r="D136" s="520">
        <f>+D8+D16+D24+D32+D40+D48+D56+D64+D72+D80+D88+D96+D104+D112+D120+D128</f>
        <v>5997.882641000002</v>
      </c>
      <c r="E136" s="520">
        <f>+E8+E16+E24+E32+E40+E48+E56+E64+E72+E80+E88+E96+E104+E112+E120+E128</f>
        <v>2199.0244349999998</v>
      </c>
      <c r="F136" s="520">
        <f>+F128+F120+F112+F104+F96+F88+F80+F72+F64+F56+F48+F40+F32+F24+F16+F8</f>
        <v>2090.5389610000002</v>
      </c>
      <c r="G136" s="520">
        <f>+G8+G16+G24+G32+G40+G56+G64+G80+G104</f>
        <v>599.69002899999998</v>
      </c>
    </row>
    <row r="149" spans="2:2" ht="15">
      <c r="B149" s="32"/>
    </row>
    <row r="188" spans="2:3">
      <c r="C188" s="54"/>
    </row>
    <row r="189" spans="2:3">
      <c r="C189" s="54"/>
    </row>
    <row r="190" spans="2:3">
      <c r="C190" s="54"/>
    </row>
    <row r="191" spans="2:3" ht="15">
      <c r="B191" s="56"/>
      <c r="C191" s="54"/>
    </row>
    <row r="192" spans="2:3">
      <c r="B192" s="54"/>
      <c r="C192" s="54"/>
    </row>
    <row r="193" spans="2:4">
      <c r="B193" s="54"/>
      <c r="C193" s="54"/>
    </row>
    <row r="194" spans="2:4">
      <c r="B194" s="54"/>
      <c r="C194" s="54"/>
    </row>
    <row r="195" spans="2:4">
      <c r="B195" s="54"/>
      <c r="C195" s="54"/>
      <c r="D195" s="7"/>
    </row>
    <row r="196" spans="2:4">
      <c r="B196" s="54"/>
      <c r="C196" s="54"/>
    </row>
    <row r="197" spans="2:4">
      <c r="B197" s="54"/>
      <c r="C197" s="54"/>
      <c r="D197" s="7"/>
    </row>
    <row r="198" spans="2:4">
      <c r="B198" s="54"/>
      <c r="C198" s="54"/>
    </row>
    <row r="199" spans="2:4">
      <c r="B199" s="54"/>
      <c r="C199" s="54"/>
    </row>
    <row r="200" spans="2:4" ht="15">
      <c r="B200" s="56"/>
      <c r="C200" s="56"/>
    </row>
    <row r="201" spans="2:4" ht="15">
      <c r="C201" s="56"/>
    </row>
  </sheetData>
  <mergeCells count="18">
    <mergeCell ref="B110:B117"/>
    <mergeCell ref="B118:B125"/>
    <mergeCell ref="B126:B133"/>
    <mergeCell ref="B30:B37"/>
    <mergeCell ref="B38:B45"/>
    <mergeCell ref="B46:B53"/>
    <mergeCell ref="B54:B61"/>
    <mergeCell ref="B62:B69"/>
    <mergeCell ref="B70:B77"/>
    <mergeCell ref="B78:B85"/>
    <mergeCell ref="B86:B93"/>
    <mergeCell ref="B94:B101"/>
    <mergeCell ref="B102:B109"/>
    <mergeCell ref="B4:B5"/>
    <mergeCell ref="C4:C5"/>
    <mergeCell ref="B6:B13"/>
    <mergeCell ref="B14:B21"/>
    <mergeCell ref="B22:B29"/>
  </mergeCells>
  <pageMargins left="0.7" right="0.7" top="0.75" bottom="0.75" header="0.3" footer="0.3"/>
  <pageSetup paperSize="9" orientation="portrait" r:id="rId1"/>
  <ignoredErrors>
    <ignoredError sqref="F134:F13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203"/>
  <sheetViews>
    <sheetView showGridLines="0" zoomScale="80" zoomScaleNormal="80" workbookViewId="0"/>
  </sheetViews>
  <sheetFormatPr defaultColWidth="8.85546875" defaultRowHeight="14.25"/>
  <cols>
    <col min="1" max="1" width="1.7109375" style="12" customWidth="1"/>
    <col min="2" max="2" width="77.28515625" style="12" customWidth="1"/>
    <col min="3" max="3" width="20.7109375" style="12" customWidth="1"/>
    <col min="4" max="4" width="30.7109375" style="12" customWidth="1"/>
    <col min="5" max="5" width="36.28515625" style="12" customWidth="1"/>
    <col min="6" max="6" width="30.5703125" style="12" customWidth="1"/>
    <col min="7" max="7" width="30.7109375" style="12" customWidth="1"/>
    <col min="8" max="8" width="14.28515625" style="12" customWidth="1"/>
    <col min="9" max="16384" width="8.85546875" style="12"/>
  </cols>
  <sheetData>
    <row r="1" spans="2:7" s="31" customFormat="1"/>
    <row r="2" spans="2:7" s="31" customFormat="1" ht="15">
      <c r="B2" s="57" t="s">
        <v>145</v>
      </c>
    </row>
    <row r="3" spans="2:7" s="31" customFormat="1"/>
    <row r="4" spans="2:7" s="31" customFormat="1">
      <c r="B4" s="616" t="s">
        <v>133</v>
      </c>
      <c r="C4" s="616" t="s">
        <v>2</v>
      </c>
      <c r="D4" s="53" t="s">
        <v>85</v>
      </c>
      <c r="E4" s="52" t="s">
        <v>69</v>
      </c>
      <c r="F4" s="53" t="s">
        <v>83</v>
      </c>
      <c r="G4" s="105" t="s">
        <v>84</v>
      </c>
    </row>
    <row r="5" spans="2:7" s="31" customFormat="1">
      <c r="B5" s="616"/>
      <c r="C5" s="616"/>
      <c r="D5" s="53" t="s">
        <v>0</v>
      </c>
      <c r="E5" s="53" t="s">
        <v>82</v>
      </c>
      <c r="F5" s="53" t="s">
        <v>3</v>
      </c>
      <c r="G5" s="105" t="s">
        <v>4</v>
      </c>
    </row>
    <row r="6" spans="2:7" s="31" customFormat="1" ht="15" customHeight="1">
      <c r="B6" s="612" t="s">
        <v>23</v>
      </c>
      <c r="C6" s="99">
        <v>2022</v>
      </c>
      <c r="D6" s="170">
        <v>4.292726</v>
      </c>
      <c r="E6" s="171">
        <v>38.562327000000003</v>
      </c>
      <c r="F6" s="153">
        <v>38.562327000000003</v>
      </c>
      <c r="G6" s="171">
        <v>11.249247</v>
      </c>
    </row>
    <row r="7" spans="2:7" s="31" customFormat="1">
      <c r="B7" s="612"/>
      <c r="C7" s="95">
        <v>2021</v>
      </c>
      <c r="D7" s="170">
        <v>1.4335260000000001</v>
      </c>
      <c r="E7" s="171">
        <v>40.862454999999997</v>
      </c>
      <c r="F7" s="153">
        <v>50.394419999999997</v>
      </c>
      <c r="G7" s="171">
        <v>9.5316919999999996</v>
      </c>
    </row>
    <row r="8" spans="2:7" s="31" customFormat="1">
      <c r="B8" s="612"/>
      <c r="C8" s="95">
        <v>2020</v>
      </c>
      <c r="D8" s="170">
        <v>6.2175070000000003</v>
      </c>
      <c r="E8" s="171">
        <v>24.183176</v>
      </c>
      <c r="F8" s="153">
        <v>19.68186</v>
      </c>
      <c r="G8" s="154">
        <v>4.5364490000000002</v>
      </c>
    </row>
    <row r="9" spans="2:7" s="31" customFormat="1">
      <c r="B9" s="612"/>
      <c r="C9" s="95">
        <v>2019</v>
      </c>
      <c r="D9" s="156">
        <v>1.3475429999999999</v>
      </c>
      <c r="E9" s="156">
        <v>21.840447999999999</v>
      </c>
      <c r="F9" s="155">
        <v>12.088997000000001</v>
      </c>
      <c r="G9" s="154">
        <v>12.934998999999999</v>
      </c>
    </row>
    <row r="10" spans="2:7" s="31" customFormat="1" hidden="1">
      <c r="B10" s="612"/>
      <c r="C10" s="95">
        <v>2018</v>
      </c>
      <c r="D10" s="154">
        <v>1.480084</v>
      </c>
      <c r="E10" s="155">
        <v>12.30527</v>
      </c>
      <c r="F10" s="155">
        <v>9.7354649999999996</v>
      </c>
      <c r="G10" s="154">
        <v>2.5698050000000001</v>
      </c>
    </row>
    <row r="11" spans="2:7" s="31" customFormat="1" hidden="1">
      <c r="B11" s="612"/>
      <c r="C11" s="133">
        <v>2017</v>
      </c>
      <c r="D11" s="154">
        <v>2.5200300000000002</v>
      </c>
      <c r="E11" s="155">
        <v>7.8446689999999997</v>
      </c>
      <c r="F11" s="155">
        <v>6.7565160000000004</v>
      </c>
      <c r="G11" s="154">
        <v>1.0881529999999999</v>
      </c>
    </row>
    <row r="12" spans="2:7" s="31" customFormat="1" hidden="1">
      <c r="B12" s="612"/>
      <c r="C12" s="133">
        <v>2016</v>
      </c>
      <c r="D12" s="154">
        <v>1.2516940000000001</v>
      </c>
      <c r="E12" s="155">
        <v>12.211226</v>
      </c>
      <c r="F12" s="155">
        <v>12.211226</v>
      </c>
      <c r="G12" s="154">
        <v>0</v>
      </c>
    </row>
    <row r="13" spans="2:7" s="31" customFormat="1" hidden="1">
      <c r="B13" s="613"/>
      <c r="C13" s="98">
        <v>2015</v>
      </c>
      <c r="D13" s="156">
        <v>0.47562300000000002</v>
      </c>
      <c r="E13" s="156">
        <v>16.033196</v>
      </c>
      <c r="F13" s="155">
        <v>7.9849800000000002</v>
      </c>
      <c r="G13" s="154">
        <v>8.048216</v>
      </c>
    </row>
    <row r="14" spans="2:7" s="31" customFormat="1" ht="15" customHeight="1">
      <c r="B14" s="614" t="s">
        <v>24</v>
      </c>
      <c r="C14" s="99">
        <v>2022</v>
      </c>
      <c r="D14" s="170">
        <v>14.306443</v>
      </c>
      <c r="E14" s="171">
        <v>17.793073</v>
      </c>
      <c r="F14" s="157">
        <v>17.793073</v>
      </c>
      <c r="G14" s="172">
        <v>0</v>
      </c>
    </row>
    <row r="15" spans="2:7" s="31" customFormat="1">
      <c r="B15" s="612"/>
      <c r="C15" s="95">
        <v>2021</v>
      </c>
      <c r="D15" s="170">
        <v>6.5628580000000003</v>
      </c>
      <c r="E15" s="171">
        <v>16.684742</v>
      </c>
      <c r="F15" s="153">
        <v>11.374628</v>
      </c>
      <c r="G15" s="154">
        <v>0</v>
      </c>
    </row>
    <row r="16" spans="2:7" s="31" customFormat="1">
      <c r="B16" s="612"/>
      <c r="C16" s="95">
        <v>2020</v>
      </c>
      <c r="D16" s="171">
        <v>4.4149539999999998</v>
      </c>
      <c r="E16" s="170">
        <v>14.163111000000001</v>
      </c>
      <c r="F16" s="153">
        <v>4.4270769999999997</v>
      </c>
      <c r="G16" s="173">
        <v>0</v>
      </c>
    </row>
    <row r="17" spans="2:7" s="31" customFormat="1">
      <c r="B17" s="612"/>
      <c r="C17" s="95">
        <v>2019</v>
      </c>
      <c r="D17" s="156">
        <v>12.323513</v>
      </c>
      <c r="E17" s="156">
        <v>13.176275</v>
      </c>
      <c r="F17" s="155">
        <v>13.176275</v>
      </c>
      <c r="G17" s="545">
        <v>0</v>
      </c>
    </row>
    <row r="18" spans="2:7" s="31" customFormat="1" hidden="1">
      <c r="B18" s="612"/>
      <c r="C18" s="95">
        <v>2018</v>
      </c>
      <c r="D18" s="154">
        <v>15.041703999999999</v>
      </c>
      <c r="E18" s="155">
        <v>10.944801</v>
      </c>
      <c r="F18" s="155">
        <v>10.944801</v>
      </c>
      <c r="G18" s="154">
        <v>0</v>
      </c>
    </row>
    <row r="19" spans="2:7" s="31" customFormat="1" hidden="1">
      <c r="B19" s="612"/>
      <c r="C19" s="95">
        <v>2017</v>
      </c>
      <c r="D19" s="154">
        <v>19.525884000000001</v>
      </c>
      <c r="E19" s="155">
        <v>2.605286</v>
      </c>
      <c r="F19" s="155">
        <v>2.605286</v>
      </c>
      <c r="G19" s="154">
        <v>0</v>
      </c>
    </row>
    <row r="20" spans="2:7" s="31" customFormat="1" hidden="1">
      <c r="B20" s="612"/>
      <c r="C20" s="95">
        <v>2016</v>
      </c>
      <c r="D20" s="154">
        <v>12.434903</v>
      </c>
      <c r="E20" s="155">
        <v>2.4373450000000001</v>
      </c>
      <c r="F20" s="155">
        <v>2.4373450000000001</v>
      </c>
      <c r="G20" s="154">
        <v>0</v>
      </c>
    </row>
    <row r="21" spans="2:7" s="31" customFormat="1" hidden="1">
      <c r="B21" s="613"/>
      <c r="C21" s="95">
        <v>2015</v>
      </c>
      <c r="D21" s="156">
        <v>11.626229</v>
      </c>
      <c r="E21" s="156">
        <v>1.8913150000000001</v>
      </c>
      <c r="F21" s="155">
        <v>1.8913150000000001</v>
      </c>
      <c r="G21" s="158">
        <v>0</v>
      </c>
    </row>
    <row r="22" spans="2:7" s="31" customFormat="1" ht="15" customHeight="1">
      <c r="B22" s="614" t="s">
        <v>25</v>
      </c>
      <c r="C22" s="99">
        <v>2022</v>
      </c>
      <c r="D22" s="170">
        <v>749.73183700000004</v>
      </c>
      <c r="E22" s="171">
        <v>230.661316</v>
      </c>
      <c r="F22" s="157">
        <v>207.51059000000001</v>
      </c>
      <c r="G22" s="171">
        <v>67.546873000000005</v>
      </c>
    </row>
    <row r="23" spans="2:7" s="31" customFormat="1">
      <c r="B23" s="612"/>
      <c r="C23" s="95">
        <v>2021</v>
      </c>
      <c r="D23" s="170">
        <v>627.07601699999998</v>
      </c>
      <c r="E23" s="171">
        <v>104.517171</v>
      </c>
      <c r="F23" s="153">
        <v>57.638869</v>
      </c>
      <c r="G23" s="171">
        <v>136.31287800000001</v>
      </c>
    </row>
    <row r="24" spans="2:7" s="31" customFormat="1">
      <c r="B24" s="612"/>
      <c r="C24" s="95">
        <v>2020</v>
      </c>
      <c r="D24" s="171">
        <v>553.86759700000005</v>
      </c>
      <c r="E24" s="170">
        <v>219.87601100000001</v>
      </c>
      <c r="F24" s="153">
        <v>137.32926800000001</v>
      </c>
      <c r="G24" s="154">
        <v>83.488388999999998</v>
      </c>
    </row>
    <row r="25" spans="2:7" s="31" customFormat="1">
      <c r="B25" s="612"/>
      <c r="C25" s="95">
        <v>2019</v>
      </c>
      <c r="D25" s="156">
        <v>720.28236200000003</v>
      </c>
      <c r="E25" s="155">
        <v>237.39065199999999</v>
      </c>
      <c r="F25" s="155">
        <v>188.78940600000001</v>
      </c>
      <c r="G25" s="154">
        <v>149.32137</v>
      </c>
    </row>
    <row r="26" spans="2:7" s="31" customFormat="1" hidden="1">
      <c r="B26" s="612"/>
      <c r="C26" s="95">
        <v>2018</v>
      </c>
      <c r="D26" s="154">
        <v>584.07689300000004</v>
      </c>
      <c r="E26" s="155">
        <v>225.352159</v>
      </c>
      <c r="F26" s="155">
        <v>202.71516099999999</v>
      </c>
      <c r="G26" s="154">
        <v>22.636997999999998</v>
      </c>
    </row>
    <row r="27" spans="2:7" s="31" customFormat="1" hidden="1">
      <c r="B27" s="612"/>
      <c r="C27" s="95">
        <v>2017</v>
      </c>
      <c r="D27" s="154">
        <v>574.10362799999996</v>
      </c>
      <c r="E27" s="155">
        <v>166.05770799999999</v>
      </c>
      <c r="F27" s="155">
        <v>146.638576</v>
      </c>
      <c r="G27" s="159">
        <v>19.419132000000001</v>
      </c>
    </row>
    <row r="28" spans="2:7" s="31" customFormat="1" hidden="1">
      <c r="B28" s="612"/>
      <c r="C28" s="95">
        <v>2016</v>
      </c>
      <c r="D28" s="154">
        <v>555.41217099999994</v>
      </c>
      <c r="E28" s="155">
        <v>149.62579500000001</v>
      </c>
      <c r="F28" s="155">
        <v>130.850606</v>
      </c>
      <c r="G28" s="159">
        <v>18.775189000000001</v>
      </c>
    </row>
    <row r="29" spans="2:7" s="31" customFormat="1" hidden="1">
      <c r="B29" s="613"/>
      <c r="C29" s="95">
        <v>2015</v>
      </c>
      <c r="D29" s="158">
        <v>497.085733</v>
      </c>
      <c r="E29" s="156">
        <v>169.06093200000001</v>
      </c>
      <c r="F29" s="156">
        <v>122.098499</v>
      </c>
      <c r="G29" s="160">
        <v>46.962432999999997</v>
      </c>
    </row>
    <row r="30" spans="2:7" s="31" customFormat="1" ht="15" customHeight="1">
      <c r="B30" s="614" t="s">
        <v>26</v>
      </c>
      <c r="C30" s="99">
        <v>2022</v>
      </c>
      <c r="D30" s="170">
        <v>43.665577999999996</v>
      </c>
      <c r="E30" s="174">
        <v>1032.334977</v>
      </c>
      <c r="F30" s="157">
        <v>1032.334977</v>
      </c>
      <c r="G30" s="172">
        <v>0</v>
      </c>
    </row>
    <row r="31" spans="2:7" s="31" customFormat="1">
      <c r="B31" s="612"/>
      <c r="C31" s="95">
        <v>2021</v>
      </c>
      <c r="D31" s="170">
        <v>389.04041100000001</v>
      </c>
      <c r="E31" s="171">
        <v>1.561925</v>
      </c>
      <c r="F31" s="153">
        <v>5.3936590000000004</v>
      </c>
      <c r="G31" s="159">
        <v>0</v>
      </c>
    </row>
    <row r="32" spans="2:7" s="31" customFormat="1">
      <c r="B32" s="612"/>
      <c r="C32" s="95">
        <v>2020</v>
      </c>
      <c r="D32" s="171">
        <v>402.85327699999999</v>
      </c>
      <c r="E32" s="170">
        <v>195.23736500000001</v>
      </c>
      <c r="F32" s="153">
        <v>30.283064</v>
      </c>
      <c r="G32" s="173">
        <v>0</v>
      </c>
    </row>
    <row r="33" spans="2:7" s="31" customFormat="1">
      <c r="B33" s="612"/>
      <c r="C33" s="95">
        <v>2019</v>
      </c>
      <c r="D33" s="156">
        <v>774.87203799999997</v>
      </c>
      <c r="E33" s="155">
        <v>184.2985463</v>
      </c>
      <c r="F33" s="155">
        <v>184.298543</v>
      </c>
      <c r="G33" s="545">
        <v>0</v>
      </c>
    </row>
    <row r="34" spans="2:7" s="31" customFormat="1" hidden="1">
      <c r="B34" s="612"/>
      <c r="C34" s="95">
        <v>2018</v>
      </c>
      <c r="D34" s="154">
        <v>684.95184600000005</v>
      </c>
      <c r="E34" s="155">
        <v>9.785876</v>
      </c>
      <c r="F34" s="155">
        <v>9.785876</v>
      </c>
      <c r="G34" s="159">
        <v>0</v>
      </c>
    </row>
    <row r="35" spans="2:7" s="31" customFormat="1" hidden="1">
      <c r="B35" s="612"/>
      <c r="C35" s="95">
        <v>2017</v>
      </c>
      <c r="D35" s="154">
        <v>681.498017</v>
      </c>
      <c r="E35" s="155">
        <v>1.7408330000000001</v>
      </c>
      <c r="F35" s="155">
        <v>1.7408330000000001</v>
      </c>
      <c r="G35" s="159">
        <v>0</v>
      </c>
    </row>
    <row r="36" spans="2:7" s="31" customFormat="1" hidden="1">
      <c r="B36" s="612"/>
      <c r="C36" s="95">
        <v>2016</v>
      </c>
      <c r="D36" s="154">
        <v>768.85068200000001</v>
      </c>
      <c r="E36" s="155">
        <v>39.972982000000002</v>
      </c>
      <c r="F36" s="155">
        <v>39.972982000000002</v>
      </c>
      <c r="G36" s="159">
        <v>0</v>
      </c>
    </row>
    <row r="37" spans="2:7" s="31" customFormat="1" hidden="1">
      <c r="B37" s="613"/>
      <c r="C37" s="95">
        <v>2015</v>
      </c>
      <c r="D37" s="156">
        <v>761.31332799999996</v>
      </c>
      <c r="E37" s="156">
        <v>1.0728949999999999</v>
      </c>
      <c r="F37" s="156">
        <v>1.0728949999999999</v>
      </c>
      <c r="G37" s="161">
        <v>0</v>
      </c>
    </row>
    <row r="38" spans="2:7" s="31" customFormat="1" ht="15" customHeight="1">
      <c r="B38" s="614" t="s">
        <v>86</v>
      </c>
      <c r="C38" s="99">
        <v>2022</v>
      </c>
      <c r="D38" s="170">
        <v>181.21921399999999</v>
      </c>
      <c r="E38" s="174">
        <v>83.089625999999996</v>
      </c>
      <c r="F38" s="157">
        <v>83.089625999999996</v>
      </c>
      <c r="G38" s="171">
        <v>0</v>
      </c>
    </row>
    <row r="39" spans="2:7" s="31" customFormat="1">
      <c r="B39" s="612"/>
      <c r="C39" s="95">
        <v>2021</v>
      </c>
      <c r="D39" s="170">
        <v>198.340788</v>
      </c>
      <c r="E39" s="171">
        <v>28.249881999999999</v>
      </c>
      <c r="F39" s="153">
        <v>18.783154</v>
      </c>
      <c r="G39" s="171">
        <v>2.7309000000000001</v>
      </c>
    </row>
    <row r="40" spans="2:7" s="31" customFormat="1">
      <c r="B40" s="612"/>
      <c r="C40" s="95">
        <v>2020</v>
      </c>
      <c r="D40" s="171">
        <v>208.44841199999999</v>
      </c>
      <c r="E40" s="170">
        <v>63.220019000000001</v>
      </c>
      <c r="F40" s="153">
        <v>21.307708000000002</v>
      </c>
      <c r="G40" s="154">
        <v>1.3675079999999999</v>
      </c>
    </row>
    <row r="41" spans="2:7" s="31" customFormat="1">
      <c r="B41" s="612"/>
      <c r="C41" s="95">
        <v>2019</v>
      </c>
      <c r="D41" s="154">
        <v>273.139094</v>
      </c>
      <c r="E41" s="155">
        <v>6.5407479999999998</v>
      </c>
      <c r="F41" s="155">
        <v>6.5407479999999998</v>
      </c>
      <c r="G41" s="154">
        <v>9.80687</v>
      </c>
    </row>
    <row r="42" spans="2:7" s="31" customFormat="1" hidden="1">
      <c r="B42" s="612"/>
      <c r="C42" s="95">
        <v>2018</v>
      </c>
      <c r="D42" s="154">
        <v>217.033624</v>
      </c>
      <c r="E42" s="155">
        <v>36.167389999999997</v>
      </c>
      <c r="F42" s="155">
        <v>36.167389999999997</v>
      </c>
      <c r="G42" s="159">
        <v>0</v>
      </c>
    </row>
    <row r="43" spans="2:7" s="31" customFormat="1" hidden="1">
      <c r="B43" s="612"/>
      <c r="C43" s="95">
        <v>2017</v>
      </c>
      <c r="D43" s="154">
        <v>237.87795299999999</v>
      </c>
      <c r="E43" s="155">
        <v>21.78612</v>
      </c>
      <c r="F43" s="155">
        <v>21.78612</v>
      </c>
      <c r="G43" s="159">
        <v>0</v>
      </c>
    </row>
    <row r="44" spans="2:7" s="31" customFormat="1" hidden="1">
      <c r="B44" s="612"/>
      <c r="C44" s="95">
        <v>2016</v>
      </c>
      <c r="D44" s="154">
        <v>185.786575</v>
      </c>
      <c r="E44" s="155">
        <v>11.606831</v>
      </c>
      <c r="F44" s="155">
        <v>11.606831</v>
      </c>
      <c r="G44" s="159">
        <v>0</v>
      </c>
    </row>
    <row r="45" spans="2:7" s="31" customFormat="1" hidden="1">
      <c r="B45" s="613"/>
      <c r="C45" s="95">
        <v>2015</v>
      </c>
      <c r="D45" s="158">
        <v>172.23710700000001</v>
      </c>
      <c r="E45" s="155">
        <v>47.656021000000003</v>
      </c>
      <c r="F45" s="155">
        <v>47.656021000000003</v>
      </c>
      <c r="G45" s="159">
        <v>0</v>
      </c>
    </row>
    <row r="46" spans="2:7" s="31" customFormat="1" ht="15" customHeight="1">
      <c r="B46" s="614" t="s">
        <v>28</v>
      </c>
      <c r="C46" s="99">
        <v>2022</v>
      </c>
      <c r="D46" s="174">
        <v>414.59343699999999</v>
      </c>
      <c r="E46" s="174">
        <v>335.24903799999998</v>
      </c>
      <c r="F46" s="157">
        <v>297.89903800000002</v>
      </c>
      <c r="G46" s="172">
        <v>79.553289000000007</v>
      </c>
    </row>
    <row r="47" spans="2:7" s="31" customFormat="1">
      <c r="B47" s="612"/>
      <c r="C47" s="95">
        <v>2021</v>
      </c>
      <c r="D47" s="170">
        <v>294.40576499999997</v>
      </c>
      <c r="E47" s="171">
        <v>127.877178</v>
      </c>
      <c r="F47" s="153">
        <v>137.686825</v>
      </c>
      <c r="G47" s="171">
        <v>54.279111</v>
      </c>
    </row>
    <row r="48" spans="2:7" s="31" customFormat="1">
      <c r="B48" s="612"/>
      <c r="C48" s="95">
        <v>2020</v>
      </c>
      <c r="D48" s="171">
        <v>369.39690200000001</v>
      </c>
      <c r="E48" s="170">
        <v>301.27912300000003</v>
      </c>
      <c r="F48" s="153">
        <v>354.54378500000001</v>
      </c>
      <c r="G48" s="154">
        <v>160.57509099999999</v>
      </c>
    </row>
    <row r="49" spans="2:8" s="31" customFormat="1">
      <c r="B49" s="612"/>
      <c r="C49" s="95">
        <v>2019</v>
      </c>
      <c r="D49" s="154">
        <v>499.42190699999998</v>
      </c>
      <c r="E49" s="156">
        <v>314.38968599999998</v>
      </c>
      <c r="F49" s="155">
        <v>313.32606199999998</v>
      </c>
      <c r="G49" s="154">
        <v>134.598197</v>
      </c>
    </row>
    <row r="50" spans="2:8" s="31" customFormat="1" hidden="1">
      <c r="B50" s="612"/>
      <c r="C50" s="95">
        <v>2018</v>
      </c>
      <c r="D50" s="154">
        <v>414.53520800000001</v>
      </c>
      <c r="E50" s="155">
        <v>300.24697800000001</v>
      </c>
      <c r="F50" s="155">
        <v>295.38322199999999</v>
      </c>
      <c r="G50" s="162">
        <v>4.8637560000000004</v>
      </c>
    </row>
    <row r="51" spans="2:8" hidden="1">
      <c r="B51" s="612"/>
      <c r="C51" s="133">
        <v>2017</v>
      </c>
      <c r="D51" s="162">
        <v>554.52627299999995</v>
      </c>
      <c r="E51" s="153">
        <v>465.31609200000003</v>
      </c>
      <c r="F51" s="153">
        <v>434.99625800000001</v>
      </c>
      <c r="G51" s="162">
        <v>30.319834</v>
      </c>
      <c r="H51" s="31"/>
    </row>
    <row r="52" spans="2:8" hidden="1">
      <c r="B52" s="612"/>
      <c r="C52" s="133">
        <v>2016</v>
      </c>
      <c r="D52" s="162">
        <v>239.41011900000001</v>
      </c>
      <c r="E52" s="153">
        <v>410.374934</v>
      </c>
      <c r="F52" s="153">
        <v>401.03209199999998</v>
      </c>
      <c r="G52" s="162">
        <v>9.3428419999999992</v>
      </c>
      <c r="H52" s="31"/>
    </row>
    <row r="53" spans="2:8" hidden="1">
      <c r="B53" s="613"/>
      <c r="C53" s="133">
        <v>2015</v>
      </c>
      <c r="D53" s="162">
        <v>197.66234299999999</v>
      </c>
      <c r="E53" s="163">
        <v>407.69750599999998</v>
      </c>
      <c r="F53" s="163">
        <v>394.46150599999999</v>
      </c>
      <c r="G53" s="162">
        <v>13.236000000000001</v>
      </c>
      <c r="H53" s="31"/>
    </row>
    <row r="54" spans="2:8" ht="15" customHeight="1">
      <c r="B54" s="614" t="s">
        <v>29</v>
      </c>
      <c r="C54" s="374">
        <v>2022</v>
      </c>
      <c r="D54" s="174">
        <v>1801.706293</v>
      </c>
      <c r="E54" s="171">
        <v>1151.1899460000002</v>
      </c>
      <c r="F54" s="157">
        <v>1149.3702470000001</v>
      </c>
      <c r="G54" s="172">
        <v>32.646146000000002</v>
      </c>
      <c r="H54" s="31"/>
    </row>
    <row r="55" spans="2:8">
      <c r="B55" s="612"/>
      <c r="C55" s="133">
        <v>2021</v>
      </c>
      <c r="D55" s="170">
        <f>1490.912469+7.140607</f>
        <v>1498.0530760000001</v>
      </c>
      <c r="E55" s="171">
        <v>704.13150499999995</v>
      </c>
      <c r="F55" s="153">
        <v>733.51425200000006</v>
      </c>
      <c r="G55" s="171">
        <v>72.118787999999995</v>
      </c>
      <c r="H55" s="31"/>
    </row>
    <row r="56" spans="2:8">
      <c r="B56" s="612"/>
      <c r="C56" s="133">
        <v>2020</v>
      </c>
      <c r="D56" s="171">
        <v>1446.9282310000001</v>
      </c>
      <c r="E56" s="170">
        <v>621.21122300000002</v>
      </c>
      <c r="F56" s="153">
        <v>938.42551000000003</v>
      </c>
      <c r="G56" s="154">
        <v>140.756259</v>
      </c>
      <c r="H56" s="31"/>
    </row>
    <row r="57" spans="2:8">
      <c r="B57" s="612"/>
      <c r="C57" s="133">
        <v>2019</v>
      </c>
      <c r="D57" s="154">
        <v>1441.9171490000001</v>
      </c>
      <c r="E57" s="155">
        <v>646.65077199999996</v>
      </c>
      <c r="F57" s="155">
        <v>630.88042399999995</v>
      </c>
      <c r="G57" s="154">
        <v>58.063346000000003</v>
      </c>
      <c r="H57" s="31"/>
    </row>
    <row r="58" spans="2:8" hidden="1">
      <c r="B58" s="612"/>
      <c r="C58" s="133">
        <v>2018</v>
      </c>
      <c r="D58" s="162">
        <v>1397.6958460000001</v>
      </c>
      <c r="E58" s="153">
        <v>748.36080100000004</v>
      </c>
      <c r="F58" s="153">
        <v>727.74590799999999</v>
      </c>
      <c r="G58" s="162">
        <v>20.614892999999999</v>
      </c>
      <c r="H58" s="31"/>
    </row>
    <row r="59" spans="2:8" hidden="1">
      <c r="B59" s="612"/>
      <c r="C59" s="133">
        <v>2017</v>
      </c>
      <c r="D59" s="162">
        <v>1286.094278</v>
      </c>
      <c r="E59" s="153">
        <v>678.53693099999998</v>
      </c>
      <c r="F59" s="153">
        <v>676.18158500000004</v>
      </c>
      <c r="G59" s="162">
        <v>2.3553459999999999</v>
      </c>
      <c r="H59" s="31"/>
    </row>
    <row r="60" spans="2:8" hidden="1">
      <c r="B60" s="612"/>
      <c r="C60" s="133">
        <v>2016</v>
      </c>
      <c r="D60" s="162">
        <v>1204.3992619999999</v>
      </c>
      <c r="E60" s="153">
        <v>611.62313700000004</v>
      </c>
      <c r="F60" s="153">
        <v>610.05525</v>
      </c>
      <c r="G60" s="162">
        <v>1.567887</v>
      </c>
      <c r="H60" s="31"/>
    </row>
    <row r="61" spans="2:8" hidden="1">
      <c r="B61" s="613"/>
      <c r="C61" s="133">
        <v>2015</v>
      </c>
      <c r="D61" s="162">
        <v>1103.68101</v>
      </c>
      <c r="E61" s="163">
        <v>978.48154399999999</v>
      </c>
      <c r="F61" s="163">
        <v>972.98980700000004</v>
      </c>
      <c r="G61" s="164">
        <v>5.4917369999999996</v>
      </c>
      <c r="H61" s="31"/>
    </row>
    <row r="62" spans="2:8" ht="15" customHeight="1">
      <c r="B62" s="614" t="s">
        <v>30</v>
      </c>
      <c r="C62" s="374">
        <v>2022</v>
      </c>
      <c r="D62" s="174">
        <v>559.45703800000001</v>
      </c>
      <c r="E62" s="174">
        <v>240.40562600000001</v>
      </c>
      <c r="F62" s="157">
        <v>171.083349</v>
      </c>
      <c r="G62" s="172">
        <v>151.83805799999999</v>
      </c>
      <c r="H62" s="31"/>
    </row>
    <row r="63" spans="2:8">
      <c r="B63" s="612"/>
      <c r="C63" s="133">
        <v>2021</v>
      </c>
      <c r="D63" s="170">
        <v>378.91493000000003</v>
      </c>
      <c r="E63" s="171">
        <v>242.857035</v>
      </c>
      <c r="F63" s="153">
        <v>188.96923000000001</v>
      </c>
      <c r="G63" s="171">
        <v>161.19786199999999</v>
      </c>
      <c r="H63" s="31"/>
    </row>
    <row r="64" spans="2:8">
      <c r="B64" s="612"/>
      <c r="C64" s="133">
        <v>2020</v>
      </c>
      <c r="D64" s="171">
        <v>366.23486100000002</v>
      </c>
      <c r="E64" s="170">
        <v>275.13351299999999</v>
      </c>
      <c r="F64" s="153">
        <v>187.725819</v>
      </c>
      <c r="G64" s="154">
        <v>184.28879699999999</v>
      </c>
      <c r="H64" s="31"/>
    </row>
    <row r="65" spans="2:8">
      <c r="B65" s="612"/>
      <c r="C65" s="133">
        <v>2019</v>
      </c>
      <c r="D65" s="154">
        <v>564.95396700000003</v>
      </c>
      <c r="E65" s="155">
        <v>309.74492400000003</v>
      </c>
      <c r="F65" s="155">
        <v>211.74854400000001</v>
      </c>
      <c r="G65" s="546">
        <v>210.59490299999999</v>
      </c>
      <c r="H65" s="31"/>
    </row>
    <row r="66" spans="2:8" hidden="1">
      <c r="B66" s="612"/>
      <c r="C66" s="133">
        <v>2018</v>
      </c>
      <c r="D66" s="162">
        <v>473.97498100000001</v>
      </c>
      <c r="E66" s="153">
        <v>315.61259999999999</v>
      </c>
      <c r="F66" s="153">
        <v>204.58861999999999</v>
      </c>
      <c r="G66" s="162">
        <v>111.02397999999999</v>
      </c>
    </row>
    <row r="67" spans="2:8" hidden="1">
      <c r="B67" s="612"/>
      <c r="C67" s="133">
        <v>2017</v>
      </c>
      <c r="D67" s="162">
        <v>488.76975499999998</v>
      </c>
      <c r="E67" s="153">
        <v>265.84331200000003</v>
      </c>
      <c r="F67" s="153">
        <v>265.84331200000003</v>
      </c>
      <c r="G67" s="162">
        <v>0</v>
      </c>
    </row>
    <row r="68" spans="2:8" hidden="1">
      <c r="B68" s="612"/>
      <c r="C68" s="133">
        <v>2016</v>
      </c>
      <c r="D68" s="162">
        <v>420.51114999999999</v>
      </c>
      <c r="E68" s="153">
        <v>518.67236500000001</v>
      </c>
      <c r="F68" s="153">
        <v>469.328824</v>
      </c>
      <c r="G68" s="162">
        <v>49.343541000000002</v>
      </c>
    </row>
    <row r="69" spans="2:8" hidden="1">
      <c r="B69" s="613"/>
      <c r="C69" s="133">
        <v>2015</v>
      </c>
      <c r="D69" s="162">
        <v>342.74305399999997</v>
      </c>
      <c r="E69" s="163">
        <v>398.36072200000001</v>
      </c>
      <c r="F69" s="163">
        <v>336.487144</v>
      </c>
      <c r="G69" s="164">
        <v>61.873578000000002</v>
      </c>
    </row>
    <row r="70" spans="2:8" ht="15" customHeight="1">
      <c r="B70" s="614" t="s">
        <v>31</v>
      </c>
      <c r="C70" s="374">
        <v>2022</v>
      </c>
      <c r="D70" s="174">
        <v>1746.2963</v>
      </c>
      <c r="E70" s="174">
        <v>110.587059</v>
      </c>
      <c r="F70" s="157">
        <v>110.587059</v>
      </c>
      <c r="G70" s="171">
        <v>9.7751000000000005E-2</v>
      </c>
    </row>
    <row r="71" spans="2:8">
      <c r="B71" s="612"/>
      <c r="C71" s="133">
        <v>2021</v>
      </c>
      <c r="D71" s="170">
        <v>154.677527</v>
      </c>
      <c r="E71" s="171">
        <v>283.49427700000001</v>
      </c>
      <c r="F71" s="153">
        <v>295.10814900000003</v>
      </c>
      <c r="G71" s="171">
        <v>10.324147999999999</v>
      </c>
    </row>
    <row r="72" spans="2:8">
      <c r="B72" s="612"/>
      <c r="C72" s="133">
        <v>2020</v>
      </c>
      <c r="D72" s="171">
        <v>908.44226700000002</v>
      </c>
      <c r="E72" s="170">
        <v>213.07692700000001</v>
      </c>
      <c r="F72" s="153">
        <v>201.03606400000001</v>
      </c>
      <c r="G72" s="154">
        <v>6.0178830000000003</v>
      </c>
    </row>
    <row r="73" spans="2:8">
      <c r="B73" s="612"/>
      <c r="C73" s="133">
        <v>2019</v>
      </c>
      <c r="D73" s="156">
        <v>2723.4836529999998</v>
      </c>
      <c r="E73" s="155">
        <v>48.201295999999999</v>
      </c>
      <c r="F73" s="155">
        <v>48.201295999999999</v>
      </c>
      <c r="G73" s="546">
        <v>31.816587999999999</v>
      </c>
    </row>
    <row r="74" spans="2:8" hidden="1">
      <c r="B74" s="612"/>
      <c r="C74" s="133">
        <v>2018</v>
      </c>
      <c r="D74" s="162">
        <v>2375.5177199999998</v>
      </c>
      <c r="E74" s="153">
        <v>88.220550000000003</v>
      </c>
      <c r="F74" s="153">
        <v>88.220550000000003</v>
      </c>
      <c r="G74" s="162">
        <v>0</v>
      </c>
    </row>
    <row r="75" spans="2:8" hidden="1">
      <c r="B75" s="612"/>
      <c r="C75" s="133">
        <v>2017</v>
      </c>
      <c r="D75" s="162">
        <v>1916.3927060000001</v>
      </c>
      <c r="E75" s="153">
        <v>59.570554999999999</v>
      </c>
      <c r="F75" s="153">
        <v>58.821379999999998</v>
      </c>
      <c r="G75" s="162">
        <v>0.74917500000000004</v>
      </c>
    </row>
    <row r="76" spans="2:8" hidden="1">
      <c r="B76" s="612"/>
      <c r="C76" s="133">
        <v>2016</v>
      </c>
      <c r="D76" s="162">
        <v>1554.1298810000001</v>
      </c>
      <c r="E76" s="153">
        <v>140.820988</v>
      </c>
      <c r="F76" s="153">
        <v>140.820988</v>
      </c>
      <c r="G76" s="162">
        <v>0</v>
      </c>
    </row>
    <row r="77" spans="2:8" hidden="1">
      <c r="B77" s="613"/>
      <c r="C77" s="133">
        <v>2015</v>
      </c>
      <c r="D77" s="164">
        <v>1328.848144</v>
      </c>
      <c r="E77" s="153">
        <v>397.190697</v>
      </c>
      <c r="F77" s="153">
        <v>348.51366000000002</v>
      </c>
      <c r="G77" s="164">
        <v>48.677036999999999</v>
      </c>
    </row>
    <row r="78" spans="2:8" ht="15" customHeight="1">
      <c r="B78" s="614" t="s">
        <v>32</v>
      </c>
      <c r="C78" s="374">
        <v>2022</v>
      </c>
      <c r="D78" s="170">
        <v>760.41475300000002</v>
      </c>
      <c r="E78" s="174">
        <v>57.161732000000001</v>
      </c>
      <c r="F78" s="157">
        <v>57.161732000000001</v>
      </c>
      <c r="G78" s="171">
        <v>19.400897000000001</v>
      </c>
    </row>
    <row r="79" spans="2:8">
      <c r="B79" s="612"/>
      <c r="C79" s="133">
        <v>2021</v>
      </c>
      <c r="D79" s="170">
        <v>603.13991699999997</v>
      </c>
      <c r="E79" s="171">
        <v>67.380562999999995</v>
      </c>
      <c r="F79" s="153">
        <v>62.877535999999999</v>
      </c>
      <c r="G79" s="171">
        <v>3.56284</v>
      </c>
    </row>
    <row r="80" spans="2:8">
      <c r="B80" s="612"/>
      <c r="C80" s="133">
        <v>2020</v>
      </c>
      <c r="D80" s="171">
        <v>621.12304200000005</v>
      </c>
      <c r="E80" s="170">
        <v>54.272097000000002</v>
      </c>
      <c r="F80" s="153">
        <v>12.580724999999999</v>
      </c>
      <c r="G80" s="154">
        <v>1.4600569999999999</v>
      </c>
    </row>
    <row r="81" spans="2:7">
      <c r="B81" s="612"/>
      <c r="C81" s="133">
        <v>2019</v>
      </c>
      <c r="D81" s="154">
        <v>570.24379599999997</v>
      </c>
      <c r="E81" s="156">
        <v>34.467956999999998</v>
      </c>
      <c r="F81" s="155">
        <v>34.467956999999998</v>
      </c>
      <c r="G81" s="546">
        <v>13.803614</v>
      </c>
    </row>
    <row r="82" spans="2:7" hidden="1">
      <c r="B82" s="612"/>
      <c r="C82" s="133">
        <v>2018</v>
      </c>
      <c r="D82" s="162">
        <v>583.78438300000005</v>
      </c>
      <c r="E82" s="153">
        <v>49.744646000000003</v>
      </c>
      <c r="F82" s="153">
        <v>49.744646000000003</v>
      </c>
      <c r="G82" s="162">
        <v>0</v>
      </c>
    </row>
    <row r="83" spans="2:7" hidden="1">
      <c r="B83" s="612"/>
      <c r="C83" s="133">
        <v>2017</v>
      </c>
      <c r="D83" s="162">
        <v>428.219964</v>
      </c>
      <c r="E83" s="153">
        <v>28.425615000000001</v>
      </c>
      <c r="F83" s="153">
        <v>25.190874999999998</v>
      </c>
      <c r="G83" s="162">
        <v>3.2347399999999999</v>
      </c>
    </row>
    <row r="84" spans="2:7" hidden="1">
      <c r="B84" s="612"/>
      <c r="C84" s="133">
        <v>2016</v>
      </c>
      <c r="D84" s="162">
        <v>423.19462399999998</v>
      </c>
      <c r="E84" s="153">
        <v>101.578181</v>
      </c>
      <c r="F84" s="153">
        <v>101.578181</v>
      </c>
      <c r="G84" s="162">
        <v>0</v>
      </c>
    </row>
    <row r="85" spans="2:7" hidden="1">
      <c r="B85" s="613"/>
      <c r="C85" s="133">
        <v>2015</v>
      </c>
      <c r="D85" s="163">
        <v>604.58458099999996</v>
      </c>
      <c r="E85" s="163">
        <v>188.05571399999999</v>
      </c>
      <c r="F85" s="163">
        <v>184.525485</v>
      </c>
      <c r="G85" s="164">
        <v>3.5302289999999998</v>
      </c>
    </row>
    <row r="86" spans="2:7" ht="15" customHeight="1">
      <c r="B86" s="614" t="s">
        <v>33</v>
      </c>
      <c r="C86" s="374">
        <v>2022</v>
      </c>
      <c r="D86" s="174">
        <v>254.555271</v>
      </c>
      <c r="E86" s="171">
        <v>0.73020600000000002</v>
      </c>
      <c r="F86" s="157">
        <v>0.73020600000000002</v>
      </c>
      <c r="G86" s="171">
        <v>0</v>
      </c>
    </row>
    <row r="87" spans="2:7">
      <c r="B87" s="612"/>
      <c r="C87" s="133">
        <v>2021</v>
      </c>
      <c r="D87" s="170">
        <v>212.560112</v>
      </c>
      <c r="E87" s="171">
        <v>11.648709</v>
      </c>
      <c r="F87" s="165">
        <v>4.0532339999999998</v>
      </c>
      <c r="G87" s="171">
        <v>1.0879989999999999</v>
      </c>
    </row>
    <row r="88" spans="2:7">
      <c r="B88" s="612"/>
      <c r="C88" s="133">
        <v>2020</v>
      </c>
      <c r="D88" s="170">
        <v>205.23578000000001</v>
      </c>
      <c r="E88" s="171">
        <v>0.70187900000000003</v>
      </c>
      <c r="F88" s="165">
        <v>0.64763899999999996</v>
      </c>
      <c r="G88" s="165">
        <v>0.44645099999999999</v>
      </c>
    </row>
    <row r="89" spans="2:7">
      <c r="B89" s="612"/>
      <c r="C89" s="133">
        <v>2019</v>
      </c>
      <c r="D89" s="162">
        <v>181.74813900000001</v>
      </c>
      <c r="E89" s="153">
        <v>1.018902</v>
      </c>
      <c r="F89" s="153">
        <v>1.018902</v>
      </c>
      <c r="G89" s="166">
        <v>0</v>
      </c>
    </row>
    <row r="90" spans="2:7" hidden="1">
      <c r="B90" s="612"/>
      <c r="C90" s="133">
        <v>2018</v>
      </c>
      <c r="D90" s="162">
        <v>154.97308799999999</v>
      </c>
      <c r="E90" s="153">
        <v>37.874073000000003</v>
      </c>
      <c r="F90" s="153">
        <v>37.874073000000003</v>
      </c>
      <c r="G90" s="162">
        <v>0</v>
      </c>
    </row>
    <row r="91" spans="2:7" hidden="1">
      <c r="B91" s="612"/>
      <c r="C91" s="133">
        <v>2017</v>
      </c>
      <c r="D91" s="162">
        <v>167.94645600000001</v>
      </c>
      <c r="E91" s="153">
        <v>43.349921000000002</v>
      </c>
      <c r="F91" s="153">
        <v>43.349921000000002</v>
      </c>
      <c r="G91" s="162">
        <v>0</v>
      </c>
    </row>
    <row r="92" spans="2:7" hidden="1">
      <c r="B92" s="612"/>
      <c r="C92" s="133">
        <v>2016</v>
      </c>
      <c r="D92" s="162">
        <v>137.86371399999999</v>
      </c>
      <c r="E92" s="153">
        <v>34.907940000000004</v>
      </c>
      <c r="F92" s="153">
        <v>34.907940000000004</v>
      </c>
      <c r="G92" s="162">
        <v>0</v>
      </c>
    </row>
    <row r="93" spans="2:7" ht="15.6" hidden="1" customHeight="1">
      <c r="B93" s="613"/>
      <c r="C93" s="375">
        <v>2015</v>
      </c>
      <c r="D93" s="162">
        <v>149.790539</v>
      </c>
      <c r="E93" s="153">
        <v>28.963372</v>
      </c>
      <c r="F93" s="163">
        <v>28.963372</v>
      </c>
      <c r="G93" s="166">
        <v>0</v>
      </c>
    </row>
    <row r="94" spans="2:7" ht="15.6" customHeight="1">
      <c r="B94" s="614" t="s">
        <v>34</v>
      </c>
      <c r="C94" s="374">
        <v>2022</v>
      </c>
      <c r="D94" s="174">
        <v>102.011574</v>
      </c>
      <c r="E94" s="174">
        <v>120.154229</v>
      </c>
      <c r="F94" s="157">
        <v>120.154229</v>
      </c>
      <c r="G94" s="171">
        <v>1.7906610000000001</v>
      </c>
    </row>
    <row r="95" spans="2:7" ht="15.6" customHeight="1">
      <c r="B95" s="612"/>
      <c r="C95" s="133">
        <v>2021</v>
      </c>
      <c r="D95" s="170">
        <v>46.070760999999997</v>
      </c>
      <c r="E95" s="171">
        <v>126.309372</v>
      </c>
      <c r="F95" s="153">
        <v>108.85108700000001</v>
      </c>
      <c r="G95" s="167">
        <v>0</v>
      </c>
    </row>
    <row r="96" spans="2:7">
      <c r="B96" s="612"/>
      <c r="C96" s="133">
        <v>2020</v>
      </c>
      <c r="D96" s="171">
        <v>58.458967000000001</v>
      </c>
      <c r="E96" s="170">
        <v>70.752401000000006</v>
      </c>
      <c r="F96" s="153">
        <v>67.477931999999996</v>
      </c>
      <c r="G96" s="162">
        <v>0.82177</v>
      </c>
    </row>
    <row r="97" spans="2:7">
      <c r="B97" s="612"/>
      <c r="C97" s="375">
        <v>2019</v>
      </c>
      <c r="D97" s="162">
        <v>194.019746</v>
      </c>
      <c r="E97" s="153">
        <v>53.584569000000002</v>
      </c>
      <c r="F97" s="163">
        <v>53.584569000000002</v>
      </c>
      <c r="G97" s="162">
        <v>6.2544570000000004</v>
      </c>
    </row>
    <row r="98" spans="2:7" hidden="1">
      <c r="B98" s="612"/>
      <c r="C98" s="133">
        <v>2018</v>
      </c>
      <c r="D98" s="162">
        <v>236.68652</v>
      </c>
      <c r="E98" s="153">
        <v>47.186970000000002</v>
      </c>
      <c r="F98" s="153">
        <v>47.186970000000002</v>
      </c>
      <c r="G98" s="162">
        <v>0</v>
      </c>
    </row>
    <row r="99" spans="2:7" hidden="1">
      <c r="B99" s="612"/>
      <c r="C99" s="133">
        <v>2017</v>
      </c>
      <c r="D99" s="162">
        <v>226.16308000000001</v>
      </c>
      <c r="E99" s="153">
        <v>43.462111999999998</v>
      </c>
      <c r="F99" s="153">
        <v>43.462111999999998</v>
      </c>
      <c r="G99" s="162">
        <v>0</v>
      </c>
    </row>
    <row r="100" spans="2:7" hidden="1">
      <c r="B100" s="612"/>
      <c r="C100" s="133">
        <v>2016</v>
      </c>
      <c r="D100" s="162">
        <v>172.098139</v>
      </c>
      <c r="E100" s="153">
        <v>32.403778000000003</v>
      </c>
      <c r="F100" s="153">
        <v>32.403778000000003</v>
      </c>
      <c r="G100" s="162">
        <v>0</v>
      </c>
    </row>
    <row r="101" spans="2:7" hidden="1">
      <c r="B101" s="613"/>
      <c r="C101" s="375">
        <v>2015</v>
      </c>
      <c r="D101" s="162">
        <v>74.955946999999995</v>
      </c>
      <c r="E101" s="153">
        <v>65.242394000000004</v>
      </c>
      <c r="F101" s="163">
        <v>65.116050999999999</v>
      </c>
      <c r="G101" s="164">
        <v>0.12634300000000001</v>
      </c>
    </row>
    <row r="102" spans="2:7" ht="15" customHeight="1">
      <c r="B102" s="614" t="s">
        <v>35</v>
      </c>
      <c r="C102" s="133">
        <v>2022</v>
      </c>
      <c r="D102" s="174">
        <v>297.11904700000002</v>
      </c>
      <c r="E102" s="174">
        <v>45.401288999999998</v>
      </c>
      <c r="F102" s="153">
        <v>45.401288999999998</v>
      </c>
      <c r="G102" s="172">
        <v>0.48805900000000002</v>
      </c>
    </row>
    <row r="103" spans="2:7">
      <c r="B103" s="612"/>
      <c r="C103" s="133">
        <v>2021</v>
      </c>
      <c r="D103" s="170">
        <v>242.855898</v>
      </c>
      <c r="E103" s="171">
        <v>100.560362</v>
      </c>
      <c r="F103" s="153">
        <v>76.069041999999996</v>
      </c>
      <c r="G103" s="162">
        <v>0</v>
      </c>
    </row>
    <row r="104" spans="2:7">
      <c r="B104" s="612"/>
      <c r="C104" s="133">
        <v>2020</v>
      </c>
      <c r="D104" s="171">
        <v>213.912364</v>
      </c>
      <c r="E104" s="170">
        <v>48.639046999999998</v>
      </c>
      <c r="F104" s="153">
        <v>30.981183999999999</v>
      </c>
      <c r="G104" s="162">
        <v>0</v>
      </c>
    </row>
    <row r="105" spans="2:7">
      <c r="B105" s="612"/>
      <c r="C105" s="133">
        <v>2019</v>
      </c>
      <c r="D105" s="163">
        <v>236.634872</v>
      </c>
      <c r="E105" s="153">
        <v>35.984797</v>
      </c>
      <c r="F105" s="153">
        <v>35.984797</v>
      </c>
      <c r="G105" s="162">
        <v>2.2904599999999999</v>
      </c>
    </row>
    <row r="106" spans="2:7" hidden="1">
      <c r="B106" s="612"/>
      <c r="C106" s="133">
        <v>2018</v>
      </c>
      <c r="D106" s="162">
        <v>281.78403900000001</v>
      </c>
      <c r="E106" s="153">
        <v>29.887937000000001</v>
      </c>
      <c r="F106" s="153">
        <v>29.397300999999999</v>
      </c>
      <c r="G106" s="162">
        <v>0.49063600000000002</v>
      </c>
    </row>
    <row r="107" spans="2:7" hidden="1">
      <c r="B107" s="612"/>
      <c r="C107" s="133">
        <v>2017</v>
      </c>
      <c r="D107" s="162">
        <v>213.97443200000001</v>
      </c>
      <c r="E107" s="153">
        <v>42.357793999999998</v>
      </c>
      <c r="F107" s="153">
        <v>42.169272999999997</v>
      </c>
      <c r="G107" s="162">
        <v>0.18852099999999999</v>
      </c>
    </row>
    <row r="108" spans="2:7" hidden="1">
      <c r="B108" s="612"/>
      <c r="C108" s="133">
        <v>2016</v>
      </c>
      <c r="D108" s="162">
        <v>227.18545800000001</v>
      </c>
      <c r="E108" s="153">
        <v>31.723344000000001</v>
      </c>
      <c r="F108" s="153">
        <v>31.723344000000001</v>
      </c>
      <c r="G108" s="167">
        <v>0</v>
      </c>
    </row>
    <row r="109" spans="2:7" hidden="1">
      <c r="B109" s="613"/>
      <c r="C109" s="133">
        <v>2015</v>
      </c>
      <c r="D109" s="163">
        <v>169.799938</v>
      </c>
      <c r="E109" s="163">
        <v>45.322746000000002</v>
      </c>
      <c r="F109" s="153">
        <v>45.322746000000002</v>
      </c>
      <c r="G109" s="162">
        <v>0</v>
      </c>
    </row>
    <row r="110" spans="2:7" ht="15" customHeight="1">
      <c r="B110" s="614" t="s">
        <v>36</v>
      </c>
      <c r="C110" s="374">
        <v>2022</v>
      </c>
      <c r="D110" s="170">
        <v>502.57402000000002</v>
      </c>
      <c r="E110" s="174">
        <v>53.075893999999998</v>
      </c>
      <c r="F110" s="157">
        <v>52.824218999999999</v>
      </c>
      <c r="G110" s="172">
        <v>0.25167499999999998</v>
      </c>
    </row>
    <row r="111" spans="2:7">
      <c r="B111" s="612"/>
      <c r="C111" s="133">
        <v>2021</v>
      </c>
      <c r="D111" s="170">
        <v>331.123085</v>
      </c>
      <c r="E111" s="171">
        <v>142.79888299999999</v>
      </c>
      <c r="F111" s="153">
        <v>119.96265699999999</v>
      </c>
      <c r="G111" s="171">
        <v>0.84279999999999999</v>
      </c>
    </row>
    <row r="112" spans="2:7">
      <c r="B112" s="612"/>
      <c r="C112" s="133">
        <v>2020</v>
      </c>
      <c r="D112" s="170">
        <v>329.80394899999999</v>
      </c>
      <c r="E112" s="171">
        <v>67.956315000000004</v>
      </c>
      <c r="F112" s="153">
        <v>52.852970999999997</v>
      </c>
      <c r="G112" s="162">
        <v>3.9710299999999998</v>
      </c>
    </row>
    <row r="113" spans="2:7">
      <c r="B113" s="612"/>
      <c r="C113" s="133">
        <v>2019</v>
      </c>
      <c r="D113" s="162">
        <v>478.399609</v>
      </c>
      <c r="E113" s="163">
        <v>78.124251999999998</v>
      </c>
      <c r="F113" s="153">
        <v>75.853763000000001</v>
      </c>
      <c r="G113" s="162">
        <v>12.500411</v>
      </c>
    </row>
    <row r="114" spans="2:7" hidden="1">
      <c r="B114" s="612"/>
      <c r="C114" s="133">
        <v>2018</v>
      </c>
      <c r="D114" s="162">
        <v>415.19877200000002</v>
      </c>
      <c r="E114" s="153">
        <v>95.809162999999998</v>
      </c>
      <c r="F114" s="153">
        <v>95.409535000000005</v>
      </c>
      <c r="G114" s="162">
        <v>0.39962799999999998</v>
      </c>
    </row>
    <row r="115" spans="2:7" hidden="1">
      <c r="B115" s="612"/>
      <c r="C115" s="133">
        <v>2017</v>
      </c>
      <c r="D115" s="162">
        <v>400.50458800000001</v>
      </c>
      <c r="E115" s="153">
        <v>79.327943000000005</v>
      </c>
      <c r="F115" s="153">
        <v>77.115252999999996</v>
      </c>
      <c r="G115" s="162">
        <v>2.2126899999999998</v>
      </c>
    </row>
    <row r="116" spans="2:7" hidden="1">
      <c r="B116" s="612"/>
      <c r="C116" s="133">
        <v>2016</v>
      </c>
      <c r="D116" s="162">
        <v>351.09443800000003</v>
      </c>
      <c r="E116" s="153">
        <v>83.544483</v>
      </c>
      <c r="F116" s="153">
        <v>83.544483</v>
      </c>
      <c r="G116" s="162">
        <v>0</v>
      </c>
    </row>
    <row r="117" spans="2:7" hidden="1">
      <c r="B117" s="613"/>
      <c r="C117" s="133">
        <v>2015</v>
      </c>
      <c r="D117" s="164">
        <v>344.185902</v>
      </c>
      <c r="E117" s="163">
        <v>57.346561999999999</v>
      </c>
      <c r="F117" s="153">
        <v>56.244328000000003</v>
      </c>
      <c r="G117" s="162">
        <v>1.1022339999999999</v>
      </c>
    </row>
    <row r="118" spans="2:7" ht="15" customHeight="1">
      <c r="B118" s="614" t="s">
        <v>37</v>
      </c>
      <c r="C118" s="374">
        <v>2022</v>
      </c>
      <c r="D118" s="174">
        <v>43.440057000000003</v>
      </c>
      <c r="E118" s="171">
        <v>0</v>
      </c>
      <c r="F118" s="157">
        <v>0</v>
      </c>
      <c r="G118" s="172">
        <v>0</v>
      </c>
    </row>
    <row r="119" spans="2:7">
      <c r="B119" s="612"/>
      <c r="C119" s="133">
        <v>2021</v>
      </c>
      <c r="D119" s="170">
        <v>88.079098999999999</v>
      </c>
      <c r="E119" s="153">
        <v>1.3434E-3</v>
      </c>
      <c r="F119" s="153">
        <v>1.4339999999999999E-3</v>
      </c>
      <c r="G119" s="162">
        <v>0</v>
      </c>
    </row>
    <row r="120" spans="2:7">
      <c r="B120" s="612"/>
      <c r="C120" s="133">
        <v>2020</v>
      </c>
      <c r="D120" s="171">
        <v>111.66312600000001</v>
      </c>
      <c r="E120" s="153">
        <v>0</v>
      </c>
      <c r="F120" s="153">
        <v>0</v>
      </c>
      <c r="G120" s="167">
        <v>0</v>
      </c>
    </row>
    <row r="121" spans="2:7">
      <c r="B121" s="612"/>
      <c r="C121" s="133">
        <v>2019</v>
      </c>
      <c r="D121" s="162">
        <v>1.1041529999999999</v>
      </c>
      <c r="E121" s="153">
        <v>0</v>
      </c>
      <c r="F121" s="153">
        <v>0</v>
      </c>
      <c r="G121" s="166">
        <v>0</v>
      </c>
    </row>
    <row r="122" spans="2:7" hidden="1">
      <c r="B122" s="612"/>
      <c r="C122" s="133">
        <v>2018</v>
      </c>
      <c r="D122" s="162">
        <v>0</v>
      </c>
      <c r="E122" s="153">
        <v>0</v>
      </c>
      <c r="F122" s="153">
        <v>0</v>
      </c>
      <c r="G122" s="162">
        <v>0</v>
      </c>
    </row>
    <row r="123" spans="2:7" hidden="1">
      <c r="B123" s="612"/>
      <c r="C123" s="133">
        <v>2017</v>
      </c>
      <c r="D123" s="162">
        <v>0</v>
      </c>
      <c r="E123" s="153">
        <v>0</v>
      </c>
      <c r="F123" s="153">
        <v>0</v>
      </c>
      <c r="G123" s="162">
        <v>0</v>
      </c>
    </row>
    <row r="124" spans="2:7" hidden="1">
      <c r="B124" s="612"/>
      <c r="C124" s="133">
        <v>2016</v>
      </c>
      <c r="D124" s="162">
        <v>0</v>
      </c>
      <c r="E124" s="153">
        <v>0</v>
      </c>
      <c r="F124" s="153">
        <v>0</v>
      </c>
      <c r="G124" s="162">
        <v>0</v>
      </c>
    </row>
    <row r="125" spans="2:7" hidden="1">
      <c r="B125" s="613"/>
      <c r="C125" s="133">
        <v>2015</v>
      </c>
      <c r="D125" s="162">
        <v>0</v>
      </c>
      <c r="E125" s="153">
        <v>0</v>
      </c>
      <c r="F125" s="163">
        <v>0</v>
      </c>
      <c r="G125" s="164">
        <v>0</v>
      </c>
    </row>
    <row r="126" spans="2:7" ht="15" customHeight="1">
      <c r="B126" s="614" t="s">
        <v>38</v>
      </c>
      <c r="C126" s="374">
        <v>2022</v>
      </c>
      <c r="D126" s="174">
        <v>6.0597810000000001</v>
      </c>
      <c r="E126" s="174">
        <v>2.9739620000000002</v>
      </c>
      <c r="F126" s="157">
        <v>2.9739620000000002</v>
      </c>
      <c r="G126" s="171">
        <v>0</v>
      </c>
    </row>
    <row r="127" spans="2:7" ht="15" customHeight="1">
      <c r="B127" s="612"/>
      <c r="C127" s="133">
        <v>2021</v>
      </c>
      <c r="D127" s="170">
        <v>5.3244429999999996</v>
      </c>
      <c r="E127" s="171">
        <v>4.5796910000000004</v>
      </c>
      <c r="F127" s="153">
        <v>3.1048900000000001</v>
      </c>
      <c r="G127" s="162">
        <v>0</v>
      </c>
    </row>
    <row r="128" spans="2:7">
      <c r="B128" s="612"/>
      <c r="C128" s="133">
        <v>2020</v>
      </c>
      <c r="D128" s="171">
        <v>1.6073930000000001</v>
      </c>
      <c r="E128" s="170">
        <v>1.8422750000000001</v>
      </c>
      <c r="F128" s="153">
        <v>3.0270000000000002E-3</v>
      </c>
      <c r="G128" s="162">
        <v>6.8189950000000001</v>
      </c>
    </row>
    <row r="129" spans="2:8">
      <c r="B129" s="612"/>
      <c r="C129" s="375">
        <v>2019</v>
      </c>
      <c r="D129" s="163">
        <v>2.242515</v>
      </c>
      <c r="E129" s="153">
        <v>6.5026609999999998</v>
      </c>
      <c r="F129" s="153">
        <v>6.5026609999999998</v>
      </c>
      <c r="G129" s="167">
        <v>0</v>
      </c>
    </row>
    <row r="130" spans="2:8" hidden="1">
      <c r="B130" s="612"/>
      <c r="C130" s="133">
        <v>2018</v>
      </c>
      <c r="D130" s="162">
        <v>2.5927440000000002</v>
      </c>
      <c r="E130" s="153">
        <v>3.4806460000000001</v>
      </c>
      <c r="F130" s="153">
        <v>3.4806460000000001</v>
      </c>
      <c r="G130" s="162">
        <v>0</v>
      </c>
    </row>
    <row r="131" spans="2:8" hidden="1">
      <c r="B131" s="612"/>
      <c r="C131" s="133">
        <v>2017</v>
      </c>
      <c r="D131" s="162">
        <v>2.666363</v>
      </c>
      <c r="E131" s="153">
        <v>1.80813</v>
      </c>
      <c r="F131" s="153">
        <v>1.80813</v>
      </c>
      <c r="G131" s="162">
        <v>0</v>
      </c>
    </row>
    <row r="132" spans="2:8" hidden="1">
      <c r="B132" s="612"/>
      <c r="C132" s="133">
        <v>2016</v>
      </c>
      <c r="D132" s="162">
        <v>2.8598020000000002</v>
      </c>
      <c r="E132" s="153">
        <v>1.6815439999999999</v>
      </c>
      <c r="F132" s="153">
        <v>1.6815439999999999</v>
      </c>
      <c r="G132" s="162">
        <v>0</v>
      </c>
    </row>
    <row r="133" spans="2:8" hidden="1">
      <c r="B133" s="613"/>
      <c r="C133" s="375">
        <v>2015</v>
      </c>
      <c r="D133" s="164">
        <v>1.2240139999999999</v>
      </c>
      <c r="E133" s="153">
        <v>0.66664599999999996</v>
      </c>
      <c r="F133" s="163">
        <v>0.66664599999999996</v>
      </c>
      <c r="G133" s="164">
        <v>0</v>
      </c>
    </row>
    <row r="134" spans="2:8" ht="15" customHeight="1">
      <c r="B134" s="614" t="s">
        <v>39</v>
      </c>
      <c r="C134" s="133">
        <v>2022</v>
      </c>
      <c r="D134" s="170">
        <v>6.182105</v>
      </c>
      <c r="E134" s="174">
        <v>0.86632799999999999</v>
      </c>
      <c r="F134" s="157">
        <v>0.86632799999999999</v>
      </c>
      <c r="G134" s="172">
        <v>0</v>
      </c>
    </row>
    <row r="135" spans="2:8">
      <c r="B135" s="612"/>
      <c r="C135" s="133">
        <v>2021</v>
      </c>
      <c r="D135" s="170">
        <v>5.8843959999999997</v>
      </c>
      <c r="E135" s="171">
        <v>2.6066410000000002</v>
      </c>
      <c r="F135" s="153">
        <v>2.309885</v>
      </c>
      <c r="G135" s="162">
        <v>0</v>
      </c>
    </row>
    <row r="136" spans="2:8" ht="13.9" customHeight="1">
      <c r="B136" s="612"/>
      <c r="C136" s="133">
        <v>2020</v>
      </c>
      <c r="D136" s="170">
        <v>6.4952160000000001</v>
      </c>
      <c r="E136" s="171">
        <v>3.4314879999999999</v>
      </c>
      <c r="F136" s="153">
        <v>3.371785</v>
      </c>
      <c r="G136" s="162">
        <v>0</v>
      </c>
    </row>
    <row r="137" spans="2:8" ht="13.9" customHeight="1">
      <c r="B137" s="612"/>
      <c r="C137" s="133">
        <v>2019</v>
      </c>
      <c r="D137" s="162">
        <v>5.2376909999999999</v>
      </c>
      <c r="E137" s="153">
        <v>1.0685199999999999</v>
      </c>
      <c r="F137" s="153">
        <v>1.0685199999999999</v>
      </c>
      <c r="G137" s="162">
        <v>2.0896020000000002</v>
      </c>
    </row>
    <row r="138" spans="2:8" ht="13.9" hidden="1" customHeight="1">
      <c r="B138" s="612"/>
      <c r="C138" s="133">
        <v>2018</v>
      </c>
      <c r="D138" s="162">
        <v>8.093197</v>
      </c>
      <c r="E138" s="153">
        <v>3.0313699999999999</v>
      </c>
      <c r="F138" s="153">
        <v>3.0313699999999999</v>
      </c>
      <c r="G138" s="162">
        <v>0</v>
      </c>
    </row>
    <row r="139" spans="2:8" ht="15.6" hidden="1" customHeight="1">
      <c r="B139" s="612"/>
      <c r="C139" s="133">
        <v>2017</v>
      </c>
      <c r="D139" s="162">
        <v>8.0420529999999992</v>
      </c>
      <c r="E139" s="153">
        <v>2.0151919999999999</v>
      </c>
      <c r="F139" s="168">
        <v>2.0151919999999999</v>
      </c>
      <c r="G139" s="167">
        <v>0</v>
      </c>
    </row>
    <row r="140" spans="2:8" ht="13.9" hidden="1" customHeight="1">
      <c r="B140" s="612"/>
      <c r="C140" s="133">
        <v>2016</v>
      </c>
      <c r="D140" s="162">
        <v>4.5359540000000003</v>
      </c>
      <c r="E140" s="153">
        <v>1.5712930000000001</v>
      </c>
      <c r="F140" s="153">
        <v>1.5712930000000001</v>
      </c>
      <c r="G140" s="162">
        <v>0</v>
      </c>
    </row>
    <row r="141" spans="2:8" hidden="1">
      <c r="B141" s="613"/>
      <c r="C141" s="133">
        <v>2015</v>
      </c>
      <c r="D141" s="162">
        <v>6.227328</v>
      </c>
      <c r="E141" s="163">
        <v>0.20895</v>
      </c>
      <c r="F141" s="153">
        <v>0.20895</v>
      </c>
      <c r="G141" s="169">
        <v>0</v>
      </c>
    </row>
    <row r="142" spans="2:8" ht="15" customHeight="1">
      <c r="B142" s="614" t="s">
        <v>40</v>
      </c>
      <c r="C142" s="374">
        <v>2022</v>
      </c>
      <c r="D142" s="174">
        <v>33.855092999999997</v>
      </c>
      <c r="E142" s="174">
        <v>5.5236989999999997</v>
      </c>
      <c r="F142" s="157">
        <v>5.5236989999999997</v>
      </c>
      <c r="G142" s="172">
        <v>0</v>
      </c>
      <c r="H142" s="31"/>
    </row>
    <row r="143" spans="2:8">
      <c r="B143" s="612"/>
      <c r="C143" s="133">
        <v>2021</v>
      </c>
      <c r="D143" s="170">
        <v>6.4872610000000002</v>
      </c>
      <c r="E143" s="171">
        <v>29.288951999999998</v>
      </c>
      <c r="F143" s="153">
        <v>32.306218000000001</v>
      </c>
      <c r="G143" s="162">
        <v>0</v>
      </c>
      <c r="H143" s="31"/>
    </row>
    <row r="144" spans="2:8">
      <c r="B144" s="612"/>
      <c r="C144" s="133">
        <v>2020</v>
      </c>
      <c r="D144" s="170">
        <v>8.8746690000000008</v>
      </c>
      <c r="E144" s="171">
        <v>12.411123999999999</v>
      </c>
      <c r="F144" s="153">
        <v>9.8396369999999997</v>
      </c>
      <c r="G144" s="162">
        <v>1.973625</v>
      </c>
      <c r="H144" s="31"/>
    </row>
    <row r="145" spans="2:8">
      <c r="B145" s="612"/>
      <c r="C145" s="133">
        <v>2019</v>
      </c>
      <c r="D145" s="162">
        <v>24.343071999999999</v>
      </c>
      <c r="E145" s="153">
        <v>10.66207</v>
      </c>
      <c r="F145" s="153">
        <v>10.66207</v>
      </c>
      <c r="G145" s="167">
        <v>0</v>
      </c>
      <c r="H145" s="31"/>
    </row>
    <row r="146" spans="2:8" hidden="1">
      <c r="B146" s="612"/>
      <c r="C146" s="133">
        <v>2018</v>
      </c>
      <c r="D146" s="162">
        <v>27.931317</v>
      </c>
      <c r="E146" s="153">
        <v>9.2419069999999994</v>
      </c>
      <c r="F146" s="153">
        <v>9.2419069999999994</v>
      </c>
      <c r="G146" s="162">
        <v>0</v>
      </c>
    </row>
    <row r="147" spans="2:8" hidden="1">
      <c r="B147" s="612"/>
      <c r="C147" s="133">
        <v>2017</v>
      </c>
      <c r="D147" s="162">
        <v>31.693826000000001</v>
      </c>
      <c r="E147" s="153">
        <v>2.0077150000000001</v>
      </c>
      <c r="F147" s="153">
        <v>2.0077150000000001</v>
      </c>
      <c r="G147" s="162">
        <v>0</v>
      </c>
      <c r="H147" s="31"/>
    </row>
    <row r="148" spans="2:8" hidden="1">
      <c r="B148" s="612"/>
      <c r="C148" s="133">
        <v>2016</v>
      </c>
      <c r="D148" s="162">
        <v>25.564095999999999</v>
      </c>
      <c r="E148" s="153">
        <v>2.8707639999999999</v>
      </c>
      <c r="F148" s="153">
        <v>2.8707639999999999</v>
      </c>
      <c r="G148" s="162">
        <v>0</v>
      </c>
      <c r="H148" s="31"/>
    </row>
    <row r="149" spans="2:8" hidden="1">
      <c r="B149" s="613"/>
      <c r="C149" s="133">
        <v>2015</v>
      </c>
      <c r="D149" s="162">
        <v>31.582788999999998</v>
      </c>
      <c r="E149" s="153">
        <v>4.4957690000000001</v>
      </c>
      <c r="F149" s="163">
        <v>4.4957690000000001</v>
      </c>
      <c r="G149" s="167">
        <v>0</v>
      </c>
      <c r="H149" s="31"/>
    </row>
    <row r="150" spans="2:8" ht="15" customHeight="1">
      <c r="B150" s="614" t="s">
        <v>41</v>
      </c>
      <c r="C150" s="374">
        <v>2022</v>
      </c>
      <c r="D150" s="174">
        <v>252.82143500000001</v>
      </c>
      <c r="E150" s="174">
        <v>5.4049680000000002</v>
      </c>
      <c r="F150" s="157">
        <v>5.4049680000000002</v>
      </c>
      <c r="G150" s="172">
        <v>1.1215059999999999</v>
      </c>
    </row>
    <row r="151" spans="2:8">
      <c r="B151" s="612"/>
      <c r="C151" s="133">
        <v>2021</v>
      </c>
      <c r="D151" s="170">
        <v>195.13543200000001</v>
      </c>
      <c r="E151" s="171">
        <v>14.376846</v>
      </c>
      <c r="F151" s="153">
        <v>6.51389</v>
      </c>
      <c r="G151" s="167">
        <v>0</v>
      </c>
    </row>
    <row r="152" spans="2:8">
      <c r="B152" s="612"/>
      <c r="C152" s="133">
        <v>2020</v>
      </c>
      <c r="D152" s="171">
        <v>173.90412699999999</v>
      </c>
      <c r="E152" s="170">
        <v>11.375614000000001</v>
      </c>
      <c r="F152" s="153">
        <v>18.023906</v>
      </c>
      <c r="G152" s="162">
        <v>2.167637</v>
      </c>
    </row>
    <row r="153" spans="2:8">
      <c r="B153" s="612"/>
      <c r="C153" s="133">
        <v>2019</v>
      </c>
      <c r="D153" s="162">
        <v>254.272144</v>
      </c>
      <c r="E153" s="153">
        <v>8.6364780000000003</v>
      </c>
      <c r="F153" s="153">
        <v>8.6364780000000003</v>
      </c>
      <c r="G153" s="166">
        <v>0</v>
      </c>
    </row>
    <row r="154" spans="2:8" hidden="1">
      <c r="B154" s="612"/>
      <c r="C154" s="133">
        <v>2018</v>
      </c>
      <c r="D154" s="162">
        <v>40.198296999999997</v>
      </c>
      <c r="E154" s="153">
        <v>2.4080750000000002</v>
      </c>
      <c r="F154" s="153">
        <v>2.4080750000000002</v>
      </c>
      <c r="G154" s="162">
        <v>0</v>
      </c>
    </row>
    <row r="155" spans="2:8" hidden="1">
      <c r="B155" s="612"/>
      <c r="C155" s="133">
        <v>2017</v>
      </c>
      <c r="D155" s="162">
        <v>33.367721000000003</v>
      </c>
      <c r="E155" s="153">
        <v>4.3467630000000002</v>
      </c>
      <c r="F155" s="153">
        <v>4.3467630000000002</v>
      </c>
      <c r="G155" s="162">
        <v>0</v>
      </c>
    </row>
    <row r="156" spans="2:8" hidden="1">
      <c r="B156" s="612"/>
      <c r="C156" s="133">
        <v>2016</v>
      </c>
      <c r="D156" s="162">
        <v>25.371469999999999</v>
      </c>
      <c r="E156" s="153">
        <v>18.283975999999999</v>
      </c>
      <c r="F156" s="153">
        <v>18.283975999999999</v>
      </c>
      <c r="G156" s="162">
        <v>0</v>
      </c>
    </row>
    <row r="157" spans="2:8" hidden="1">
      <c r="B157" s="613"/>
      <c r="C157" s="133">
        <v>2015</v>
      </c>
      <c r="D157" s="164">
        <v>22.534523</v>
      </c>
      <c r="E157" s="163">
        <v>14.316763999999999</v>
      </c>
      <c r="F157" s="153">
        <v>13.281969999999999</v>
      </c>
      <c r="G157" s="164">
        <v>1.034794</v>
      </c>
    </row>
    <row r="158" spans="2:8" ht="15" customHeight="1">
      <c r="B158" s="614" t="s">
        <v>87</v>
      </c>
      <c r="C158" s="374">
        <v>2022</v>
      </c>
      <c r="D158" s="157">
        <v>0</v>
      </c>
      <c r="E158" s="157">
        <v>0</v>
      </c>
      <c r="F158" s="157">
        <v>0</v>
      </c>
      <c r="G158" s="162">
        <v>0</v>
      </c>
    </row>
    <row r="159" spans="2:8">
      <c r="B159" s="612"/>
      <c r="C159" s="133">
        <v>2021</v>
      </c>
      <c r="D159" s="153">
        <v>0</v>
      </c>
      <c r="E159" s="175">
        <v>0</v>
      </c>
      <c r="F159" s="153">
        <v>0</v>
      </c>
      <c r="G159" s="162">
        <v>0</v>
      </c>
    </row>
    <row r="160" spans="2:8">
      <c r="B160" s="612"/>
      <c r="C160" s="133">
        <v>2020</v>
      </c>
      <c r="D160" s="153">
        <v>0</v>
      </c>
      <c r="E160" s="179">
        <v>0</v>
      </c>
      <c r="F160" s="153">
        <v>0</v>
      </c>
      <c r="G160" s="167">
        <v>0</v>
      </c>
    </row>
    <row r="161" spans="2:7">
      <c r="B161" s="612"/>
      <c r="C161" s="133">
        <v>2019</v>
      </c>
      <c r="D161" s="162">
        <v>0</v>
      </c>
      <c r="E161" s="153">
        <v>0</v>
      </c>
      <c r="F161" s="153">
        <v>0</v>
      </c>
      <c r="G161" s="167">
        <v>0</v>
      </c>
    </row>
    <row r="162" spans="2:7" hidden="1">
      <c r="B162" s="612"/>
      <c r="C162" s="133">
        <v>2018</v>
      </c>
      <c r="D162" s="162">
        <v>0</v>
      </c>
      <c r="E162" s="153">
        <v>0</v>
      </c>
      <c r="F162" s="153">
        <v>0</v>
      </c>
      <c r="G162" s="162">
        <v>0</v>
      </c>
    </row>
    <row r="163" spans="2:7" hidden="1">
      <c r="B163" s="612"/>
      <c r="C163" s="133">
        <v>2017</v>
      </c>
      <c r="D163" s="162">
        <v>0</v>
      </c>
      <c r="E163" s="153">
        <v>0</v>
      </c>
      <c r="F163" s="153">
        <v>0</v>
      </c>
      <c r="G163" s="162">
        <v>0</v>
      </c>
    </row>
    <row r="164" spans="2:7" hidden="1">
      <c r="B164" s="612"/>
      <c r="C164" s="133">
        <v>2016</v>
      </c>
      <c r="D164" s="162">
        <v>0</v>
      </c>
      <c r="E164" s="153">
        <v>0</v>
      </c>
      <c r="F164" s="153">
        <v>0</v>
      </c>
      <c r="G164" s="162">
        <v>0</v>
      </c>
    </row>
    <row r="165" spans="2:7" hidden="1">
      <c r="B165" s="613"/>
      <c r="C165" s="133">
        <v>2015</v>
      </c>
      <c r="D165" s="164">
        <v>0</v>
      </c>
      <c r="E165" s="153">
        <v>0</v>
      </c>
      <c r="F165" s="153">
        <v>0</v>
      </c>
      <c r="G165" s="169">
        <v>0</v>
      </c>
    </row>
    <row r="166" spans="2:7" ht="15" customHeight="1">
      <c r="B166" s="614" t="s">
        <v>42</v>
      </c>
      <c r="C166" s="374">
        <v>2022</v>
      </c>
      <c r="D166" s="174">
        <v>0</v>
      </c>
      <c r="E166" s="174">
        <v>0.893764</v>
      </c>
      <c r="F166" s="157">
        <v>0.893764</v>
      </c>
      <c r="G166" s="172">
        <v>0</v>
      </c>
    </row>
    <row r="167" spans="2:7">
      <c r="B167" s="612"/>
      <c r="C167" s="133">
        <v>2021</v>
      </c>
      <c r="D167" s="153">
        <v>0</v>
      </c>
      <c r="E167" s="171">
        <v>0.58873200000000003</v>
      </c>
      <c r="F167" s="153">
        <v>0.58873200000000003</v>
      </c>
      <c r="G167" s="162">
        <v>0</v>
      </c>
    </row>
    <row r="168" spans="2:7">
      <c r="B168" s="612"/>
      <c r="C168" s="133">
        <v>2020</v>
      </c>
      <c r="D168" s="162">
        <v>0</v>
      </c>
      <c r="E168" s="170">
        <v>0.26172699999999999</v>
      </c>
      <c r="F168" s="153">
        <v>0</v>
      </c>
      <c r="G168" s="162">
        <v>1.0000880000000001</v>
      </c>
    </row>
    <row r="169" spans="2:7">
      <c r="B169" s="612"/>
      <c r="C169" s="375">
        <v>2019</v>
      </c>
      <c r="D169" s="163">
        <v>0</v>
      </c>
      <c r="E169" s="163">
        <v>0.94663600000000003</v>
      </c>
      <c r="F169" s="163">
        <v>0.94663600000000003</v>
      </c>
      <c r="G169" s="167">
        <v>0</v>
      </c>
    </row>
    <row r="170" spans="2:7" hidden="1">
      <c r="B170" s="612"/>
      <c r="C170" s="133">
        <v>2018</v>
      </c>
      <c r="D170" s="162">
        <v>0</v>
      </c>
      <c r="E170" s="153">
        <v>0</v>
      </c>
      <c r="F170" s="153">
        <v>0</v>
      </c>
      <c r="G170" s="162">
        <v>0</v>
      </c>
    </row>
    <row r="171" spans="2:7" hidden="1">
      <c r="B171" s="612"/>
      <c r="C171" s="133">
        <v>2017</v>
      </c>
      <c r="D171" s="162">
        <v>0</v>
      </c>
      <c r="E171" s="153">
        <v>0</v>
      </c>
      <c r="F171" s="153">
        <v>0</v>
      </c>
      <c r="G171" s="162">
        <v>0</v>
      </c>
    </row>
    <row r="172" spans="2:7" hidden="1">
      <c r="B172" s="612"/>
      <c r="C172" s="133">
        <v>2016</v>
      </c>
      <c r="D172" s="162">
        <v>0</v>
      </c>
      <c r="E172" s="153">
        <v>0</v>
      </c>
      <c r="F172" s="153">
        <v>0</v>
      </c>
      <c r="G172" s="162">
        <v>0</v>
      </c>
    </row>
    <row r="173" spans="2:7" hidden="1">
      <c r="B173" s="613"/>
      <c r="C173" s="375">
        <v>2015</v>
      </c>
      <c r="D173" s="163">
        <v>0</v>
      </c>
      <c r="E173" s="163">
        <v>0</v>
      </c>
      <c r="F173" s="163">
        <v>0</v>
      </c>
      <c r="G173" s="162">
        <v>0</v>
      </c>
    </row>
    <row r="174" spans="2:7" ht="15">
      <c r="B174" s="540" t="s">
        <v>181</v>
      </c>
      <c r="C174" s="31"/>
      <c r="D174" s="518"/>
      <c r="E174" s="518"/>
      <c r="F174" s="519">
        <f>+F6+F14+F22+F30+F38+F46+F54+F62+F70+F78+F86+F94+F102+F110+F118+F126+F134+F142+F150+F158+F166</f>
        <v>3400.1646820000001</v>
      </c>
      <c r="G174" s="523">
        <f>+G6+G14+G22+G30+G38+G46+G54+G62+G70+G78+G86+G94+G102+G110+G118+G126+G134+G142+G150+G158+G166</f>
        <v>365.98416200000003</v>
      </c>
    </row>
    <row r="175" spans="2:7" ht="15">
      <c r="B175" s="14"/>
      <c r="D175" s="519">
        <f>+D7+D15+D23+D31+D39+D47+D55+D63+D71+D79+D87+D95+D103+D111+D119+D127+D135+D143+D151+D159+D167</f>
        <v>5285.1653020000003</v>
      </c>
      <c r="E175" s="519">
        <f>+E7+E15+E23+E31+E39+E47+E55+E63+E71+E79+E87+E95+E103+E111+E119+E127+E135+E143+E151+E159+E167</f>
        <v>2050.3762643999999</v>
      </c>
      <c r="F175" s="519">
        <f>+F167+F159+F151+F135++F143+F127+F111+F119+F103+F95+F87+F79+F71+F63+F55+F47+F39+F31+F23+F15+F7</f>
        <v>1915.5017910000001</v>
      </c>
      <c r="G175" s="519">
        <f>+G7+G15+G23+G31+G39+G47+G55+G63+G71+G79+G87+G95+G103+G111+G119+G127+G135+G143+G151+G159</f>
        <v>451.98901799999999</v>
      </c>
    </row>
    <row r="176" spans="2:7" ht="15">
      <c r="B176" s="14"/>
      <c r="D176" s="519">
        <f>+D168+D160+D152+D144+D136+D128+D120+D112+D104+D88+D96+D80+D72+D64+D56+D48+D40+D32+D24+D16+D8</f>
        <v>5997.8826410000011</v>
      </c>
      <c r="E176" s="519">
        <f>+E168+E160+E152+E144+E136+E128+E120+E112+E104+E96+E88+E80+E72+E64+E56+E48+E40+E32+E24+E16+E8</f>
        <v>2199.0244349999998</v>
      </c>
      <c r="F176" s="519">
        <f>+F8+F16+F24+F32+F40+F48+F56+F64+F72+F80+F88+F96+F104+F112+F120+F128+F136+F144+F152+F160+F168</f>
        <v>2090.5389609999997</v>
      </c>
      <c r="G176" s="519">
        <f>+G8+G16+G24+G32+G40+G48+G56+G64+G72+G80+G88+G96+G104+G112+G120+G128+G136+G144+G152+G160+G168</f>
        <v>599.69002899999998</v>
      </c>
    </row>
    <row r="177" spans="2:7">
      <c r="B177" s="14"/>
    </row>
    <row r="178" spans="2:7">
      <c r="B178" s="14"/>
      <c r="D178" s="4"/>
      <c r="E178" s="4"/>
      <c r="F178" s="4"/>
      <c r="G178" s="4"/>
    </row>
    <row r="179" spans="2:7">
      <c r="B179" s="14"/>
      <c r="D179" s="4"/>
      <c r="E179" s="4"/>
      <c r="F179" s="4"/>
      <c r="G179" s="4"/>
    </row>
    <row r="180" spans="2:7">
      <c r="B180" s="14"/>
      <c r="D180" s="4"/>
      <c r="E180" s="4"/>
      <c r="F180" s="4"/>
      <c r="G180" s="4"/>
    </row>
    <row r="181" spans="2:7" ht="15.6" customHeight="1"/>
    <row r="182" spans="2:7">
      <c r="B182" s="615"/>
      <c r="D182" s="4"/>
      <c r="E182" s="4"/>
      <c r="F182" s="4"/>
      <c r="G182" s="4"/>
    </row>
    <row r="183" spans="2:7">
      <c r="B183" s="615"/>
      <c r="D183" s="4"/>
      <c r="E183" s="4"/>
      <c r="F183" s="4"/>
      <c r="G183" s="4"/>
    </row>
    <row r="184" spans="2:7">
      <c r="B184" s="615"/>
      <c r="D184" s="4"/>
      <c r="E184" s="4"/>
      <c r="F184" s="4"/>
      <c r="G184" s="4"/>
    </row>
    <row r="185" spans="2:7">
      <c r="B185" s="615"/>
      <c r="D185" s="4"/>
      <c r="E185" s="4"/>
      <c r="F185" s="4"/>
      <c r="G185" s="4"/>
    </row>
    <row r="186" spans="2:7">
      <c r="B186" s="615"/>
      <c r="D186" s="4"/>
      <c r="E186" s="4"/>
      <c r="F186" s="4"/>
      <c r="G186" s="4"/>
    </row>
    <row r="187" spans="2:7">
      <c r="B187" s="615"/>
      <c r="D187" s="4"/>
      <c r="E187" s="4"/>
      <c r="F187" s="4"/>
      <c r="G187" s="13"/>
    </row>
    <row r="188" spans="2:7">
      <c r="B188" s="615"/>
      <c r="D188" s="4"/>
      <c r="E188" s="4"/>
      <c r="F188" s="4"/>
      <c r="G188" s="4"/>
    </row>
    <row r="189" spans="2:7">
      <c r="B189" s="615"/>
      <c r="D189" s="4"/>
      <c r="E189" s="4"/>
      <c r="F189" s="4"/>
      <c r="G189" s="4"/>
    </row>
    <row r="190" spans="2:7">
      <c r="B190" s="615"/>
      <c r="D190" s="4"/>
      <c r="E190" s="4"/>
      <c r="F190" s="4"/>
      <c r="G190" s="4"/>
    </row>
    <row r="191" spans="2:7">
      <c r="B191" s="615"/>
      <c r="D191" s="4"/>
      <c r="E191" s="4"/>
      <c r="F191" s="4"/>
      <c r="G191" s="4"/>
    </row>
    <row r="192" spans="2:7">
      <c r="B192" s="615"/>
      <c r="D192" s="4"/>
      <c r="E192" s="4"/>
      <c r="F192" s="4"/>
      <c r="G192" s="4"/>
    </row>
    <row r="193" spans="2:7">
      <c r="B193" s="615"/>
      <c r="D193" s="4"/>
      <c r="E193" s="4"/>
      <c r="F193" s="4"/>
      <c r="G193" s="4"/>
    </row>
    <row r="194" spans="2:7">
      <c r="B194" s="615"/>
      <c r="D194" s="4"/>
      <c r="E194" s="4"/>
      <c r="F194" s="4"/>
      <c r="G194" s="4"/>
    </row>
    <row r="195" spans="2:7">
      <c r="B195" s="615"/>
      <c r="D195" s="4"/>
      <c r="E195" s="4"/>
      <c r="F195" s="4"/>
      <c r="G195" s="4"/>
    </row>
    <row r="196" spans="2:7">
      <c r="B196" s="615"/>
      <c r="D196" s="4"/>
      <c r="E196" s="4"/>
      <c r="F196" s="4"/>
      <c r="G196" s="4"/>
    </row>
    <row r="197" spans="2:7">
      <c r="B197" s="615"/>
      <c r="D197" s="4"/>
      <c r="E197" s="4"/>
      <c r="F197" s="4"/>
      <c r="G197" s="4"/>
    </row>
    <row r="198" spans="2:7">
      <c r="B198" s="615"/>
      <c r="D198" s="4"/>
      <c r="E198" s="4"/>
      <c r="F198" s="4"/>
      <c r="G198" s="4"/>
    </row>
    <row r="199" spans="2:7">
      <c r="B199" s="615"/>
      <c r="D199" s="4"/>
      <c r="E199" s="4"/>
      <c r="F199" s="4"/>
      <c r="G199" s="4"/>
    </row>
    <row r="200" spans="2:7">
      <c r="B200" s="615"/>
      <c r="D200" s="4"/>
      <c r="E200" s="4"/>
      <c r="F200" s="4"/>
      <c r="G200" s="4"/>
    </row>
    <row r="201" spans="2:7">
      <c r="B201" s="615"/>
      <c r="D201" s="4"/>
      <c r="E201" s="4"/>
      <c r="F201" s="4"/>
      <c r="G201" s="4"/>
    </row>
    <row r="202" spans="2:7" ht="19.149999999999999" customHeight="1">
      <c r="B202" s="615"/>
      <c r="D202" s="4"/>
      <c r="E202" s="4"/>
      <c r="F202" s="4"/>
      <c r="G202" s="4"/>
    </row>
    <row r="203" spans="2:7" ht="17.45" customHeight="1"/>
  </sheetData>
  <mergeCells count="24">
    <mergeCell ref="B134:B141"/>
    <mergeCell ref="B142:B149"/>
    <mergeCell ref="B150:B157"/>
    <mergeCell ref="B86:B93"/>
    <mergeCell ref="B94:B101"/>
    <mergeCell ref="B102:B109"/>
    <mergeCell ref="B110:B117"/>
    <mergeCell ref="B118:B125"/>
    <mergeCell ref="B158:B165"/>
    <mergeCell ref="B166:B173"/>
    <mergeCell ref="B182:B202"/>
    <mergeCell ref="C4:C5"/>
    <mergeCell ref="B4:B5"/>
    <mergeCell ref="B6:B13"/>
    <mergeCell ref="B14:B21"/>
    <mergeCell ref="B22:B29"/>
    <mergeCell ref="B30:B37"/>
    <mergeCell ref="B38:B45"/>
    <mergeCell ref="B46:B53"/>
    <mergeCell ref="B54:B61"/>
    <mergeCell ref="B62:B69"/>
    <mergeCell ref="B70:B77"/>
    <mergeCell ref="B78:B85"/>
    <mergeCell ref="B126:B133"/>
  </mergeCells>
  <pageMargins left="0.7" right="0.7" top="0.75" bottom="0.75" header="0.3" footer="0.3"/>
  <pageSetup paperSize="9" orientation="portrait" r:id="rId1"/>
  <ignoredErrors>
    <ignoredError sqref="F175:G17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64"/>
  <sheetViews>
    <sheetView showGridLines="0" zoomScale="80" zoomScaleNormal="80" workbookViewId="0"/>
  </sheetViews>
  <sheetFormatPr defaultColWidth="8.85546875" defaultRowHeight="14.25"/>
  <cols>
    <col min="1" max="1" width="1.7109375" style="17" customWidth="1"/>
    <col min="2" max="2" width="27.85546875" style="31" customWidth="1"/>
    <col min="3" max="4" width="30.7109375" style="31" customWidth="1"/>
    <col min="5" max="5" width="39.7109375" style="31" customWidth="1"/>
    <col min="6" max="7" width="30.7109375" style="31" customWidth="1"/>
    <col min="8" max="8" width="35.140625" style="17" customWidth="1"/>
    <col min="9" max="9" width="29.42578125" style="31" customWidth="1"/>
    <col min="10" max="10" width="20.5703125" style="31" customWidth="1"/>
    <col min="11" max="16384" width="8.85546875" style="31"/>
  </cols>
  <sheetData>
    <row r="2" spans="2:9" ht="15">
      <c r="B2" s="57" t="s">
        <v>146</v>
      </c>
      <c r="D2" s="30"/>
      <c r="E2" s="30"/>
      <c r="F2" s="30"/>
      <c r="G2" s="30"/>
    </row>
    <row r="4" spans="2:9" ht="15">
      <c r="B4" s="25" t="s">
        <v>21</v>
      </c>
      <c r="C4" s="592" t="s">
        <v>2</v>
      </c>
      <c r="D4" s="48" t="s">
        <v>68</v>
      </c>
      <c r="E4" s="5" t="s">
        <v>69</v>
      </c>
      <c r="F4" s="5" t="s">
        <v>83</v>
      </c>
      <c r="G4" s="24" t="s">
        <v>84</v>
      </c>
    </row>
    <row r="5" spans="2:9" ht="15">
      <c r="B5" s="46" t="s">
        <v>22</v>
      </c>
      <c r="C5" s="592"/>
      <c r="D5" s="125" t="s">
        <v>0</v>
      </c>
      <c r="E5" s="5" t="s">
        <v>1</v>
      </c>
      <c r="F5" s="5" t="s">
        <v>3</v>
      </c>
      <c r="G5" s="24" t="s">
        <v>4</v>
      </c>
    </row>
    <row r="6" spans="2:9">
      <c r="B6" s="612" t="s">
        <v>66</v>
      </c>
      <c r="C6" s="99">
        <v>2022</v>
      </c>
      <c r="D6" s="92">
        <v>2239.942196</v>
      </c>
      <c r="E6" s="93">
        <v>1271.632717</v>
      </c>
      <c r="F6" s="93">
        <v>1184.5344210000001</v>
      </c>
      <c r="G6" s="353">
        <v>188.25857199999999</v>
      </c>
      <c r="H6" s="18"/>
    </row>
    <row r="7" spans="2:9" ht="15">
      <c r="B7" s="612"/>
      <c r="C7" s="95">
        <v>2021</v>
      </c>
      <c r="D7" s="92">
        <v>3291.7479010000002</v>
      </c>
      <c r="E7" s="93">
        <v>681.74445700000001</v>
      </c>
      <c r="F7" s="93">
        <v>557.01943000000006</v>
      </c>
      <c r="G7" s="92">
        <v>130.48869400000001</v>
      </c>
      <c r="H7" s="182"/>
      <c r="I7" s="123"/>
    </row>
    <row r="8" spans="2:9" ht="15">
      <c r="B8" s="612"/>
      <c r="C8" s="95">
        <v>2020</v>
      </c>
      <c r="D8" s="92">
        <v>3755.4321239999999</v>
      </c>
      <c r="E8" s="93">
        <v>752.29605000000004</v>
      </c>
      <c r="F8" s="93">
        <v>612.18774399999995</v>
      </c>
      <c r="G8" s="92">
        <v>329.12595800000003</v>
      </c>
      <c r="H8" s="145"/>
      <c r="I8" s="123"/>
    </row>
    <row r="9" spans="2:9" ht="15">
      <c r="B9" s="612"/>
      <c r="C9" s="95">
        <v>2019</v>
      </c>
      <c r="D9" s="183">
        <v>6704.6978769999996</v>
      </c>
      <c r="E9" s="93">
        <v>918.206366</v>
      </c>
      <c r="F9" s="93">
        <v>749.12638300000003</v>
      </c>
      <c r="G9" s="177">
        <v>494.568963</v>
      </c>
      <c r="H9" s="145"/>
      <c r="I9" s="123"/>
    </row>
    <row r="10" spans="2:9" ht="15" hidden="1">
      <c r="B10" s="612"/>
      <c r="C10" s="95">
        <v>2018</v>
      </c>
      <c r="D10" s="92">
        <v>5772.7031269999998</v>
      </c>
      <c r="E10" s="93">
        <v>809.93680900000004</v>
      </c>
      <c r="F10" s="93">
        <v>659.62946299999999</v>
      </c>
      <c r="G10" s="92">
        <v>150.307346</v>
      </c>
      <c r="H10" s="145"/>
      <c r="I10" s="123"/>
    </row>
    <row r="11" spans="2:9" ht="15" hidden="1">
      <c r="B11" s="612"/>
      <c r="C11" s="95">
        <v>2017</v>
      </c>
      <c r="D11" s="92">
        <v>5273.8542719999996</v>
      </c>
      <c r="E11" s="93">
        <v>605.55680199999995</v>
      </c>
      <c r="F11" s="93">
        <v>566.31412699999998</v>
      </c>
      <c r="G11" s="92">
        <v>39.242674999999998</v>
      </c>
      <c r="H11" s="145"/>
      <c r="I11" s="123"/>
    </row>
    <row r="12" spans="2:9" ht="15" hidden="1">
      <c r="B12" s="612"/>
      <c r="C12" s="95">
        <v>2016</v>
      </c>
      <c r="D12" s="92">
        <v>4460.6846679999999</v>
      </c>
      <c r="E12" s="93">
        <v>963.84348299999999</v>
      </c>
      <c r="F12" s="93">
        <v>887.20851500000003</v>
      </c>
      <c r="G12" s="92">
        <v>76.634968000000001</v>
      </c>
      <c r="H12" s="145"/>
      <c r="I12" s="123"/>
    </row>
    <row r="13" spans="2:9" ht="15" hidden="1">
      <c r="B13" s="613"/>
      <c r="C13" s="95">
        <v>2015</v>
      </c>
      <c r="D13" s="183">
        <v>4103.9382800000003</v>
      </c>
      <c r="E13" s="183">
        <v>1737.1159740000001</v>
      </c>
      <c r="F13" s="93">
        <v>1613.6904179999999</v>
      </c>
      <c r="G13" s="177">
        <v>123.425556</v>
      </c>
      <c r="H13" s="145"/>
      <c r="I13" s="123"/>
    </row>
    <row r="14" spans="2:9" ht="15" customHeight="1">
      <c r="B14" s="614" t="s">
        <v>120</v>
      </c>
      <c r="C14" s="99">
        <v>2022</v>
      </c>
      <c r="D14" s="92">
        <v>1553.8691719999999</v>
      </c>
      <c r="E14" s="241">
        <v>134.896694</v>
      </c>
      <c r="F14" s="364">
        <v>134.896694</v>
      </c>
      <c r="G14" s="229">
        <v>5.4</v>
      </c>
    </row>
    <row r="15" spans="2:9">
      <c r="B15" s="612"/>
      <c r="C15" s="95">
        <v>2021</v>
      </c>
      <c r="D15" s="92">
        <v>444.46637600000003</v>
      </c>
      <c r="E15" s="93">
        <v>181.489757</v>
      </c>
      <c r="F15" s="93">
        <v>172.98996299999999</v>
      </c>
      <c r="G15" s="212">
        <v>123.06863300000001</v>
      </c>
    </row>
    <row r="16" spans="2:9">
      <c r="B16" s="612"/>
      <c r="C16" s="95">
        <v>2020</v>
      </c>
      <c r="D16" s="92">
        <v>637.43185600000004</v>
      </c>
      <c r="E16" s="93">
        <v>142.99860899999999</v>
      </c>
      <c r="F16" s="93">
        <v>123.852125</v>
      </c>
      <c r="G16" s="92">
        <v>15.671604</v>
      </c>
    </row>
    <row r="17" spans="2:8">
      <c r="B17" s="612"/>
      <c r="C17" s="98">
        <v>2019</v>
      </c>
      <c r="D17" s="92">
        <v>624.74623199999996</v>
      </c>
      <c r="E17" s="93">
        <v>188.79820900000001</v>
      </c>
      <c r="F17" s="93">
        <v>185.90539000000001</v>
      </c>
      <c r="G17" s="177">
        <v>42.522782999999997</v>
      </c>
    </row>
    <row r="18" spans="2:8" hidden="1">
      <c r="B18" s="612"/>
      <c r="C18" s="95">
        <v>2018</v>
      </c>
      <c r="D18" s="92">
        <v>585.01019499999995</v>
      </c>
      <c r="E18" s="93">
        <v>216.45692600000001</v>
      </c>
      <c r="F18" s="93">
        <v>210.51604900000001</v>
      </c>
      <c r="G18" s="92">
        <v>5.9408770000000004</v>
      </c>
    </row>
    <row r="19" spans="2:8" hidden="1">
      <c r="B19" s="612"/>
      <c r="C19" s="95">
        <v>2017</v>
      </c>
      <c r="D19" s="92">
        <v>503.06780199999997</v>
      </c>
      <c r="E19" s="93">
        <v>194.66588400000001</v>
      </c>
      <c r="F19" s="93">
        <v>187.60954100000001</v>
      </c>
      <c r="G19" s="92">
        <v>7.056343</v>
      </c>
    </row>
    <row r="20" spans="2:8" hidden="1">
      <c r="B20" s="612"/>
      <c r="C20" s="95">
        <v>2016</v>
      </c>
      <c r="D20" s="92">
        <v>395.13710900000001</v>
      </c>
      <c r="E20" s="93">
        <v>205.45103700000001</v>
      </c>
      <c r="F20" s="93">
        <v>203.302639</v>
      </c>
      <c r="G20" s="92">
        <v>2.1483979999999998</v>
      </c>
    </row>
    <row r="21" spans="2:8" hidden="1">
      <c r="B21" s="613"/>
      <c r="C21" s="98">
        <v>2015</v>
      </c>
      <c r="D21" s="183">
        <v>359.18658299999998</v>
      </c>
      <c r="E21" s="183">
        <v>226.96066500000001</v>
      </c>
      <c r="F21" s="183">
        <v>224.45107400000001</v>
      </c>
      <c r="G21" s="177">
        <v>2.5095909999999999</v>
      </c>
    </row>
    <row r="22" spans="2:8" ht="15" customHeight="1">
      <c r="B22" s="614" t="s">
        <v>121</v>
      </c>
      <c r="C22" s="95">
        <v>2022</v>
      </c>
      <c r="D22" s="241">
        <v>681.43090600000005</v>
      </c>
      <c r="E22" s="241">
        <v>130.37513899999999</v>
      </c>
      <c r="F22" s="241">
        <v>130.37513899999999</v>
      </c>
      <c r="G22" s="92">
        <v>35.629683999999997</v>
      </c>
    </row>
    <row r="23" spans="2:8">
      <c r="B23" s="612"/>
      <c r="C23" s="95">
        <v>2021</v>
      </c>
      <c r="D23" s="92">
        <v>537.78830400000004</v>
      </c>
      <c r="E23" s="353">
        <v>223.85196099999999</v>
      </c>
      <c r="F23" s="93">
        <v>223.85196099999999</v>
      </c>
      <c r="G23" s="353">
        <v>41.070241000000003</v>
      </c>
    </row>
    <row r="24" spans="2:8" ht="15">
      <c r="B24" s="612"/>
      <c r="C24" s="95">
        <v>2020</v>
      </c>
      <c r="D24" s="92">
        <v>497.09195699999998</v>
      </c>
      <c r="E24" s="93">
        <v>290.20579099999998</v>
      </c>
      <c r="F24" s="93">
        <v>274.172033</v>
      </c>
      <c r="G24" s="92">
        <v>22.362998999999999</v>
      </c>
      <c r="H24" s="145"/>
    </row>
    <row r="25" spans="2:8">
      <c r="B25" s="612"/>
      <c r="C25" s="95">
        <v>2019</v>
      </c>
      <c r="D25" s="92">
        <v>493.166965</v>
      </c>
      <c r="E25" s="93">
        <v>171.272648</v>
      </c>
      <c r="F25" s="93">
        <v>171.272648</v>
      </c>
      <c r="G25" s="177">
        <v>18.948843</v>
      </c>
    </row>
    <row r="26" spans="2:8" hidden="1">
      <c r="B26" s="612"/>
      <c r="C26" s="95">
        <v>2018</v>
      </c>
      <c r="D26" s="92">
        <v>461.46511700000002</v>
      </c>
      <c r="E26" s="93">
        <v>164.830927</v>
      </c>
      <c r="F26" s="93">
        <v>161.851539</v>
      </c>
      <c r="G26" s="92">
        <v>2.9793880000000001</v>
      </c>
    </row>
    <row r="27" spans="2:8" hidden="1">
      <c r="B27" s="612"/>
      <c r="C27" s="95">
        <v>2017</v>
      </c>
      <c r="D27" s="92">
        <v>430.253758</v>
      </c>
      <c r="E27" s="93">
        <v>176.54268300000001</v>
      </c>
      <c r="F27" s="93">
        <v>172.033141</v>
      </c>
      <c r="G27" s="92">
        <v>4.5095419999999997</v>
      </c>
    </row>
    <row r="28" spans="2:8" ht="15" hidden="1">
      <c r="B28" s="612"/>
      <c r="C28" s="95">
        <v>2016</v>
      </c>
      <c r="D28" s="92">
        <v>456.92792600000001</v>
      </c>
      <c r="E28" s="93">
        <v>270.97335199999998</v>
      </c>
      <c r="F28" s="93">
        <v>270.96108600000002</v>
      </c>
      <c r="G28" s="92">
        <v>1.2266000000000001E-2</v>
      </c>
      <c r="H28" s="145"/>
    </row>
    <row r="29" spans="2:8" ht="15" hidden="1">
      <c r="B29" s="613"/>
      <c r="C29" s="95">
        <v>2015</v>
      </c>
      <c r="D29" s="183">
        <v>342.40550200000001</v>
      </c>
      <c r="E29" s="93">
        <v>145.30461099999999</v>
      </c>
      <c r="F29" s="183">
        <v>135.501451</v>
      </c>
      <c r="G29" s="177">
        <v>9.8031600000000001</v>
      </c>
      <c r="H29" s="145"/>
    </row>
    <row r="30" spans="2:8" ht="15" customHeight="1">
      <c r="B30" s="614" t="s">
        <v>122</v>
      </c>
      <c r="C30" s="99">
        <v>2022</v>
      </c>
      <c r="D30" s="241">
        <v>650.72673499999996</v>
      </c>
      <c r="E30" s="241">
        <v>109.252128</v>
      </c>
      <c r="F30" s="376">
        <v>105.999622</v>
      </c>
      <c r="G30" s="92">
        <v>34.008012999999998</v>
      </c>
      <c r="H30" s="145"/>
    </row>
    <row r="31" spans="2:8" ht="15">
      <c r="B31" s="612"/>
      <c r="C31" s="95">
        <v>2021</v>
      </c>
      <c r="D31" s="93">
        <v>359.42290700000001</v>
      </c>
      <c r="E31" s="93">
        <v>187.34177800000001</v>
      </c>
      <c r="F31" s="103">
        <v>187.021726</v>
      </c>
      <c r="G31" s="92">
        <v>16.33577</v>
      </c>
      <c r="H31" s="145"/>
    </row>
    <row r="32" spans="2:8" ht="15">
      <c r="B32" s="612"/>
      <c r="C32" s="95">
        <v>2020</v>
      </c>
      <c r="D32" s="92">
        <v>376.37872700000003</v>
      </c>
      <c r="E32" s="93">
        <v>176.006044</v>
      </c>
      <c r="F32" s="93">
        <v>163.17882499999999</v>
      </c>
      <c r="G32" s="92">
        <v>135.487888</v>
      </c>
      <c r="H32" s="145"/>
    </row>
    <row r="33" spans="2:10" ht="15">
      <c r="B33" s="612"/>
      <c r="C33" s="95">
        <v>2019</v>
      </c>
      <c r="D33" s="183">
        <v>471.613945</v>
      </c>
      <c r="E33" s="93">
        <v>153.06889699999999</v>
      </c>
      <c r="F33" s="93">
        <v>152.397492</v>
      </c>
      <c r="G33" s="177">
        <v>25.997603000000002</v>
      </c>
      <c r="H33" s="145"/>
    </row>
    <row r="34" spans="2:10" ht="15" hidden="1">
      <c r="B34" s="612"/>
      <c r="C34" s="95">
        <v>2018</v>
      </c>
      <c r="D34" s="92">
        <v>438.01774599999999</v>
      </c>
      <c r="E34" s="93">
        <v>199.70310599999999</v>
      </c>
      <c r="F34" s="93">
        <v>199.09416400000001</v>
      </c>
      <c r="G34" s="92">
        <v>0.60894199999999998</v>
      </c>
      <c r="H34" s="145"/>
    </row>
    <row r="35" spans="2:10" ht="15" hidden="1">
      <c r="B35" s="612"/>
      <c r="C35" s="95">
        <v>2017</v>
      </c>
      <c r="D35" s="92">
        <v>404.60388399999999</v>
      </c>
      <c r="E35" s="93">
        <v>144.77356800000001</v>
      </c>
      <c r="F35" s="93">
        <v>144.77356800000001</v>
      </c>
      <c r="G35" s="92">
        <v>0</v>
      </c>
      <c r="H35" s="145"/>
    </row>
    <row r="36" spans="2:10" ht="15" hidden="1">
      <c r="B36" s="612"/>
      <c r="C36" s="95">
        <v>2016</v>
      </c>
      <c r="D36" s="92">
        <v>332.764208</v>
      </c>
      <c r="E36" s="93">
        <v>127.806766</v>
      </c>
      <c r="F36" s="93">
        <v>127.57293900000001</v>
      </c>
      <c r="G36" s="92">
        <v>0.23382700000000001</v>
      </c>
      <c r="H36" s="145"/>
    </row>
    <row r="37" spans="2:10" ht="15" hidden="1">
      <c r="B37" s="613"/>
      <c r="C37" s="95">
        <v>2015</v>
      </c>
      <c r="D37" s="183">
        <v>372.26507500000002</v>
      </c>
      <c r="E37" s="183">
        <v>132.62848500000001</v>
      </c>
      <c r="F37" s="183">
        <v>131.59369100000001</v>
      </c>
      <c r="G37" s="177">
        <v>1.034794</v>
      </c>
      <c r="H37" s="145"/>
    </row>
    <row r="38" spans="2:10" ht="15" customHeight="1">
      <c r="B38" s="614" t="s">
        <v>123</v>
      </c>
      <c r="C38" s="99">
        <v>2022</v>
      </c>
      <c r="D38" s="92">
        <v>844.02308800000003</v>
      </c>
      <c r="E38" s="241">
        <v>546.907916</v>
      </c>
      <c r="F38" s="241">
        <v>541.25140699999997</v>
      </c>
      <c r="G38" s="92">
        <v>15.530633999999999</v>
      </c>
    </row>
    <row r="39" spans="2:10" ht="15">
      <c r="B39" s="612"/>
      <c r="C39" s="95">
        <v>2021</v>
      </c>
      <c r="D39" s="92">
        <v>301.257564</v>
      </c>
      <c r="E39" s="93">
        <v>244.362089</v>
      </c>
      <c r="F39" s="93">
        <v>243.22822400000001</v>
      </c>
      <c r="G39" s="92">
        <v>59.999713999999997</v>
      </c>
      <c r="H39" s="145"/>
    </row>
    <row r="40" spans="2:10" ht="15">
      <c r="B40" s="612"/>
      <c r="C40" s="95">
        <v>2020</v>
      </c>
      <c r="D40" s="92">
        <v>336.01069699999999</v>
      </c>
      <c r="E40" s="93">
        <v>198.59395900000001</v>
      </c>
      <c r="F40" s="93">
        <v>189.07315</v>
      </c>
      <c r="G40" s="92">
        <v>15.265537999999999</v>
      </c>
      <c r="H40" s="145"/>
    </row>
    <row r="41" spans="2:10" ht="15">
      <c r="B41" s="612"/>
      <c r="C41" s="95">
        <v>2019</v>
      </c>
      <c r="D41" s="92">
        <v>363.53124300000002</v>
      </c>
      <c r="E41" s="93">
        <v>143.41446099999999</v>
      </c>
      <c r="F41" s="93">
        <v>143.41446099999999</v>
      </c>
      <c r="G41" s="177">
        <v>7.39682</v>
      </c>
      <c r="H41" s="145"/>
    </row>
    <row r="42" spans="2:10" ht="15" hidden="1">
      <c r="B42" s="612"/>
      <c r="C42" s="95">
        <v>2018</v>
      </c>
      <c r="D42" s="92">
        <v>344.72188699999998</v>
      </c>
      <c r="E42" s="93">
        <v>218.610592</v>
      </c>
      <c r="F42" s="93">
        <v>216.78473199999999</v>
      </c>
      <c r="G42" s="92">
        <v>1.82586</v>
      </c>
      <c r="H42" s="145"/>
      <c r="I42" s="149"/>
      <c r="J42" s="149"/>
    </row>
    <row r="43" spans="2:10" ht="15" hidden="1">
      <c r="B43" s="612"/>
      <c r="C43" s="95">
        <v>2017</v>
      </c>
      <c r="D43" s="92">
        <v>370.88325400000002</v>
      </c>
      <c r="E43" s="93">
        <v>229.026186</v>
      </c>
      <c r="F43" s="93">
        <v>225.676793</v>
      </c>
      <c r="G43" s="92">
        <v>3.3493930000000001</v>
      </c>
      <c r="H43" s="145"/>
    </row>
    <row r="44" spans="2:10" hidden="1">
      <c r="B44" s="612"/>
      <c r="C44" s="95">
        <v>2016</v>
      </c>
      <c r="D44" s="92">
        <v>376.62806399999999</v>
      </c>
      <c r="E44" s="93">
        <v>150.640388</v>
      </c>
      <c r="F44" s="93">
        <v>150.640388</v>
      </c>
      <c r="G44" s="92">
        <v>0</v>
      </c>
    </row>
    <row r="45" spans="2:10" hidden="1">
      <c r="B45" s="613"/>
      <c r="C45" s="95">
        <v>2015</v>
      </c>
      <c r="D45" s="183">
        <v>327.47739000000001</v>
      </c>
      <c r="E45" s="93">
        <v>159.616142</v>
      </c>
      <c r="F45" s="93">
        <v>155.58444</v>
      </c>
      <c r="G45" s="177">
        <v>4.0317020000000001</v>
      </c>
    </row>
    <row r="46" spans="2:10" ht="15" customHeight="1">
      <c r="B46" s="614" t="s">
        <v>124</v>
      </c>
      <c r="C46" s="99">
        <v>2022</v>
      </c>
      <c r="D46" s="241">
        <v>584.81611399999997</v>
      </c>
      <c r="E46" s="241">
        <v>185.357495</v>
      </c>
      <c r="F46" s="241">
        <v>185.357495</v>
      </c>
      <c r="G46" s="92">
        <v>9.4332080000000005</v>
      </c>
    </row>
    <row r="47" spans="2:10">
      <c r="B47" s="612"/>
      <c r="C47" s="95">
        <v>2021</v>
      </c>
      <c r="D47" s="92">
        <v>151.130889</v>
      </c>
      <c r="E47" s="93">
        <v>69.220065000000005</v>
      </c>
      <c r="F47" s="93">
        <v>69.109155000000001</v>
      </c>
      <c r="G47" s="92">
        <v>5.905494</v>
      </c>
    </row>
    <row r="48" spans="2:10">
      <c r="B48" s="612"/>
      <c r="C48" s="95">
        <v>2020</v>
      </c>
      <c r="D48" s="92">
        <v>169.278414</v>
      </c>
      <c r="E48" s="93">
        <v>94.547404999999998</v>
      </c>
      <c r="F48" s="93">
        <v>119.63609</v>
      </c>
      <c r="G48" s="92">
        <v>12.252404</v>
      </c>
    </row>
    <row r="49" spans="2:7">
      <c r="B49" s="612"/>
      <c r="C49" s="95">
        <v>2019</v>
      </c>
      <c r="D49" s="92">
        <v>126.587279</v>
      </c>
      <c r="E49" s="93">
        <v>69.648088000000001</v>
      </c>
      <c r="F49" s="93">
        <v>67.201199000000003</v>
      </c>
      <c r="G49" s="92">
        <v>14.340662</v>
      </c>
    </row>
    <row r="50" spans="2:7" hidden="1">
      <c r="B50" s="612"/>
      <c r="C50" s="95">
        <v>2018</v>
      </c>
      <c r="D50" s="92">
        <v>133.26955599999999</v>
      </c>
      <c r="E50" s="93">
        <v>67.973945999999998</v>
      </c>
      <c r="F50" s="93">
        <v>67.832154000000003</v>
      </c>
      <c r="G50" s="92">
        <v>0.141792</v>
      </c>
    </row>
    <row r="51" spans="2:7" hidden="1">
      <c r="B51" s="612"/>
      <c r="C51" s="95">
        <v>2017</v>
      </c>
      <c r="D51" s="92">
        <v>112.99128399999999</v>
      </c>
      <c r="E51" s="93">
        <v>63.776577000000003</v>
      </c>
      <c r="F51" s="93">
        <v>60.541837000000001</v>
      </c>
      <c r="G51" s="92">
        <v>3.2347399999999999</v>
      </c>
    </row>
    <row r="52" spans="2:7" hidden="1">
      <c r="B52" s="612"/>
      <c r="C52" s="95">
        <v>2016</v>
      </c>
      <c r="D52" s="92">
        <v>121.19125099999999</v>
      </c>
      <c r="E52" s="93">
        <v>90.049724999999995</v>
      </c>
      <c r="F52" s="93">
        <v>90.049724999999995</v>
      </c>
      <c r="G52" s="92">
        <v>0</v>
      </c>
    </row>
    <row r="53" spans="2:7" hidden="1">
      <c r="B53" s="613"/>
      <c r="C53" s="95">
        <v>2015</v>
      </c>
      <c r="D53" s="92">
        <v>106.59615599999999</v>
      </c>
      <c r="E53" s="183">
        <v>77.573321000000007</v>
      </c>
      <c r="F53" s="93">
        <v>76.972560000000001</v>
      </c>
      <c r="G53" s="177">
        <v>0.60076099999999999</v>
      </c>
    </row>
    <row r="54" spans="2:7" ht="15" customHeight="1">
      <c r="B54" s="614" t="s">
        <v>67</v>
      </c>
      <c r="C54" s="99">
        <v>2022</v>
      </c>
      <c r="D54" s="241">
        <v>1219.4937910000001</v>
      </c>
      <c r="E54" s="376">
        <v>1153.63697</v>
      </c>
      <c r="F54" s="364">
        <v>1117.749904</v>
      </c>
      <c r="G54" s="367">
        <v>77.724051000000003</v>
      </c>
    </row>
    <row r="55" spans="2:7">
      <c r="B55" s="612"/>
      <c r="C55" s="95">
        <v>2021</v>
      </c>
      <c r="D55" s="93">
        <v>199.351361</v>
      </c>
      <c r="E55" s="103">
        <v>462.36624799999998</v>
      </c>
      <c r="F55" s="103">
        <v>462.28133200000002</v>
      </c>
      <c r="G55" s="92">
        <v>75.154201999999998</v>
      </c>
    </row>
    <row r="56" spans="2:7">
      <c r="B56" s="612"/>
      <c r="C56" s="95">
        <v>2020</v>
      </c>
      <c r="D56" s="92">
        <v>226.25886600000001</v>
      </c>
      <c r="E56" s="93">
        <v>544.376577</v>
      </c>
      <c r="F56" s="93">
        <v>608.43899399999998</v>
      </c>
      <c r="G56" s="92">
        <v>69.523638000000005</v>
      </c>
    </row>
    <row r="57" spans="2:7">
      <c r="B57" s="612"/>
      <c r="C57" s="95">
        <v>2019</v>
      </c>
      <c r="D57" s="183">
        <v>175.64342199999999</v>
      </c>
      <c r="E57" s="93">
        <v>368.82151699999997</v>
      </c>
      <c r="F57" s="183">
        <v>368.45907499999998</v>
      </c>
      <c r="G57" s="177">
        <v>40.299143000000001</v>
      </c>
    </row>
    <row r="58" spans="2:7" hidden="1">
      <c r="B58" s="612"/>
      <c r="C58" s="95">
        <v>2018</v>
      </c>
      <c r="D58" s="92">
        <v>180.36263500000001</v>
      </c>
      <c r="E58" s="93">
        <v>348.14890600000001</v>
      </c>
      <c r="F58" s="93">
        <v>347.35341499999998</v>
      </c>
      <c r="G58" s="92">
        <v>0.79549099999999995</v>
      </c>
    </row>
    <row r="59" spans="2:7" hidden="1">
      <c r="B59" s="612"/>
      <c r="C59" s="95">
        <v>2017</v>
      </c>
      <c r="D59" s="92">
        <v>178.232753</v>
      </c>
      <c r="E59" s="93">
        <v>502.060991</v>
      </c>
      <c r="F59" s="93">
        <v>499.88609300000002</v>
      </c>
      <c r="G59" s="92">
        <v>2.1748980000000002</v>
      </c>
    </row>
    <row r="60" spans="2:7" hidden="1">
      <c r="B60" s="612"/>
      <c r="C60" s="95">
        <v>2016</v>
      </c>
      <c r="D60" s="92">
        <v>168.62090599999999</v>
      </c>
      <c r="E60" s="93">
        <v>397.14615500000002</v>
      </c>
      <c r="F60" s="93">
        <v>397.14615500000002</v>
      </c>
      <c r="G60" s="92">
        <v>0</v>
      </c>
    </row>
    <row r="61" spans="2:7" hidden="1">
      <c r="B61" s="613"/>
      <c r="C61" s="98">
        <v>2015</v>
      </c>
      <c r="D61" s="183">
        <v>208.68914599999999</v>
      </c>
      <c r="E61" s="183">
        <v>342.86454700000002</v>
      </c>
      <c r="F61" s="183">
        <v>294.18750999999997</v>
      </c>
      <c r="G61" s="117">
        <v>48.677036999999999</v>
      </c>
    </row>
    <row r="62" spans="2:7" ht="15">
      <c r="B62" s="540" t="s">
        <v>192</v>
      </c>
      <c r="C62" s="35"/>
      <c r="D62" s="527"/>
      <c r="E62" s="547">
        <f>+E54+E46+E38+E30+E14+E22+E6</f>
        <v>3532.0590589999997</v>
      </c>
      <c r="F62" s="524">
        <f>+F54+F46+F38+F30+F14+F22+F6</f>
        <v>3400.1646820000005</v>
      </c>
      <c r="G62" s="524">
        <f>+G54+G46+G38+G30+G14+G22+G6</f>
        <v>365.98416199999997</v>
      </c>
    </row>
    <row r="63" spans="2:7" ht="15">
      <c r="D63" s="525">
        <f>+D7+D15+D23+D31+D39+D47+D55</f>
        <v>5285.1653020000003</v>
      </c>
      <c r="E63" s="525">
        <f>+E55+E47+E39+E31+E23+E15+E7</f>
        <v>2050.3763550000003</v>
      </c>
      <c r="F63" s="524">
        <f>+F55+F47+F39+F31+F23+F15+F7</f>
        <v>1915.5017910000001</v>
      </c>
      <c r="G63" s="524">
        <f>+G55+G47+G39+G31+G23+G15+G7</f>
        <v>452.02274800000004</v>
      </c>
    </row>
    <row r="64" spans="2:7" ht="15">
      <c r="D64" s="525">
        <f>+D56+D48+D40+D32+D24+D16+D8</f>
        <v>5997.8826410000001</v>
      </c>
      <c r="E64" s="525">
        <f>+E56+E48+E40+E32+E24+E16+E8</f>
        <v>2199.0244350000003</v>
      </c>
      <c r="F64" s="524">
        <f>+F56+F48+F40+F32+F24+F16+F8</f>
        <v>2090.5389609999997</v>
      </c>
      <c r="G64" s="524">
        <f>+G8+G16+G24+G32+G40+G48+G56</f>
        <v>599.69002899999998</v>
      </c>
    </row>
  </sheetData>
  <mergeCells count="8">
    <mergeCell ref="B38:B45"/>
    <mergeCell ref="B46:B53"/>
    <mergeCell ref="B54:B61"/>
    <mergeCell ref="C4:C5"/>
    <mergeCell ref="B6:B13"/>
    <mergeCell ref="B14:B21"/>
    <mergeCell ref="B22:B29"/>
    <mergeCell ref="B30:B3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21"/>
  <sheetViews>
    <sheetView showGridLines="0" workbookViewId="0"/>
  </sheetViews>
  <sheetFormatPr defaultColWidth="8.85546875" defaultRowHeight="14.25"/>
  <cols>
    <col min="1" max="1" width="1.7109375" style="31" customWidth="1"/>
    <col min="2" max="2" width="20.7109375" style="31" customWidth="1"/>
    <col min="3" max="5" width="30.7109375" style="31" customWidth="1"/>
    <col min="6" max="7" width="8.85546875" style="31"/>
    <col min="8" max="8" width="11" style="31" bestFit="1" customWidth="1"/>
    <col min="9" max="16384" width="8.85546875" style="31"/>
  </cols>
  <sheetData>
    <row r="2" spans="2:6" ht="15">
      <c r="B2" s="57" t="s">
        <v>147</v>
      </c>
      <c r="C2" s="30"/>
      <c r="D2" s="30"/>
    </row>
    <row r="4" spans="2:6" ht="15">
      <c r="B4" s="589" t="s">
        <v>2</v>
      </c>
      <c r="C4" s="48" t="s">
        <v>75</v>
      </c>
      <c r="D4" s="47" t="s">
        <v>76</v>
      </c>
      <c r="E4" s="79" t="s">
        <v>134</v>
      </c>
    </row>
    <row r="5" spans="2:6" ht="15">
      <c r="B5" s="589"/>
      <c r="C5" s="48" t="s">
        <v>0</v>
      </c>
      <c r="D5" s="47" t="s">
        <v>105</v>
      </c>
      <c r="E5" s="79" t="s">
        <v>135</v>
      </c>
    </row>
    <row r="6" spans="2:6">
      <c r="B6" s="577">
        <v>2022</v>
      </c>
      <c r="C6" s="578">
        <v>7774.2920020000001</v>
      </c>
      <c r="D6" s="578">
        <v>5514.4433069999986</v>
      </c>
      <c r="E6" s="579">
        <f t="shared" ref="E6:E13" si="0">+D6/C6</f>
        <v>0.70931774952386184</v>
      </c>
      <c r="F6" s="54"/>
    </row>
    <row r="7" spans="2:6">
      <c r="B7" s="139">
        <v>2021</v>
      </c>
      <c r="C7" s="378">
        <v>5285.1653020000003</v>
      </c>
      <c r="D7" s="259">
        <v>3391.3376549999998</v>
      </c>
      <c r="E7" s="357">
        <f t="shared" si="0"/>
        <v>0.64167106631776638</v>
      </c>
      <c r="F7" s="54"/>
    </row>
    <row r="8" spans="2:6">
      <c r="B8" s="139">
        <v>2020</v>
      </c>
      <c r="C8" s="378">
        <v>5997.8826410000001</v>
      </c>
      <c r="D8" s="259">
        <v>3518.736958</v>
      </c>
      <c r="E8" s="357">
        <f t="shared" si="0"/>
        <v>0.58666318909723392</v>
      </c>
      <c r="F8" s="54"/>
    </row>
    <row r="9" spans="2:6">
      <c r="B9" s="115">
        <v>2019</v>
      </c>
      <c r="C9" s="259">
        <v>8959.9869629999994</v>
      </c>
      <c r="D9" s="259">
        <v>7564.3048790000003</v>
      </c>
      <c r="E9" s="357">
        <f t="shared" si="0"/>
        <v>0.84423168362147993</v>
      </c>
      <c r="F9" s="54"/>
    </row>
    <row r="10" spans="2:6">
      <c r="B10" s="261">
        <v>2018</v>
      </c>
      <c r="C10" s="101">
        <v>7915.5502630000001</v>
      </c>
      <c r="D10" s="259">
        <v>4966.224005</v>
      </c>
      <c r="E10" s="357">
        <f t="shared" si="0"/>
        <v>0.62740098161132729</v>
      </c>
      <c r="F10" s="54"/>
    </row>
    <row r="11" spans="2:6">
      <c r="B11" s="261">
        <v>2017</v>
      </c>
      <c r="C11" s="101">
        <v>7273.8870070000003</v>
      </c>
      <c r="D11" s="259">
        <v>4311.8602339999998</v>
      </c>
      <c r="E11" s="357">
        <f t="shared" si="0"/>
        <v>0.59278625442634669</v>
      </c>
      <c r="F11" s="54"/>
    </row>
    <row r="12" spans="2:6">
      <c r="B12" s="261">
        <v>2016</v>
      </c>
      <c r="C12" s="101">
        <v>6311.9541319999998</v>
      </c>
      <c r="D12" s="259">
        <v>3887.8063849999999</v>
      </c>
      <c r="E12" s="357">
        <f t="shared" si="0"/>
        <v>0.61594338356956868</v>
      </c>
      <c r="F12" s="54"/>
    </row>
    <row r="13" spans="2:6">
      <c r="B13" s="379">
        <v>2015</v>
      </c>
      <c r="C13" s="380">
        <v>5820.5581320000001</v>
      </c>
      <c r="D13" s="381">
        <v>3644.7749399999998</v>
      </c>
      <c r="E13" s="382">
        <f t="shared" si="0"/>
        <v>0.62618993872115492</v>
      </c>
      <c r="F13" s="54"/>
    </row>
    <row r="14" spans="2:6">
      <c r="B14" s="16" t="s">
        <v>181</v>
      </c>
    </row>
    <row r="16" spans="2:6">
      <c r="C16" s="54"/>
    </row>
    <row r="17" spans="3:4">
      <c r="C17" s="54"/>
    </row>
    <row r="18" spans="3:4">
      <c r="D18" s="54"/>
    </row>
    <row r="20" spans="3:4">
      <c r="C20" s="54"/>
    </row>
    <row r="21" spans="3:4">
      <c r="C21" s="54"/>
    </row>
  </sheetData>
  <mergeCells count="1">
    <mergeCell ref="B4:B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6"/>
  <sheetViews>
    <sheetView showGridLines="0" zoomScaleNormal="100" workbookViewId="0"/>
  </sheetViews>
  <sheetFormatPr defaultColWidth="8.85546875" defaultRowHeight="14.25"/>
  <cols>
    <col min="1" max="1" width="1.7109375" style="31" customWidth="1"/>
    <col min="2" max="2" width="25.28515625" style="31" customWidth="1"/>
    <col min="3" max="3" width="21" style="31" customWidth="1"/>
    <col min="4" max="5" width="30.7109375" style="31" customWidth="1"/>
    <col min="6" max="6" width="34" style="31" customWidth="1"/>
    <col min="7" max="7" width="8.85546875" style="17"/>
    <col min="8" max="8" width="19.5703125" style="31" customWidth="1"/>
    <col min="9" max="9" width="17.140625" style="31" customWidth="1"/>
    <col min="10" max="10" width="9.5703125" style="31" customWidth="1"/>
    <col min="11" max="16384" width="8.85546875" style="31"/>
  </cols>
  <sheetData>
    <row r="1" spans="1:7" ht="14.45" customHeight="1"/>
    <row r="2" spans="1:7" ht="14.45" customHeight="1">
      <c r="B2" s="57" t="s">
        <v>148</v>
      </c>
      <c r="C2" s="30"/>
      <c r="D2" s="30"/>
      <c r="E2" s="30"/>
      <c r="F2" s="30"/>
      <c r="G2" s="58"/>
    </row>
    <row r="3" spans="1:7" ht="14.45" customHeight="1"/>
    <row r="4" spans="1:7" ht="15">
      <c r="A4" s="17"/>
      <c r="B4" s="589" t="s">
        <v>102</v>
      </c>
      <c r="C4" s="589" t="s">
        <v>2</v>
      </c>
      <c r="D4" s="5" t="s">
        <v>62</v>
      </c>
      <c r="E4" s="47" t="s">
        <v>63</v>
      </c>
      <c r="F4" s="79" t="s">
        <v>78</v>
      </c>
    </row>
    <row r="5" spans="1:7" ht="14.45" customHeight="1">
      <c r="A5" s="17"/>
      <c r="B5" s="589"/>
      <c r="C5" s="589"/>
      <c r="D5" s="48" t="s">
        <v>0</v>
      </c>
      <c r="E5" s="47" t="s">
        <v>105</v>
      </c>
      <c r="F5" s="79" t="s">
        <v>136</v>
      </c>
    </row>
    <row r="6" spans="1:7" ht="14.45" customHeight="1">
      <c r="A6" s="17"/>
      <c r="B6" s="612" t="s">
        <v>6</v>
      </c>
      <c r="C6" s="95">
        <v>2022</v>
      </c>
      <c r="D6" s="93">
        <v>4761.3015290000003</v>
      </c>
      <c r="E6" s="93">
        <v>3641.1791189999999</v>
      </c>
      <c r="F6" s="215">
        <f t="shared" ref="F6:F13" si="0">+E6/D6</f>
        <v>0.76474449198867356</v>
      </c>
    </row>
    <row r="7" spans="1:7" ht="14.45" customHeight="1">
      <c r="A7" s="17"/>
      <c r="B7" s="612"/>
      <c r="C7" s="95">
        <v>2021</v>
      </c>
      <c r="D7" s="93">
        <v>3122.9022020000002</v>
      </c>
      <c r="E7" s="93">
        <v>2169.3503649999998</v>
      </c>
      <c r="F7" s="215">
        <f t="shared" si="0"/>
        <v>0.6946584377860705</v>
      </c>
    </row>
    <row r="8" spans="1:7">
      <c r="A8" s="17"/>
      <c r="B8" s="612"/>
      <c r="C8" s="95">
        <v>2020</v>
      </c>
      <c r="D8" s="93">
        <v>3724.1653030000002</v>
      </c>
      <c r="E8" s="103">
        <v>2389.866129</v>
      </c>
      <c r="F8" s="215">
        <f t="shared" si="0"/>
        <v>0.6417185958622309</v>
      </c>
    </row>
    <row r="9" spans="1:7">
      <c r="A9" s="17"/>
      <c r="B9" s="612"/>
      <c r="C9" s="95">
        <v>2019</v>
      </c>
      <c r="D9" s="93">
        <v>6472.7181879999998</v>
      </c>
      <c r="E9" s="103">
        <v>5409.975101</v>
      </c>
      <c r="F9" s="215">
        <f t="shared" si="0"/>
        <v>0.8358119330808722</v>
      </c>
    </row>
    <row r="10" spans="1:7" hidden="1">
      <c r="A10" s="17"/>
      <c r="B10" s="612"/>
      <c r="C10" s="95">
        <v>2018</v>
      </c>
      <c r="D10" s="93">
        <v>5533.1484680000003</v>
      </c>
      <c r="E10" s="103">
        <v>3708.8367400000002</v>
      </c>
      <c r="F10" s="215">
        <f t="shared" si="0"/>
        <v>0.670294094121893</v>
      </c>
    </row>
    <row r="11" spans="1:7" hidden="1">
      <c r="A11" s="17"/>
      <c r="B11" s="612"/>
      <c r="C11" s="139">
        <v>2017</v>
      </c>
      <c r="D11" s="93">
        <v>4039.6760610000001</v>
      </c>
      <c r="E11" s="103">
        <v>2861.9008389999999</v>
      </c>
      <c r="F11" s="215">
        <f t="shared" si="0"/>
        <v>0.70844810222024379</v>
      </c>
    </row>
    <row r="12" spans="1:7" hidden="1">
      <c r="A12" s="17"/>
      <c r="B12" s="612"/>
      <c r="C12" s="95">
        <v>2016</v>
      </c>
      <c r="D12" s="93">
        <v>3579.013653</v>
      </c>
      <c r="E12" s="103">
        <v>2475.0875460000002</v>
      </c>
      <c r="F12" s="215">
        <f t="shared" si="0"/>
        <v>0.69155577093854692</v>
      </c>
    </row>
    <row r="13" spans="1:7" hidden="1">
      <c r="A13" s="17"/>
      <c r="B13" s="613"/>
      <c r="C13" s="116">
        <v>2015</v>
      </c>
      <c r="D13" s="93">
        <v>3504.7872929999999</v>
      </c>
      <c r="E13" s="183">
        <v>2390.5260280000002</v>
      </c>
      <c r="F13" s="382">
        <f t="shared" si="0"/>
        <v>0.68207449643934792</v>
      </c>
    </row>
    <row r="14" spans="1:7" ht="14.45" customHeight="1">
      <c r="A14" s="17"/>
      <c r="B14" s="614" t="s">
        <v>7</v>
      </c>
      <c r="C14" s="99">
        <v>2022</v>
      </c>
      <c r="D14" s="241">
        <v>1416.766492</v>
      </c>
      <c r="E14" s="241">
        <v>821.26960599999995</v>
      </c>
      <c r="F14" s="389">
        <f t="shared" ref="F14:F21" si="1">+E14/D14</f>
        <v>0.57967887484453573</v>
      </c>
    </row>
    <row r="15" spans="1:7">
      <c r="A15" s="17"/>
      <c r="B15" s="612"/>
      <c r="C15" s="95">
        <v>2021</v>
      </c>
      <c r="D15" s="93">
        <v>1274.4105770000001</v>
      </c>
      <c r="E15" s="213">
        <v>680.13383299999998</v>
      </c>
      <c r="F15" s="215">
        <f t="shared" si="1"/>
        <v>0.5336850189999639</v>
      </c>
    </row>
    <row r="16" spans="1:7">
      <c r="A16" s="17"/>
      <c r="B16" s="612"/>
      <c r="C16" s="95">
        <v>2020</v>
      </c>
      <c r="D16" s="93">
        <v>1250.320856</v>
      </c>
      <c r="E16" s="103">
        <v>549.09177</v>
      </c>
      <c r="F16" s="215">
        <f t="shared" si="1"/>
        <v>0.43916069012608711</v>
      </c>
    </row>
    <row r="17" spans="1:6">
      <c r="A17" s="17"/>
      <c r="B17" s="612"/>
      <c r="C17" s="95">
        <v>2019</v>
      </c>
      <c r="D17" s="93">
        <v>1112.0462600000001</v>
      </c>
      <c r="E17" s="103">
        <v>938.491804</v>
      </c>
      <c r="F17" s="215">
        <f t="shared" si="1"/>
        <v>0.84393234144773788</v>
      </c>
    </row>
    <row r="18" spans="1:6" hidden="1">
      <c r="A18" s="17"/>
      <c r="B18" s="612"/>
      <c r="C18" s="95">
        <v>2018</v>
      </c>
      <c r="D18" s="93">
        <v>993.68470300000001</v>
      </c>
      <c r="E18" s="103">
        <v>419.81725799999998</v>
      </c>
      <c r="F18" s="215">
        <f t="shared" si="1"/>
        <v>0.42248537864429614</v>
      </c>
    </row>
    <row r="19" spans="1:6" hidden="1">
      <c r="A19" s="17"/>
      <c r="B19" s="612"/>
      <c r="C19" s="95">
        <v>2017</v>
      </c>
      <c r="D19" s="93">
        <v>1529.97714</v>
      </c>
      <c r="E19" s="103">
        <v>553.68532700000003</v>
      </c>
      <c r="F19" s="215">
        <f t="shared" si="1"/>
        <v>0.36189124172142861</v>
      </c>
    </row>
    <row r="20" spans="1:6" hidden="1">
      <c r="B20" s="612"/>
      <c r="C20" s="95">
        <v>2016</v>
      </c>
      <c r="D20" s="93">
        <v>1287.1663570000001</v>
      </c>
      <c r="E20" s="103">
        <v>564.99148500000001</v>
      </c>
      <c r="F20" s="215">
        <f t="shared" si="1"/>
        <v>0.43894208540132001</v>
      </c>
    </row>
    <row r="21" spans="1:6" hidden="1">
      <c r="B21" s="613"/>
      <c r="C21" s="95">
        <v>2015</v>
      </c>
      <c r="D21" s="183">
        <v>1059.231147</v>
      </c>
      <c r="E21" s="347">
        <v>499.06385499999999</v>
      </c>
      <c r="F21" s="382">
        <f t="shared" si="1"/>
        <v>0.47115670306096086</v>
      </c>
    </row>
    <row r="22" spans="1:6">
      <c r="B22" s="383"/>
      <c r="C22" s="99">
        <v>2022</v>
      </c>
      <c r="D22" s="241">
        <v>608.70327799999995</v>
      </c>
      <c r="E22" s="241">
        <v>391.46681799999999</v>
      </c>
      <c r="F22" s="389">
        <f t="shared" ref="F22:F29" si="2">+E22/D22</f>
        <v>0.6431160010937218</v>
      </c>
    </row>
    <row r="23" spans="1:6">
      <c r="B23" s="384"/>
      <c r="C23" s="95">
        <v>2021</v>
      </c>
      <c r="D23" s="93">
        <v>197.73325600000001</v>
      </c>
      <c r="E23" s="213">
        <v>93.0488</v>
      </c>
      <c r="F23" s="215">
        <f t="shared" si="2"/>
        <v>0.47057739240383517</v>
      </c>
    </row>
    <row r="24" spans="1:6">
      <c r="B24" s="384"/>
      <c r="C24" s="95">
        <v>2020</v>
      </c>
      <c r="D24" s="93">
        <v>343.25355300000001</v>
      </c>
      <c r="E24" s="103">
        <v>152.222812</v>
      </c>
      <c r="F24" s="215">
        <f t="shared" si="2"/>
        <v>0.44347046278061397</v>
      </c>
    </row>
    <row r="25" spans="1:6">
      <c r="B25" s="385" t="s">
        <v>9</v>
      </c>
      <c r="C25" s="95">
        <v>2019</v>
      </c>
      <c r="D25" s="183">
        <v>565.894316</v>
      </c>
      <c r="E25" s="103">
        <v>492.07938799999999</v>
      </c>
      <c r="F25" s="222">
        <f t="shared" si="2"/>
        <v>0.86956057710252732</v>
      </c>
    </row>
    <row r="26" spans="1:6" hidden="1">
      <c r="B26" s="385"/>
      <c r="C26" s="95">
        <v>2018</v>
      </c>
      <c r="D26" s="93">
        <v>558.74794499999996</v>
      </c>
      <c r="E26" s="103">
        <v>337.79621700000001</v>
      </c>
      <c r="F26" s="215">
        <f t="shared" si="2"/>
        <v>0.60455921139897895</v>
      </c>
    </row>
    <row r="27" spans="1:6" hidden="1">
      <c r="B27" s="385"/>
      <c r="C27" s="95">
        <v>2017</v>
      </c>
      <c r="D27" s="92">
        <v>826.28794300000004</v>
      </c>
      <c r="E27" s="93">
        <v>484.248942</v>
      </c>
      <c r="F27" s="215">
        <f t="shared" si="2"/>
        <v>0.586053501206661</v>
      </c>
    </row>
    <row r="28" spans="1:6" hidden="1">
      <c r="B28" s="385"/>
      <c r="C28" s="95">
        <v>2016</v>
      </c>
      <c r="D28" s="92">
        <v>674.24427900000001</v>
      </c>
      <c r="E28" s="93">
        <v>453.98168299999998</v>
      </c>
      <c r="F28" s="215">
        <f t="shared" si="2"/>
        <v>0.67331929560206172</v>
      </c>
    </row>
    <row r="29" spans="1:6" hidden="1">
      <c r="B29" s="385"/>
      <c r="C29" s="95">
        <v>2015</v>
      </c>
      <c r="D29" s="183">
        <v>542.67995299999995</v>
      </c>
      <c r="E29" s="183">
        <v>364.91022900000002</v>
      </c>
      <c r="F29" s="382">
        <f t="shared" si="2"/>
        <v>0.67242253372864147</v>
      </c>
    </row>
    <row r="30" spans="1:6">
      <c r="B30" s="383"/>
      <c r="C30" s="99">
        <v>2022</v>
      </c>
      <c r="D30" s="93">
        <v>623.06765399999995</v>
      </c>
      <c r="E30" s="224">
        <v>430.46824400000003</v>
      </c>
      <c r="F30" s="215">
        <f t="shared" ref="F30:F37" si="3">+E30/D30</f>
        <v>0.69088523731967</v>
      </c>
    </row>
    <row r="31" spans="1:6">
      <c r="B31" s="384"/>
      <c r="C31" s="95">
        <v>2021</v>
      </c>
      <c r="D31" s="93">
        <v>499.33347600000002</v>
      </c>
      <c r="E31" s="213">
        <v>364.79410000000001</v>
      </c>
      <c r="F31" s="215">
        <f t="shared" si="3"/>
        <v>0.73056207431203757</v>
      </c>
    </row>
    <row r="32" spans="1:6">
      <c r="B32" s="384"/>
      <c r="C32" s="95">
        <v>2020</v>
      </c>
      <c r="D32" s="93">
        <v>458.67004200000002</v>
      </c>
      <c r="E32" s="213">
        <v>320.46862900000002</v>
      </c>
      <c r="F32" s="215">
        <f t="shared" si="3"/>
        <v>0.69869099713296734</v>
      </c>
    </row>
    <row r="33" spans="1:6">
      <c r="A33" s="17"/>
      <c r="B33" s="385" t="s">
        <v>8</v>
      </c>
      <c r="C33" s="98">
        <v>2019</v>
      </c>
      <c r="D33" s="183">
        <v>515.52237700000001</v>
      </c>
      <c r="E33" s="103">
        <v>467.90824700000002</v>
      </c>
      <c r="F33" s="222">
        <f t="shared" si="3"/>
        <v>0.90763906258137073</v>
      </c>
    </row>
    <row r="34" spans="1:6" hidden="1">
      <c r="A34" s="17"/>
      <c r="B34" s="385"/>
      <c r="C34" s="95">
        <v>2018</v>
      </c>
      <c r="D34" s="93">
        <v>481.12262099999998</v>
      </c>
      <c r="E34" s="103">
        <v>296.726001</v>
      </c>
      <c r="F34" s="215">
        <f t="shared" si="3"/>
        <v>0.61673674869675277</v>
      </c>
    </row>
    <row r="35" spans="1:6" ht="16.149999999999999" hidden="1" customHeight="1">
      <c r="B35" s="385"/>
      <c r="C35" s="95">
        <v>2017</v>
      </c>
      <c r="D35" s="93">
        <v>565.82144700000003</v>
      </c>
      <c r="E35" s="103">
        <v>254.45758799999999</v>
      </c>
      <c r="F35" s="215">
        <f t="shared" si="3"/>
        <v>0.44971357899058212</v>
      </c>
    </row>
    <row r="36" spans="1:6" hidden="1">
      <c r="B36" s="385"/>
      <c r="C36" s="95">
        <v>2016</v>
      </c>
      <c r="D36" s="93">
        <v>497.949141</v>
      </c>
      <c r="E36" s="103">
        <v>257.11435399999999</v>
      </c>
      <c r="F36" s="215">
        <f t="shared" si="3"/>
        <v>0.51634661620994737</v>
      </c>
    </row>
    <row r="37" spans="1:6" hidden="1">
      <c r="B37" s="385"/>
      <c r="C37" s="98">
        <v>2015</v>
      </c>
      <c r="D37" s="117">
        <v>465.57901600000002</v>
      </c>
      <c r="E37" s="93">
        <v>272.45214199999998</v>
      </c>
      <c r="F37" s="382">
        <f t="shared" si="3"/>
        <v>0.58518990898850987</v>
      </c>
    </row>
    <row r="38" spans="1:6">
      <c r="B38" s="383"/>
      <c r="C38" s="95">
        <v>2022</v>
      </c>
      <c r="D38" s="93">
        <v>201.40641099999999</v>
      </c>
      <c r="E38" s="241">
        <v>136.652176</v>
      </c>
      <c r="F38" s="215">
        <f t="shared" ref="F38:F45" si="4">+E38/D38</f>
        <v>0.67848970309093093</v>
      </c>
    </row>
    <row r="39" spans="1:6">
      <c r="B39" s="384"/>
      <c r="C39" s="95">
        <v>2021</v>
      </c>
      <c r="D39" s="93">
        <v>76.960494999999995</v>
      </c>
      <c r="E39" s="213">
        <v>40.481777999999998</v>
      </c>
      <c r="F39" s="215">
        <f t="shared" si="4"/>
        <v>0.52600724566545476</v>
      </c>
    </row>
    <row r="40" spans="1:6">
      <c r="B40" s="384"/>
      <c r="C40" s="95">
        <v>2020</v>
      </c>
      <c r="D40" s="93">
        <v>90.308858999999998</v>
      </c>
      <c r="E40" s="103">
        <v>48.979379999999999</v>
      </c>
      <c r="F40" s="215">
        <f t="shared" si="4"/>
        <v>0.5423541006093322</v>
      </c>
    </row>
    <row r="41" spans="1:6">
      <c r="B41" s="385" t="s">
        <v>10</v>
      </c>
      <c r="C41" s="95">
        <v>2019</v>
      </c>
      <c r="D41" s="183">
        <v>169.747964</v>
      </c>
      <c r="E41" s="103">
        <v>151.542723</v>
      </c>
      <c r="F41" s="215">
        <f t="shared" si="4"/>
        <v>0.89275134398666478</v>
      </c>
    </row>
    <row r="42" spans="1:6" hidden="1">
      <c r="B42" s="385"/>
      <c r="C42" s="95">
        <v>2018</v>
      </c>
      <c r="D42" s="92">
        <v>229.280035</v>
      </c>
      <c r="E42" s="93">
        <v>150.64923400000001</v>
      </c>
      <c r="F42" s="215">
        <f t="shared" si="4"/>
        <v>0.65705343249794956</v>
      </c>
    </row>
    <row r="43" spans="1:6" hidden="1">
      <c r="B43" s="385"/>
      <c r="C43" s="95">
        <v>2017</v>
      </c>
      <c r="D43" s="92">
        <v>198.68786499999999</v>
      </c>
      <c r="E43" s="93">
        <v>116.39703</v>
      </c>
      <c r="F43" s="215">
        <f t="shared" si="4"/>
        <v>0.58582858092516121</v>
      </c>
    </row>
    <row r="44" spans="1:6" hidden="1">
      <c r="B44" s="385"/>
      <c r="C44" s="95">
        <v>2016</v>
      </c>
      <c r="D44" s="92">
        <v>159.53429299999999</v>
      </c>
      <c r="E44" s="93">
        <v>94.033214000000001</v>
      </c>
      <c r="F44" s="215">
        <f t="shared" si="4"/>
        <v>0.58942320319807362</v>
      </c>
    </row>
    <row r="45" spans="1:6" hidden="1">
      <c r="B45" s="385"/>
      <c r="C45" s="95">
        <v>2015</v>
      </c>
      <c r="D45" s="117">
        <v>162.040368</v>
      </c>
      <c r="E45" s="183">
        <v>84.574543000000006</v>
      </c>
      <c r="F45" s="222">
        <f t="shared" si="4"/>
        <v>0.5219350217718588</v>
      </c>
    </row>
    <row r="46" spans="1:6">
      <c r="B46" s="383"/>
      <c r="C46" s="99">
        <v>2022</v>
      </c>
      <c r="D46" s="93">
        <v>20.186634000000002</v>
      </c>
      <c r="E46" s="224">
        <v>8.8318049999999992</v>
      </c>
      <c r="F46" s="389">
        <f t="shared" ref="F46:F53" si="5">+E46/D46</f>
        <v>0.43750756069585445</v>
      </c>
    </row>
    <row r="47" spans="1:6">
      <c r="B47" s="384"/>
      <c r="C47" s="95">
        <v>2021</v>
      </c>
      <c r="D47" s="93">
        <v>17.713208999999999</v>
      </c>
      <c r="E47" s="213">
        <v>7.8377400000000002</v>
      </c>
      <c r="F47" s="215">
        <f t="shared" si="5"/>
        <v>0.44247995944721258</v>
      </c>
    </row>
    <row r="48" spans="1:6">
      <c r="B48" s="384"/>
      <c r="C48" s="95">
        <v>2020</v>
      </c>
      <c r="D48" s="93">
        <v>14.716481</v>
      </c>
      <c r="E48" s="213">
        <v>3.920442</v>
      </c>
      <c r="F48" s="215">
        <f t="shared" si="5"/>
        <v>0.26639806078640677</v>
      </c>
    </row>
    <row r="49" spans="2:8">
      <c r="B49" s="385" t="s">
        <v>11</v>
      </c>
      <c r="C49" s="95">
        <v>2019</v>
      </c>
      <c r="D49" s="183">
        <v>18.449012</v>
      </c>
      <c r="E49" s="93">
        <v>14.346738999999999</v>
      </c>
      <c r="F49" s="222">
        <f t="shared" si="5"/>
        <v>0.77764267268079179</v>
      </c>
    </row>
    <row r="50" spans="2:8" hidden="1">
      <c r="B50" s="385"/>
      <c r="C50" s="95">
        <v>2018</v>
      </c>
      <c r="D50" s="92">
        <v>15.711026</v>
      </c>
      <c r="E50" s="93">
        <v>2.802584</v>
      </c>
      <c r="F50" s="215">
        <f t="shared" si="5"/>
        <v>0.17838325771976954</v>
      </c>
    </row>
    <row r="51" spans="2:8" hidden="1">
      <c r="B51" s="385"/>
      <c r="C51" s="95">
        <v>2017</v>
      </c>
      <c r="D51" s="92">
        <v>17.996300000000002</v>
      </c>
      <c r="E51" s="93">
        <v>1.503959</v>
      </c>
      <c r="F51" s="215">
        <f t="shared" si="5"/>
        <v>8.3570456149319572E-2</v>
      </c>
    </row>
    <row r="52" spans="2:8" hidden="1">
      <c r="B52" s="385"/>
      <c r="C52" s="95">
        <v>2016</v>
      </c>
      <c r="D52" s="92">
        <v>10.910818000000001</v>
      </c>
      <c r="E52" s="93">
        <v>1.114441</v>
      </c>
      <c r="F52" s="215">
        <f t="shared" si="5"/>
        <v>0.10214092105651473</v>
      </c>
    </row>
    <row r="53" spans="2:8" hidden="1">
      <c r="B53" s="386"/>
      <c r="C53" s="95">
        <v>2015</v>
      </c>
      <c r="D53" s="183">
        <v>12.481769999999999</v>
      </c>
      <c r="E53" s="183">
        <v>5.8403419999999997</v>
      </c>
      <c r="F53" s="222">
        <f t="shared" si="5"/>
        <v>0.46790975959339098</v>
      </c>
    </row>
    <row r="54" spans="2:8" ht="15" customHeight="1">
      <c r="B54" s="614" t="s">
        <v>12</v>
      </c>
      <c r="C54" s="99">
        <v>2022</v>
      </c>
      <c r="D54" s="93">
        <v>27.582287999999998</v>
      </c>
      <c r="E54" s="224">
        <v>11.189436000000001</v>
      </c>
      <c r="F54" s="215">
        <f t="shared" ref="F54:F61" si="6">+E54/D54</f>
        <v>0.40567468514577187</v>
      </c>
      <c r="G54" s="16"/>
      <c r="H54" s="61"/>
    </row>
    <row r="55" spans="2:8">
      <c r="B55" s="612"/>
      <c r="C55" s="95">
        <v>2021</v>
      </c>
      <c r="D55" s="103">
        <v>13.571825</v>
      </c>
      <c r="E55" s="213">
        <v>5.3486630000000002</v>
      </c>
      <c r="F55" s="215">
        <f t="shared" si="6"/>
        <v>0.39410049864332908</v>
      </c>
      <c r="G55" s="16"/>
      <c r="H55" s="61"/>
    </row>
    <row r="56" spans="2:8">
      <c r="B56" s="612"/>
      <c r="C56" s="95">
        <v>2020</v>
      </c>
      <c r="D56" s="103">
        <v>14.729179</v>
      </c>
      <c r="E56" s="213">
        <v>8.6283799999999999</v>
      </c>
      <c r="F56" s="215">
        <f t="shared" si="6"/>
        <v>0.58580182914472012</v>
      </c>
      <c r="G56" s="16"/>
      <c r="H56" s="61"/>
    </row>
    <row r="57" spans="2:8">
      <c r="B57" s="612"/>
      <c r="C57" s="95">
        <v>2019</v>
      </c>
      <c r="D57" s="183">
        <v>19.707585000000002</v>
      </c>
      <c r="E57" s="103">
        <v>19.432687000000001</v>
      </c>
      <c r="F57" s="222">
        <f t="shared" si="6"/>
        <v>0.9860511574604397</v>
      </c>
      <c r="G57" s="16"/>
      <c r="H57" s="61"/>
    </row>
    <row r="58" spans="2:8" hidden="1">
      <c r="B58" s="612"/>
      <c r="C58" s="95">
        <v>2018</v>
      </c>
      <c r="D58" s="103">
        <v>22.046105000000001</v>
      </c>
      <c r="E58" s="93">
        <v>9.962904</v>
      </c>
      <c r="F58" s="215">
        <f t="shared" si="6"/>
        <v>0.45191220852844527</v>
      </c>
      <c r="G58" s="16"/>
      <c r="H58" s="61"/>
    </row>
    <row r="59" spans="2:8" hidden="1">
      <c r="B59" s="612"/>
      <c r="C59" s="95">
        <v>2017</v>
      </c>
      <c r="D59" s="103">
        <v>20.947258999999999</v>
      </c>
      <c r="E59" s="93">
        <v>6.4935700000000001</v>
      </c>
      <c r="F59" s="215">
        <f t="shared" si="6"/>
        <v>0.3099961670402796</v>
      </c>
      <c r="G59" s="16"/>
      <c r="H59" s="61"/>
    </row>
    <row r="60" spans="2:8" hidden="1">
      <c r="B60" s="612"/>
      <c r="C60" s="95">
        <v>2016</v>
      </c>
      <c r="D60" s="103">
        <v>36.113754999999998</v>
      </c>
      <c r="E60" s="93">
        <v>6.3578229999999998</v>
      </c>
      <c r="F60" s="215">
        <f t="shared" si="6"/>
        <v>0.17604990120800232</v>
      </c>
      <c r="G60" s="16"/>
      <c r="H60" s="61"/>
    </row>
    <row r="61" spans="2:8" ht="13.9" hidden="1" customHeight="1">
      <c r="B61" s="613"/>
      <c r="C61" s="98">
        <v>2015</v>
      </c>
      <c r="D61" s="183">
        <v>9.392182</v>
      </c>
      <c r="E61" s="183">
        <v>5.0377489999999998</v>
      </c>
      <c r="F61" s="222">
        <f t="shared" si="6"/>
        <v>0.53637685044859651</v>
      </c>
      <c r="G61" s="16"/>
      <c r="H61" s="61"/>
    </row>
    <row r="62" spans="2:8" ht="13.9" customHeight="1">
      <c r="B62" s="531"/>
      <c r="C62" s="99">
        <v>2022</v>
      </c>
      <c r="D62" s="93">
        <v>32.758229999999998</v>
      </c>
      <c r="E62" s="224">
        <v>21.232624000000001</v>
      </c>
      <c r="F62" s="215">
        <f t="shared" ref="F62:F69" si="7">+E62/D62</f>
        <v>0.64816151544207368</v>
      </c>
      <c r="G62" s="16"/>
      <c r="H62" s="61"/>
    </row>
    <row r="63" spans="2:8" ht="13.9" customHeight="1">
      <c r="B63" s="384"/>
      <c r="C63" s="95">
        <v>2021</v>
      </c>
      <c r="D63" s="93">
        <v>25.279558999999999</v>
      </c>
      <c r="E63" s="213">
        <v>11.829629000000001</v>
      </c>
      <c r="F63" s="215">
        <f t="shared" si="7"/>
        <v>0.46795234837759636</v>
      </c>
      <c r="G63" s="16"/>
      <c r="H63" s="61"/>
    </row>
    <row r="64" spans="2:8" ht="13.9" customHeight="1">
      <c r="B64" s="384"/>
      <c r="C64" s="95">
        <v>2020</v>
      </c>
      <c r="D64" s="93">
        <v>33.124395</v>
      </c>
      <c r="E64" s="213">
        <v>18.255127000000002</v>
      </c>
      <c r="F64" s="215">
        <f t="shared" si="7"/>
        <v>0.551108239108971</v>
      </c>
      <c r="G64" s="16"/>
      <c r="H64" s="61"/>
    </row>
    <row r="65" spans="2:8">
      <c r="B65" s="385" t="s">
        <v>13</v>
      </c>
      <c r="C65" s="95">
        <v>2019</v>
      </c>
      <c r="D65" s="93">
        <v>33.706992</v>
      </c>
      <c r="E65" s="103">
        <v>28.811800999999999</v>
      </c>
      <c r="F65" s="215">
        <f t="shared" si="7"/>
        <v>0.85477223835339566</v>
      </c>
      <c r="G65" s="16"/>
      <c r="H65" s="61"/>
    </row>
    <row r="66" spans="2:8" hidden="1">
      <c r="B66" s="385"/>
      <c r="C66" s="133">
        <v>2018</v>
      </c>
      <c r="D66" s="93">
        <v>34.597166000000001</v>
      </c>
      <c r="E66" s="103">
        <v>24.696736999999999</v>
      </c>
      <c r="F66" s="215">
        <f t="shared" si="7"/>
        <v>0.71383699462551353</v>
      </c>
      <c r="G66" s="16"/>
      <c r="H66" s="61"/>
    </row>
    <row r="67" spans="2:8" hidden="1">
      <c r="B67" s="385"/>
      <c r="C67" s="133">
        <v>2017</v>
      </c>
      <c r="D67" s="92">
        <v>31.352875999999998</v>
      </c>
      <c r="E67" s="93">
        <v>21.305910000000001</v>
      </c>
      <c r="F67" s="215">
        <f t="shared" si="7"/>
        <v>0.67955201302744928</v>
      </c>
      <c r="G67" s="16"/>
      <c r="H67" s="61"/>
    </row>
    <row r="68" spans="2:8" hidden="1">
      <c r="B68" s="385"/>
      <c r="C68" s="133">
        <v>2016</v>
      </c>
      <c r="D68" s="92">
        <v>26.687366999999998</v>
      </c>
      <c r="E68" s="93">
        <v>18.660886999999999</v>
      </c>
      <c r="F68" s="215">
        <f t="shared" si="7"/>
        <v>0.69924046834594056</v>
      </c>
      <c r="G68" s="16"/>
      <c r="H68" s="61"/>
    </row>
    <row r="69" spans="2:8" hidden="1">
      <c r="B69" s="385"/>
      <c r="C69" s="133">
        <v>2015</v>
      </c>
      <c r="D69" s="117">
        <v>28.677201</v>
      </c>
      <c r="E69" s="183">
        <v>13.9772</v>
      </c>
      <c r="F69" s="382">
        <f t="shared" si="7"/>
        <v>0.48739763688931842</v>
      </c>
      <c r="G69" s="16"/>
      <c r="H69" s="61"/>
    </row>
    <row r="70" spans="2:8">
      <c r="B70" s="383"/>
      <c r="C70" s="374">
        <v>2022</v>
      </c>
      <c r="D70" s="241">
        <v>12.647297</v>
      </c>
      <c r="E70" s="224">
        <v>9.4825230000000005</v>
      </c>
      <c r="F70" s="389">
        <f t="shared" ref="F70:F77" si="8">+E70/D70</f>
        <v>0.74976676834583711</v>
      </c>
    </row>
    <row r="71" spans="2:8">
      <c r="B71" s="384"/>
      <c r="C71" s="133">
        <v>2021</v>
      </c>
      <c r="D71" s="103">
        <v>9.8746290000000005</v>
      </c>
      <c r="E71" s="213">
        <v>7.2541909999999996</v>
      </c>
      <c r="F71" s="215">
        <f t="shared" si="8"/>
        <v>0.73462921999398656</v>
      </c>
    </row>
    <row r="72" spans="2:8">
      <c r="B72" s="384"/>
      <c r="C72" s="133">
        <v>2020</v>
      </c>
      <c r="D72" s="93">
        <v>9.9233619999999991</v>
      </c>
      <c r="E72" s="213">
        <v>5.7074749999999996</v>
      </c>
      <c r="F72" s="215">
        <f t="shared" si="8"/>
        <v>0.57515537576881703</v>
      </c>
    </row>
    <row r="73" spans="2:8">
      <c r="B73" s="385" t="s">
        <v>14</v>
      </c>
      <c r="C73" s="98">
        <v>2019</v>
      </c>
      <c r="D73" s="183">
        <v>5.4138440000000001</v>
      </c>
      <c r="E73" s="103">
        <v>4.9167129999999997</v>
      </c>
      <c r="F73" s="222">
        <f t="shared" si="8"/>
        <v>0.90817411805733594</v>
      </c>
    </row>
    <row r="74" spans="2:8" hidden="1">
      <c r="B74" s="385"/>
      <c r="C74" s="95">
        <v>2018</v>
      </c>
      <c r="D74" s="93">
        <v>4.3419080000000001</v>
      </c>
      <c r="E74" s="103">
        <v>2.487581</v>
      </c>
      <c r="F74" s="215">
        <f t="shared" si="8"/>
        <v>0.57292347051112091</v>
      </c>
    </row>
    <row r="75" spans="2:8" hidden="1">
      <c r="B75" s="385"/>
      <c r="C75" s="95">
        <v>2017</v>
      </c>
      <c r="D75" s="93">
        <v>4.0146620000000004</v>
      </c>
      <c r="E75" s="103">
        <v>1.3895919999999999</v>
      </c>
      <c r="F75" s="215">
        <f t="shared" si="8"/>
        <v>0.3461292631857924</v>
      </c>
    </row>
    <row r="76" spans="2:8" hidden="1">
      <c r="B76" s="385"/>
      <c r="C76" s="95">
        <v>2016</v>
      </c>
      <c r="D76" s="92">
        <v>2.8413919999999999</v>
      </c>
      <c r="E76" s="93">
        <v>1.3154349999999999</v>
      </c>
      <c r="F76" s="215">
        <f t="shared" si="8"/>
        <v>0.46295442515499441</v>
      </c>
    </row>
    <row r="77" spans="2:8" hidden="1">
      <c r="B77" s="385"/>
      <c r="C77" s="98">
        <v>2015</v>
      </c>
      <c r="D77" s="183">
        <v>2.8555730000000001</v>
      </c>
      <c r="E77" s="183">
        <v>1.4721919999999999</v>
      </c>
      <c r="F77" s="222">
        <f t="shared" si="8"/>
        <v>0.51555046920530478</v>
      </c>
    </row>
    <row r="78" spans="2:8">
      <c r="B78" s="187"/>
      <c r="C78" s="95">
        <v>2022</v>
      </c>
      <c r="D78" s="93">
        <v>23.7072</v>
      </c>
      <c r="E78" s="224">
        <v>15.087806</v>
      </c>
      <c r="F78" s="215">
        <f t="shared" ref="F78:F85" si="9">+E78/D78</f>
        <v>0.63642294324087201</v>
      </c>
    </row>
    <row r="79" spans="2:8" ht="15">
      <c r="B79" s="384"/>
      <c r="C79" s="95">
        <v>2021</v>
      </c>
      <c r="D79" s="93">
        <v>18.425757000000001</v>
      </c>
      <c r="E79" s="213">
        <v>5.7521690000000003</v>
      </c>
      <c r="F79" s="215">
        <f t="shared" si="9"/>
        <v>0.31218087810449252</v>
      </c>
      <c r="H79" s="145"/>
    </row>
    <row r="80" spans="2:8" ht="15">
      <c r="B80" s="384"/>
      <c r="C80" s="95">
        <v>2020</v>
      </c>
      <c r="D80" s="93">
        <v>20.716608999999998</v>
      </c>
      <c r="E80" s="213">
        <v>12.159938</v>
      </c>
      <c r="F80" s="215">
        <f t="shared" si="9"/>
        <v>0.58696565639675879</v>
      </c>
      <c r="H80" s="145"/>
    </row>
    <row r="81" spans="2:8" ht="15">
      <c r="B81" s="387" t="s">
        <v>15</v>
      </c>
      <c r="C81" s="95">
        <v>2019</v>
      </c>
      <c r="D81" s="93">
        <v>22.002832999999999</v>
      </c>
      <c r="E81" s="103">
        <v>17.243189000000001</v>
      </c>
      <c r="F81" s="222">
        <f t="shared" si="9"/>
        <v>0.78368040151920448</v>
      </c>
      <c r="H81" s="145"/>
    </row>
    <row r="82" spans="2:8" ht="15" hidden="1">
      <c r="B82" s="387"/>
      <c r="C82" s="95">
        <v>2018</v>
      </c>
      <c r="D82" s="93">
        <v>16.354733</v>
      </c>
      <c r="E82" s="103">
        <v>4.506348</v>
      </c>
      <c r="F82" s="215">
        <f t="shared" si="9"/>
        <v>0.27553785194781233</v>
      </c>
      <c r="H82" s="145"/>
    </row>
    <row r="83" spans="2:8" ht="15" hidden="1">
      <c r="B83" s="387"/>
      <c r="C83" s="95">
        <v>2017</v>
      </c>
      <c r="D83" s="92">
        <v>23.593482000000002</v>
      </c>
      <c r="E83" s="93">
        <v>7.6092019999999998</v>
      </c>
      <c r="F83" s="215">
        <f t="shared" si="9"/>
        <v>0.32251288724572319</v>
      </c>
      <c r="H83" s="145"/>
    </row>
    <row r="84" spans="2:8" ht="15" hidden="1">
      <c r="B84" s="387"/>
      <c r="C84" s="95">
        <v>2016</v>
      </c>
      <c r="D84" s="92">
        <v>24.553011000000001</v>
      </c>
      <c r="E84" s="20">
        <v>12.811546999999999</v>
      </c>
      <c r="F84" s="215">
        <f t="shared" si="9"/>
        <v>0.52179127847089701</v>
      </c>
      <c r="H84" s="145"/>
    </row>
    <row r="85" spans="2:8" ht="15" hidden="1">
      <c r="B85" s="388"/>
      <c r="C85" s="98">
        <v>2015</v>
      </c>
      <c r="D85" s="92">
        <v>19.096813000000001</v>
      </c>
      <c r="E85" s="183">
        <v>4.7104379999999999</v>
      </c>
      <c r="F85" s="222">
        <f t="shared" si="9"/>
        <v>0.24666094808594499</v>
      </c>
      <c r="H85" s="145"/>
    </row>
    <row r="86" spans="2:8" ht="15">
      <c r="B86" s="531"/>
      <c r="C86" s="99">
        <v>2022</v>
      </c>
      <c r="D86" s="241">
        <v>23.323186</v>
      </c>
      <c r="E86" s="224">
        <v>15.89161</v>
      </c>
      <c r="F86" s="215">
        <f t="shared" ref="F86:F93" si="10">+E86/D86</f>
        <v>0.68136531604215655</v>
      </c>
      <c r="H86" s="145"/>
    </row>
    <row r="87" spans="2:8" ht="15">
      <c r="B87" s="384"/>
      <c r="C87" s="95">
        <v>2021</v>
      </c>
      <c r="D87" s="20">
        <v>14.911142</v>
      </c>
      <c r="E87" s="213">
        <v>0.43354399999999998</v>
      </c>
      <c r="F87" s="215">
        <f t="shared" si="10"/>
        <v>2.907517076827516E-2</v>
      </c>
      <c r="H87" s="145"/>
    </row>
    <row r="88" spans="2:8" ht="15">
      <c r="B88" s="384"/>
      <c r="C88" s="95">
        <v>2020</v>
      </c>
      <c r="D88" s="93">
        <v>14.911142</v>
      </c>
      <c r="E88" s="213">
        <v>0.55801100000000003</v>
      </c>
      <c r="F88" s="215">
        <f t="shared" si="10"/>
        <v>3.7422418752366522E-2</v>
      </c>
      <c r="H88" s="145"/>
    </row>
    <row r="89" spans="2:8" ht="15">
      <c r="B89" s="385" t="s">
        <v>16</v>
      </c>
      <c r="C89" s="95">
        <v>2019</v>
      </c>
      <c r="D89" s="183">
        <v>8.7794159999999994</v>
      </c>
      <c r="E89" s="103">
        <v>6.729965</v>
      </c>
      <c r="F89" s="222">
        <f t="shared" si="10"/>
        <v>0.76656180775577787</v>
      </c>
      <c r="H89" s="145"/>
    </row>
    <row r="90" spans="2:8" ht="15" hidden="1">
      <c r="B90" s="385"/>
      <c r="C90" s="95">
        <v>2018</v>
      </c>
      <c r="D90" s="93">
        <v>17.636939999999999</v>
      </c>
      <c r="E90" s="103">
        <v>4.1320600000000001</v>
      </c>
      <c r="F90" s="215">
        <f t="shared" si="10"/>
        <v>0.23428440534469133</v>
      </c>
      <c r="H90" s="145"/>
    </row>
    <row r="91" spans="2:8" ht="15" hidden="1">
      <c r="B91" s="385"/>
      <c r="C91" s="95">
        <v>2017</v>
      </c>
      <c r="D91" s="93">
        <v>8.5871980000000008</v>
      </c>
      <c r="E91" s="103">
        <v>1.066721</v>
      </c>
      <c r="F91" s="215">
        <f t="shared" si="10"/>
        <v>0.12422224339068459</v>
      </c>
      <c r="H91" s="145"/>
    </row>
    <row r="92" spans="2:8" ht="15" hidden="1">
      <c r="B92" s="385"/>
      <c r="C92" s="95">
        <v>2016</v>
      </c>
      <c r="D92" s="92">
        <v>8.356204</v>
      </c>
      <c r="E92" s="93">
        <v>1.4988870000000001</v>
      </c>
      <c r="F92" s="215">
        <f t="shared" si="10"/>
        <v>0.17937415122943384</v>
      </c>
      <c r="H92" s="145"/>
    </row>
    <row r="93" spans="2:8" ht="15" hidden="1">
      <c r="B93" s="385"/>
      <c r="C93" s="95">
        <v>2015</v>
      </c>
      <c r="D93" s="183">
        <v>9.1076110000000003</v>
      </c>
      <c r="E93" s="183">
        <v>1.1681919999999999</v>
      </c>
      <c r="F93" s="222">
        <f t="shared" si="10"/>
        <v>0.12826546939696917</v>
      </c>
      <c r="H93" s="145"/>
    </row>
    <row r="94" spans="2:8" ht="14.45" customHeight="1">
      <c r="B94" s="614" t="s">
        <v>17</v>
      </c>
      <c r="C94" s="99">
        <v>2022</v>
      </c>
      <c r="D94" s="93">
        <v>8.8693639999999991</v>
      </c>
      <c r="E94" s="224">
        <v>5.3988899999999997</v>
      </c>
      <c r="F94" s="215">
        <f t="shared" ref="F94:F101" si="11">+E94/D94</f>
        <v>0.60871219176482105</v>
      </c>
      <c r="H94" s="145"/>
    </row>
    <row r="95" spans="2:8">
      <c r="B95" s="612"/>
      <c r="C95" s="95">
        <v>2021</v>
      </c>
      <c r="D95" s="93">
        <v>6.750432</v>
      </c>
      <c r="E95" s="213">
        <v>2.198696</v>
      </c>
      <c r="F95" s="215">
        <f t="shared" si="11"/>
        <v>0.32571189517944926</v>
      </c>
    </row>
    <row r="96" spans="2:8">
      <c r="B96" s="612"/>
      <c r="C96" s="95">
        <v>2020</v>
      </c>
      <c r="D96" s="93">
        <v>7.9246049999999997</v>
      </c>
      <c r="E96" s="213">
        <v>4.5498190000000003</v>
      </c>
      <c r="F96" s="215">
        <f t="shared" si="11"/>
        <v>0.57413826935222645</v>
      </c>
    </row>
    <row r="97" spans="2:6">
      <c r="B97" s="612"/>
      <c r="C97" s="95">
        <v>2019</v>
      </c>
      <c r="D97" s="183">
        <v>5.6763630000000003</v>
      </c>
      <c r="E97" s="93">
        <v>4.9083800000000002</v>
      </c>
      <c r="F97" s="222">
        <f t="shared" si="11"/>
        <v>0.86470509373695792</v>
      </c>
    </row>
    <row r="98" spans="2:6" hidden="1">
      <c r="B98" s="612"/>
      <c r="C98" s="95">
        <v>2018</v>
      </c>
      <c r="D98" s="93">
        <v>3.6929090000000002</v>
      </c>
      <c r="E98" s="103">
        <v>2.0720070000000002</v>
      </c>
      <c r="F98" s="215">
        <f t="shared" si="11"/>
        <v>0.56107718874199175</v>
      </c>
    </row>
    <row r="99" spans="2:6" hidden="1">
      <c r="B99" s="612"/>
      <c r="C99" s="95">
        <v>2017</v>
      </c>
      <c r="D99" s="93">
        <v>1.100185</v>
      </c>
      <c r="E99" s="103">
        <v>0.31629299999999999</v>
      </c>
      <c r="F99" s="215">
        <f t="shared" si="11"/>
        <v>0.28749074019369469</v>
      </c>
    </row>
    <row r="100" spans="2:6" hidden="1">
      <c r="B100" s="612"/>
      <c r="C100" s="95">
        <v>2016</v>
      </c>
      <c r="D100" s="92">
        <v>0.80537499999999995</v>
      </c>
      <c r="E100" s="93">
        <v>0.143037</v>
      </c>
      <c r="F100" s="215">
        <f t="shared" si="11"/>
        <v>0.17760297997827099</v>
      </c>
    </row>
    <row r="101" spans="2:6" hidden="1">
      <c r="B101" s="613"/>
      <c r="C101" s="95">
        <v>2015</v>
      </c>
      <c r="D101" s="183">
        <v>0.44133600000000001</v>
      </c>
      <c r="E101" s="93">
        <v>0</v>
      </c>
      <c r="F101" s="222">
        <f t="shared" si="11"/>
        <v>0</v>
      </c>
    </row>
    <row r="102" spans="2:6" ht="14.45" customHeight="1">
      <c r="B102" s="614" t="s">
        <v>18</v>
      </c>
      <c r="C102" s="99">
        <v>2022</v>
      </c>
      <c r="D102" s="93">
        <v>2.074986</v>
      </c>
      <c r="E102" s="224">
        <v>0.124667</v>
      </c>
      <c r="F102" s="215">
        <f t="shared" ref="F102:F109" si="12">+E102/D102</f>
        <v>6.0080887292733538E-2</v>
      </c>
    </row>
    <row r="103" spans="2:6">
      <c r="B103" s="612"/>
      <c r="C103" s="95">
        <v>2021</v>
      </c>
      <c r="D103" s="93">
        <v>0.89</v>
      </c>
      <c r="E103" s="213">
        <v>0.15420700000000001</v>
      </c>
      <c r="F103" s="215">
        <f t="shared" si="12"/>
        <v>0.17326629213483147</v>
      </c>
    </row>
    <row r="104" spans="2:6">
      <c r="B104" s="612"/>
      <c r="C104" s="95">
        <v>2020</v>
      </c>
      <c r="D104" s="93">
        <v>7.4079879999999996</v>
      </c>
      <c r="E104" s="213">
        <v>0.53928200000000004</v>
      </c>
      <c r="F104" s="215">
        <f t="shared" si="12"/>
        <v>7.2797364142598506E-2</v>
      </c>
    </row>
    <row r="105" spans="2:6">
      <c r="B105" s="612"/>
      <c r="C105" s="95">
        <v>2019</v>
      </c>
      <c r="D105" s="93">
        <v>0.50370400000000004</v>
      </c>
      <c r="E105" s="93">
        <v>0.29835899999999999</v>
      </c>
      <c r="F105" s="222">
        <f t="shared" si="12"/>
        <v>0.59233001921763573</v>
      </c>
    </row>
    <row r="106" spans="2:6" hidden="1">
      <c r="B106" s="612"/>
      <c r="C106" s="133">
        <v>2018</v>
      </c>
      <c r="D106" s="20">
        <v>0.50259500000000001</v>
      </c>
      <c r="E106" s="93">
        <v>0.21503900000000001</v>
      </c>
      <c r="F106" s="215">
        <f t="shared" si="12"/>
        <v>0.42785741999025062</v>
      </c>
    </row>
    <row r="107" spans="2:6" hidden="1">
      <c r="B107" s="612"/>
      <c r="C107" s="133">
        <v>2017</v>
      </c>
      <c r="D107" s="20">
        <v>0.55410800000000004</v>
      </c>
      <c r="E107" s="103">
        <v>9.6599999999999995E-4</v>
      </c>
      <c r="F107" s="215">
        <f t="shared" si="12"/>
        <v>1.7433424530957861E-3</v>
      </c>
    </row>
    <row r="108" spans="2:6" ht="14.45" hidden="1" customHeight="1">
      <c r="B108" s="612"/>
      <c r="C108" s="133">
        <v>2016</v>
      </c>
      <c r="D108" s="4">
        <v>0.554504</v>
      </c>
      <c r="E108" s="93">
        <v>0</v>
      </c>
      <c r="F108" s="215">
        <f t="shared" si="12"/>
        <v>0</v>
      </c>
    </row>
    <row r="109" spans="2:6" hidden="1">
      <c r="B109" s="613"/>
      <c r="C109" s="133">
        <v>2015</v>
      </c>
      <c r="D109" s="92">
        <v>1.415756</v>
      </c>
      <c r="E109" s="183">
        <v>0.223052</v>
      </c>
      <c r="F109" s="222">
        <f t="shared" si="12"/>
        <v>0.15754974727283516</v>
      </c>
    </row>
    <row r="110" spans="2:6" ht="14.45" customHeight="1">
      <c r="B110" s="614" t="s">
        <v>19</v>
      </c>
      <c r="C110" s="374">
        <v>2022</v>
      </c>
      <c r="D110" s="241">
        <v>7.4993879999999997</v>
      </c>
      <c r="E110" s="224">
        <v>2.7956439999999998</v>
      </c>
      <c r="F110" s="215">
        <f t="shared" ref="F110:F117" si="13">+E110/D110</f>
        <v>0.37278295242225096</v>
      </c>
    </row>
    <row r="111" spans="2:6">
      <c r="B111" s="612"/>
      <c r="C111" s="133">
        <v>2021</v>
      </c>
      <c r="D111" s="93">
        <v>4.6646989999999997</v>
      </c>
      <c r="E111" s="213">
        <v>1.6859219999999999</v>
      </c>
      <c r="F111" s="215">
        <f t="shared" si="13"/>
        <v>0.36142139074782748</v>
      </c>
    </row>
    <row r="112" spans="2:6">
      <c r="B112" s="612"/>
      <c r="C112" s="133">
        <v>2020</v>
      </c>
      <c r="D112" s="93">
        <v>12.087177000000001</v>
      </c>
      <c r="E112" s="213">
        <v>2.8069790000000001</v>
      </c>
      <c r="F112" s="215">
        <f t="shared" si="13"/>
        <v>0.23222783946987788</v>
      </c>
    </row>
    <row r="113" spans="2:7">
      <c r="B113" s="612"/>
      <c r="C113" s="95">
        <v>2019</v>
      </c>
      <c r="D113" s="93">
        <v>7.5200480000000001</v>
      </c>
      <c r="E113" s="103">
        <v>4.7619600000000002</v>
      </c>
      <c r="F113" s="215">
        <f t="shared" si="13"/>
        <v>0.63323531977455461</v>
      </c>
    </row>
    <row r="114" spans="2:7" hidden="1">
      <c r="B114" s="612"/>
      <c r="C114" s="95">
        <v>2018</v>
      </c>
      <c r="D114" s="93">
        <v>3.0275979999999998</v>
      </c>
      <c r="E114" s="103">
        <v>0.37643199999999999</v>
      </c>
      <c r="F114" s="215">
        <f t="shared" si="13"/>
        <v>0.12433354758458687</v>
      </c>
    </row>
    <row r="115" spans="2:7" hidden="1">
      <c r="B115" s="612"/>
      <c r="C115" s="95">
        <v>2017</v>
      </c>
      <c r="D115" s="92">
        <v>3.5685859999999998</v>
      </c>
      <c r="E115" s="93">
        <v>0.46514</v>
      </c>
      <c r="F115" s="215">
        <f t="shared" si="13"/>
        <v>0.13034294255483825</v>
      </c>
    </row>
    <row r="116" spans="2:7" hidden="1">
      <c r="B116" s="612"/>
      <c r="C116" s="95">
        <v>2016</v>
      </c>
      <c r="D116" s="92">
        <v>2.4154719999999998</v>
      </c>
      <c r="E116" s="93">
        <v>0.36993700000000002</v>
      </c>
      <c r="F116" s="215">
        <f t="shared" si="13"/>
        <v>0.15315308974809067</v>
      </c>
    </row>
    <row r="117" spans="2:7" hidden="1">
      <c r="B117" s="613"/>
      <c r="C117" s="95">
        <v>2015</v>
      </c>
      <c r="D117" s="92">
        <v>1.9385269999999999</v>
      </c>
      <c r="E117" s="183">
        <v>0.22825400000000001</v>
      </c>
      <c r="F117" s="215">
        <f t="shared" si="13"/>
        <v>0.11774610309786762</v>
      </c>
    </row>
    <row r="118" spans="2:7" ht="14.45" customHeight="1">
      <c r="B118" s="614" t="s">
        <v>43</v>
      </c>
      <c r="C118" s="99">
        <v>2022</v>
      </c>
      <c r="D118" s="241">
        <v>3.9948100000000002</v>
      </c>
      <c r="E118" s="224">
        <v>3.2826970000000002</v>
      </c>
      <c r="F118" s="389">
        <f t="shared" ref="F118:F128" si="14">+E118/D118</f>
        <v>0.82174045824457231</v>
      </c>
    </row>
    <row r="119" spans="2:7">
      <c r="B119" s="612"/>
      <c r="C119" s="95">
        <v>2021</v>
      </c>
      <c r="D119" s="93">
        <v>1.3545430000000001</v>
      </c>
      <c r="E119" s="213">
        <v>0.90320599999999995</v>
      </c>
      <c r="F119" s="215">
        <f t="shared" si="14"/>
        <v>0.66679758412985035</v>
      </c>
    </row>
    <row r="120" spans="2:7">
      <c r="B120" s="612"/>
      <c r="C120" s="95">
        <v>2020</v>
      </c>
      <c r="D120" s="93">
        <v>1.410539</v>
      </c>
      <c r="E120" s="213">
        <v>0.86665499999999995</v>
      </c>
      <c r="F120" s="215">
        <f t="shared" si="14"/>
        <v>0.61441406441083868</v>
      </c>
    </row>
    <row r="121" spans="2:7">
      <c r="B121" s="612"/>
      <c r="C121" s="95">
        <v>2019</v>
      </c>
      <c r="D121" s="183">
        <v>2.2037360000000001</v>
      </c>
      <c r="E121" s="93">
        <v>2.2037360000000001</v>
      </c>
      <c r="F121" s="222">
        <f t="shared" si="14"/>
        <v>1</v>
      </c>
    </row>
    <row r="122" spans="2:7" hidden="1">
      <c r="B122" s="612"/>
      <c r="C122" s="95">
        <v>2018</v>
      </c>
      <c r="D122" s="93">
        <v>1.6363730000000001</v>
      </c>
      <c r="E122" s="93">
        <v>1.146863</v>
      </c>
      <c r="F122" s="215">
        <f t="shared" si="14"/>
        <v>0.70085671176437148</v>
      </c>
    </row>
    <row r="123" spans="2:7" hidden="1">
      <c r="B123" s="612"/>
      <c r="C123" s="95">
        <v>2017</v>
      </c>
      <c r="D123" s="93">
        <v>1.721895</v>
      </c>
      <c r="E123" s="103">
        <v>1.019155</v>
      </c>
      <c r="F123" s="215">
        <f t="shared" si="14"/>
        <v>0.59187987653137974</v>
      </c>
    </row>
    <row r="124" spans="2:7" hidden="1">
      <c r="B124" s="612"/>
      <c r="C124" s="95">
        <v>2016</v>
      </c>
      <c r="D124" s="93">
        <v>0.75415299999999996</v>
      </c>
      <c r="E124" s="103">
        <v>0.32610899999999998</v>
      </c>
      <c r="F124" s="215">
        <f t="shared" si="14"/>
        <v>0.43241755983202346</v>
      </c>
    </row>
    <row r="125" spans="2:7" hidden="1">
      <c r="B125" s="613"/>
      <c r="C125" s="95">
        <v>2015</v>
      </c>
      <c r="D125" s="183">
        <v>0.70162999999999998</v>
      </c>
      <c r="E125" s="183">
        <v>0.51554500000000003</v>
      </c>
      <c r="F125" s="222">
        <f t="shared" si="14"/>
        <v>0.73478186508558652</v>
      </c>
      <c r="G125" s="55"/>
    </row>
    <row r="126" spans="2:7" ht="14.45" customHeight="1">
      <c r="B126" s="614" t="s">
        <v>20</v>
      </c>
      <c r="C126" s="99">
        <v>2022</v>
      </c>
      <c r="D126" s="93">
        <v>0.41325499999999998</v>
      </c>
      <c r="E126" s="224">
        <v>8.9641999999999999E-2</v>
      </c>
      <c r="F126" s="215">
        <f t="shared" si="14"/>
        <v>0.2169169157057991</v>
      </c>
      <c r="G126" s="55"/>
    </row>
    <row r="127" spans="2:7">
      <c r="B127" s="612"/>
      <c r="C127" s="95">
        <v>2021</v>
      </c>
      <c r="D127" s="93">
        <v>0.38950099999999999</v>
      </c>
      <c r="E127" s="213">
        <v>0.13081200000000001</v>
      </c>
      <c r="F127" s="215">
        <f t="shared" si="14"/>
        <v>0.335845094107589</v>
      </c>
      <c r="G127" s="55"/>
    </row>
    <row r="128" spans="2:7">
      <c r="B128" s="612"/>
      <c r="C128" s="95">
        <v>2020</v>
      </c>
      <c r="D128" s="93">
        <v>0.344277</v>
      </c>
      <c r="E128" s="213">
        <v>0.11613</v>
      </c>
      <c r="F128" s="215">
        <f t="shared" si="14"/>
        <v>0.33731559180543574</v>
      </c>
      <c r="G128" s="55"/>
    </row>
    <row r="129" spans="2:6">
      <c r="B129" s="612"/>
      <c r="C129" s="98">
        <v>2019</v>
      </c>
      <c r="D129" s="93">
        <v>1.020033</v>
      </c>
      <c r="E129" s="183">
        <v>0.65408699999999997</v>
      </c>
      <c r="F129" s="215">
        <f>+E129/D129</f>
        <v>0.64124101867292527</v>
      </c>
    </row>
    <row r="130" spans="2:6" hidden="1">
      <c r="B130" s="612"/>
      <c r="C130" s="95">
        <v>2018</v>
      </c>
      <c r="D130" s="93">
        <v>1.9137999999999999E-2</v>
      </c>
      <c r="E130" s="103">
        <v>0</v>
      </c>
      <c r="F130" s="215">
        <f>+E130/D130</f>
        <v>0</v>
      </c>
    </row>
    <row r="131" spans="2:6" hidden="1">
      <c r="B131" s="612"/>
      <c r="C131" s="95">
        <v>2017</v>
      </c>
      <c r="D131" s="92">
        <v>0</v>
      </c>
      <c r="E131" s="93">
        <v>0</v>
      </c>
      <c r="F131" s="390" t="s">
        <v>77</v>
      </c>
    </row>
    <row r="132" spans="2:6" hidden="1">
      <c r="B132" s="612"/>
      <c r="C132" s="95">
        <v>2016</v>
      </c>
      <c r="D132" s="92">
        <v>5.4357999999999997E-2</v>
      </c>
      <c r="E132" s="93">
        <v>0</v>
      </c>
      <c r="F132" s="215">
        <f>+E132/D132</f>
        <v>0</v>
      </c>
    </row>
    <row r="133" spans="2:6" hidden="1">
      <c r="B133" s="613"/>
      <c r="C133" s="98">
        <v>2015</v>
      </c>
      <c r="D133" s="177">
        <v>0.13195599999999999</v>
      </c>
      <c r="E133" s="183">
        <v>7.5178999999999996E-2</v>
      </c>
      <c r="F133" s="215">
        <f>+E133/D133</f>
        <v>0.56972778805056234</v>
      </c>
    </row>
    <row r="134" spans="2:6" ht="15">
      <c r="B134" s="540" t="s">
        <v>193</v>
      </c>
      <c r="D134" s="35"/>
      <c r="E134" s="524">
        <f>+E6+E14+E22+E30+E38+E46+E54+E62+E70+E78+E86+E94+E102+E110+E118+E126</f>
        <v>5514.4433069999986</v>
      </c>
      <c r="F134" s="35"/>
    </row>
    <row r="135" spans="2:6" ht="15">
      <c r="D135" s="524">
        <f>+D7+D15+D23+D31+D39+D47+D55+D63+D71+D79+D88+D95+D103+D111+D119+D127</f>
        <v>5285.1653019999994</v>
      </c>
      <c r="E135" s="524">
        <f>+E7+E15+E23+E31+E39+E47+E55+E63+E71+E79+E87+E95+E103+E111+E119+E127</f>
        <v>3391.3376549999994</v>
      </c>
    </row>
    <row r="136" spans="2:6" ht="15">
      <c r="D136" s="572"/>
      <c r="E136" s="524">
        <f>+E8+E16+E24+E32+E40+E48+E56+E64+E72+E80+E88+E96+E104+E112+E120+E128</f>
        <v>3518.736958</v>
      </c>
    </row>
  </sheetData>
  <mergeCells count="10">
    <mergeCell ref="C4:C5"/>
    <mergeCell ref="B4:B5"/>
    <mergeCell ref="B6:B13"/>
    <mergeCell ref="B14:B21"/>
    <mergeCell ref="B126:B133"/>
    <mergeCell ref="B54:B61"/>
    <mergeCell ref="B94:B101"/>
    <mergeCell ref="B102:B109"/>
    <mergeCell ref="B110:B117"/>
    <mergeCell ref="B118:B1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1"/>
  <sheetViews>
    <sheetView showGridLines="0" zoomScaleNormal="100" workbookViewId="0"/>
  </sheetViews>
  <sheetFormatPr defaultColWidth="8.85546875" defaultRowHeight="14.25"/>
  <cols>
    <col min="1" max="1" width="1.7109375" style="31" customWidth="1"/>
    <col min="2" max="2" width="81.85546875" style="31" customWidth="1"/>
    <col min="3" max="3" width="20.7109375" style="31" customWidth="1"/>
    <col min="4" max="4" width="24.42578125" style="31" customWidth="1"/>
    <col min="5" max="5" width="25.28515625" style="31" customWidth="1"/>
    <col min="6" max="6" width="32.85546875" style="31" customWidth="1"/>
    <col min="7" max="8" width="8.85546875" style="31"/>
    <col min="9" max="9" width="13.85546875" style="31" customWidth="1"/>
    <col min="10" max="10" width="12.85546875" style="31" customWidth="1"/>
    <col min="11" max="16384" width="8.85546875" style="31"/>
  </cols>
  <sheetData>
    <row r="1" spans="2:7" ht="14.45" customHeight="1"/>
    <row r="2" spans="2:7" ht="14.45" customHeight="1">
      <c r="B2" s="57" t="s">
        <v>149</v>
      </c>
      <c r="C2" s="30"/>
      <c r="D2" s="30"/>
      <c r="E2" s="30"/>
      <c r="F2" s="30"/>
      <c r="G2" s="30"/>
    </row>
    <row r="3" spans="2:7" ht="14.45" customHeight="1"/>
    <row r="4" spans="2:7" ht="15">
      <c r="B4" s="589" t="s">
        <v>133</v>
      </c>
      <c r="C4" s="620" t="s">
        <v>2</v>
      </c>
      <c r="D4" s="5" t="s">
        <v>62</v>
      </c>
      <c r="E4" s="48" t="s">
        <v>63</v>
      </c>
      <c r="F4" s="81" t="s">
        <v>78</v>
      </c>
    </row>
    <row r="5" spans="2:7" ht="15">
      <c r="B5" s="589"/>
      <c r="C5" s="620"/>
      <c r="D5" s="48" t="s">
        <v>0</v>
      </c>
      <c r="E5" s="48" t="s">
        <v>103</v>
      </c>
      <c r="F5" s="81" t="s">
        <v>137</v>
      </c>
    </row>
    <row r="6" spans="2:7">
      <c r="B6" s="612" t="s">
        <v>23</v>
      </c>
      <c r="C6" s="391">
        <v>2022</v>
      </c>
      <c r="D6" s="392">
        <v>4.292726</v>
      </c>
      <c r="E6" s="212">
        <v>3.8191899999999999</v>
      </c>
      <c r="F6" s="393">
        <f t="shared" ref="F6:F8" si="0">+E6/D6</f>
        <v>0.88968874323681502</v>
      </c>
    </row>
    <row r="7" spans="2:7">
      <c r="B7" s="612"/>
      <c r="C7" s="391">
        <v>2021</v>
      </c>
      <c r="D7" s="392">
        <v>1.4335260000000001</v>
      </c>
      <c r="E7" s="212">
        <v>1.0068170000000001</v>
      </c>
      <c r="F7" s="393">
        <f t="shared" si="0"/>
        <v>0.70233605808335531</v>
      </c>
    </row>
    <row r="8" spans="2:7">
      <c r="B8" s="612"/>
      <c r="C8" s="391">
        <v>2020</v>
      </c>
      <c r="D8" s="392">
        <v>6.2175070000000003</v>
      </c>
      <c r="E8" s="212">
        <v>0.39518599999999998</v>
      </c>
      <c r="F8" s="393">
        <f t="shared" si="0"/>
        <v>6.3560201862257651E-2</v>
      </c>
    </row>
    <row r="9" spans="2:7">
      <c r="B9" s="612"/>
      <c r="C9" s="95">
        <v>2019</v>
      </c>
      <c r="D9" s="392">
        <v>1.3475429999999999</v>
      </c>
      <c r="E9" s="552">
        <v>1.111083</v>
      </c>
      <c r="F9" s="393">
        <f>+E9/D9</f>
        <v>0.82452508009020875</v>
      </c>
    </row>
    <row r="10" spans="2:7" hidden="1">
      <c r="B10" s="612"/>
      <c r="C10" s="95">
        <v>2018</v>
      </c>
      <c r="D10" s="392">
        <v>1.480084</v>
      </c>
      <c r="E10" s="9">
        <v>6.5322000000000005E-2</v>
      </c>
      <c r="F10" s="393">
        <f>+E10/D10</f>
        <v>4.4133981584828973E-2</v>
      </c>
    </row>
    <row r="11" spans="2:7" hidden="1">
      <c r="B11" s="612"/>
      <c r="C11" s="95">
        <v>2017</v>
      </c>
      <c r="D11" s="392">
        <v>2.5200300000000002</v>
      </c>
      <c r="E11" s="8">
        <v>0</v>
      </c>
      <c r="F11" s="393">
        <f t="shared" ref="F11:F69" si="1">+E11/D11</f>
        <v>0</v>
      </c>
    </row>
    <row r="12" spans="2:7" hidden="1">
      <c r="B12" s="612"/>
      <c r="C12" s="95">
        <v>2016</v>
      </c>
      <c r="D12" s="392">
        <v>1.2516940000000001</v>
      </c>
      <c r="E12" s="8">
        <v>0</v>
      </c>
      <c r="F12" s="393">
        <f t="shared" si="1"/>
        <v>0</v>
      </c>
    </row>
    <row r="13" spans="2:7" hidden="1">
      <c r="B13" s="627"/>
      <c r="C13" s="394">
        <v>2015</v>
      </c>
      <c r="D13" s="395">
        <v>0.47562300000000002</v>
      </c>
      <c r="E13" s="15">
        <v>4.9408000000000001E-2</v>
      </c>
      <c r="F13" s="396">
        <f t="shared" si="1"/>
        <v>0.10388059450447097</v>
      </c>
    </row>
    <row r="14" spans="2:7" ht="15" customHeight="1">
      <c r="B14" s="617" t="s">
        <v>24</v>
      </c>
      <c r="C14" s="397">
        <v>2022</v>
      </c>
      <c r="D14" s="331">
        <v>14.306443</v>
      </c>
      <c r="E14" s="212">
        <v>1.0149250000000001</v>
      </c>
      <c r="F14" s="420">
        <f t="shared" si="1"/>
        <v>7.0941812720324682E-2</v>
      </c>
    </row>
    <row r="15" spans="2:7">
      <c r="B15" s="618"/>
      <c r="C15" s="398">
        <v>2021</v>
      </c>
      <c r="D15" s="392">
        <v>6.5628580000000003</v>
      </c>
      <c r="E15" s="212">
        <v>0.72686799999999996</v>
      </c>
      <c r="F15" s="393">
        <f t="shared" si="1"/>
        <v>0.1107547961574058</v>
      </c>
    </row>
    <row r="16" spans="2:7">
      <c r="B16" s="618"/>
      <c r="C16" s="399">
        <v>2020</v>
      </c>
      <c r="D16" s="400">
        <v>4.4149539999999998</v>
      </c>
      <c r="E16" s="212">
        <v>7.2772000000000003E-2</v>
      </c>
      <c r="F16" s="393">
        <f t="shared" si="1"/>
        <v>1.6483070944793538E-2</v>
      </c>
    </row>
    <row r="17" spans="2:9">
      <c r="B17" s="618"/>
      <c r="C17" s="94">
        <v>2019</v>
      </c>
      <c r="D17" s="176">
        <v>12.323513</v>
      </c>
      <c r="E17" s="9">
        <v>11.554316999999999</v>
      </c>
      <c r="F17" s="396">
        <f t="shared" si="1"/>
        <v>0.93758305768817696</v>
      </c>
    </row>
    <row r="18" spans="2:9" hidden="1">
      <c r="B18" s="618"/>
      <c r="C18" s="308">
        <v>2018</v>
      </c>
      <c r="D18" s="9">
        <v>15.041703999999999</v>
      </c>
      <c r="E18" s="9">
        <v>7.3550170000000001</v>
      </c>
      <c r="F18" s="393">
        <f t="shared" si="1"/>
        <v>0.48897498581277765</v>
      </c>
    </row>
    <row r="19" spans="2:9" hidden="1">
      <c r="B19" s="618"/>
      <c r="C19" s="308">
        <v>2017</v>
      </c>
      <c r="D19" s="8">
        <v>19.525884000000001</v>
      </c>
      <c r="E19" s="8">
        <v>7.1083400000000001</v>
      </c>
      <c r="F19" s="393">
        <f t="shared" si="1"/>
        <v>0.36404702598868249</v>
      </c>
    </row>
    <row r="20" spans="2:9" hidden="1">
      <c r="B20" s="618"/>
      <c r="C20" s="308">
        <v>2016</v>
      </c>
      <c r="D20" s="8">
        <v>12.434903</v>
      </c>
      <c r="E20" s="8">
        <v>2.0316100000000001</v>
      </c>
      <c r="F20" s="393">
        <f t="shared" si="1"/>
        <v>0.16337964196423568</v>
      </c>
    </row>
    <row r="21" spans="2:9" hidden="1">
      <c r="B21" s="619"/>
      <c r="C21" s="401">
        <v>2015</v>
      </c>
      <c r="D21" s="15">
        <v>11.626229</v>
      </c>
      <c r="E21" s="8">
        <v>5.4158860000000004</v>
      </c>
      <c r="F21" s="396">
        <f t="shared" si="1"/>
        <v>0.46583341855729837</v>
      </c>
    </row>
    <row r="22" spans="2:9" ht="15" customHeight="1">
      <c r="B22" s="617" t="s">
        <v>25</v>
      </c>
      <c r="C22" s="402">
        <v>2021</v>
      </c>
      <c r="D22" s="403">
        <v>749.73183700000004</v>
      </c>
      <c r="E22" s="551">
        <v>516.51660400000003</v>
      </c>
      <c r="F22" s="393">
        <f t="shared" si="1"/>
        <v>0.68893513454998179</v>
      </c>
    </row>
    <row r="23" spans="2:9">
      <c r="B23" s="618"/>
      <c r="C23" s="404">
        <v>2021</v>
      </c>
      <c r="D23" s="403">
        <v>627.07601699999998</v>
      </c>
      <c r="E23" s="212">
        <v>501.834813</v>
      </c>
      <c r="F23" s="393">
        <f t="shared" si="1"/>
        <v>0.80027747736364152</v>
      </c>
    </row>
    <row r="24" spans="2:9">
      <c r="B24" s="618"/>
      <c r="C24" s="399">
        <v>2020</v>
      </c>
      <c r="D24" s="403">
        <v>553.86759700000005</v>
      </c>
      <c r="E24" s="212">
        <v>373.23633599999999</v>
      </c>
      <c r="F24" s="393">
        <f t="shared" si="1"/>
        <v>0.67387284979590523</v>
      </c>
    </row>
    <row r="25" spans="2:9">
      <c r="B25" s="618"/>
      <c r="C25" s="308">
        <v>2019</v>
      </c>
      <c r="D25" s="176">
        <v>720.28236200000003</v>
      </c>
      <c r="E25" s="9">
        <v>657.16241200000002</v>
      </c>
      <c r="F25" s="393">
        <f t="shared" si="1"/>
        <v>0.91236776946094367</v>
      </c>
    </row>
    <row r="26" spans="2:9" hidden="1">
      <c r="B26" s="618"/>
      <c r="C26" s="308">
        <v>2018</v>
      </c>
      <c r="D26" s="9">
        <v>584.07689300000004</v>
      </c>
      <c r="E26" s="9">
        <v>331.00621899999999</v>
      </c>
      <c r="F26" s="393">
        <f t="shared" si="1"/>
        <v>0.56671685349483591</v>
      </c>
    </row>
    <row r="27" spans="2:9" ht="15" hidden="1">
      <c r="B27" s="618"/>
      <c r="C27" s="308">
        <v>2017</v>
      </c>
      <c r="D27" s="8">
        <v>574.10362799999996</v>
      </c>
      <c r="E27" s="8">
        <v>292.26981899999998</v>
      </c>
      <c r="F27" s="393">
        <f t="shared" si="1"/>
        <v>0.50908896015546523</v>
      </c>
      <c r="H27" s="145"/>
      <c r="I27" s="123"/>
    </row>
    <row r="28" spans="2:9" hidden="1">
      <c r="B28" s="618"/>
      <c r="C28" s="308">
        <v>2016</v>
      </c>
      <c r="D28" s="8">
        <v>555.41217099999994</v>
      </c>
      <c r="E28" s="8">
        <v>405.14698499999997</v>
      </c>
      <c r="F28" s="393">
        <f t="shared" si="1"/>
        <v>0.72945283908803649</v>
      </c>
    </row>
    <row r="29" spans="2:9" hidden="1">
      <c r="B29" s="619"/>
      <c r="C29" s="401">
        <v>2015</v>
      </c>
      <c r="D29" s="15">
        <v>497.085733</v>
      </c>
      <c r="E29" s="8">
        <v>340.61700400000001</v>
      </c>
      <c r="F29" s="396">
        <f t="shared" si="1"/>
        <v>0.68522788200803186</v>
      </c>
    </row>
    <row r="30" spans="2:9" ht="15" customHeight="1">
      <c r="B30" s="617" t="s">
        <v>26</v>
      </c>
      <c r="C30" s="402">
        <v>2022</v>
      </c>
      <c r="D30" s="392">
        <v>43.665577999999996</v>
      </c>
      <c r="E30" s="550">
        <v>12.543794999999999</v>
      </c>
      <c r="F30" s="420">
        <f t="shared" si="1"/>
        <v>0.28726964292102125</v>
      </c>
    </row>
    <row r="31" spans="2:9">
      <c r="B31" s="618"/>
      <c r="C31" s="404">
        <v>2021</v>
      </c>
      <c r="D31" s="392">
        <v>389.04041100000001</v>
      </c>
      <c r="E31" s="9">
        <v>11.458360000000001</v>
      </c>
      <c r="F31" s="393">
        <f t="shared" si="1"/>
        <v>2.9452878611111687E-2</v>
      </c>
    </row>
    <row r="32" spans="2:9">
      <c r="B32" s="618"/>
      <c r="C32" s="404">
        <v>2020</v>
      </c>
      <c r="D32" s="213">
        <v>402.85327699999999</v>
      </c>
      <c r="E32" s="9">
        <v>6.7032639999999999</v>
      </c>
      <c r="F32" s="393">
        <f t="shared" si="1"/>
        <v>1.6639467475400481E-2</v>
      </c>
    </row>
    <row r="33" spans="2:9">
      <c r="B33" s="618"/>
      <c r="C33" s="548">
        <v>2019</v>
      </c>
      <c r="D33" s="9">
        <v>774.87203799999997</v>
      </c>
      <c r="E33" s="9">
        <v>14.570715999999999</v>
      </c>
      <c r="F33" s="393">
        <f t="shared" si="1"/>
        <v>1.8804028646598293E-2</v>
      </c>
    </row>
    <row r="34" spans="2:9" hidden="1">
      <c r="B34" s="618"/>
      <c r="C34" s="308">
        <v>2018</v>
      </c>
      <c r="D34" s="9">
        <v>684.95184600000005</v>
      </c>
      <c r="E34" s="9">
        <v>171.392291</v>
      </c>
      <c r="F34" s="393">
        <f t="shared" si="1"/>
        <v>0.25022531437925344</v>
      </c>
    </row>
    <row r="35" spans="2:9" hidden="1">
      <c r="B35" s="618"/>
      <c r="C35" s="308">
        <v>2017</v>
      </c>
      <c r="D35" s="8">
        <v>681.498017</v>
      </c>
      <c r="E35" s="8">
        <v>135.77908199999999</v>
      </c>
      <c r="F35" s="393">
        <f t="shared" si="1"/>
        <v>0.19923620995657276</v>
      </c>
    </row>
    <row r="36" spans="2:9" hidden="1">
      <c r="B36" s="618"/>
      <c r="C36" s="308">
        <v>2016</v>
      </c>
      <c r="D36" s="8">
        <v>768.85068200000001</v>
      </c>
      <c r="E36" s="8">
        <v>122.047743</v>
      </c>
      <c r="F36" s="393">
        <f t="shared" si="1"/>
        <v>0.15874050170901716</v>
      </c>
    </row>
    <row r="37" spans="2:9" hidden="1">
      <c r="B37" s="619"/>
      <c r="C37" s="401">
        <v>2015</v>
      </c>
      <c r="D37" s="15">
        <v>761.31332799999996</v>
      </c>
      <c r="E37" s="8">
        <v>150.11392000000001</v>
      </c>
      <c r="F37" s="396">
        <f t="shared" si="1"/>
        <v>0.19717758047708842</v>
      </c>
    </row>
    <row r="38" spans="2:9" ht="15" customHeight="1">
      <c r="B38" s="617" t="s">
        <v>88</v>
      </c>
      <c r="C38" s="308">
        <v>2022</v>
      </c>
      <c r="D38" s="405">
        <v>181.21921399999999</v>
      </c>
      <c r="E38" s="549">
        <v>149.51527899999999</v>
      </c>
      <c r="F38" s="420">
        <f t="shared" si="1"/>
        <v>0.82505202235343544</v>
      </c>
    </row>
    <row r="39" spans="2:9">
      <c r="B39" s="618"/>
      <c r="C39" s="404">
        <v>2021</v>
      </c>
      <c r="D39" s="406">
        <v>198.340788</v>
      </c>
      <c r="E39" s="212">
        <v>128.442306</v>
      </c>
      <c r="F39" s="393">
        <f t="shared" si="1"/>
        <v>0.64758392509764562</v>
      </c>
      <c r="I39" s="7"/>
    </row>
    <row r="40" spans="2:9">
      <c r="B40" s="618"/>
      <c r="C40" s="404">
        <v>2020</v>
      </c>
      <c r="D40" s="406">
        <v>208.44841199999999</v>
      </c>
      <c r="E40" s="212">
        <v>140.77589699999999</v>
      </c>
      <c r="F40" s="393">
        <f t="shared" si="1"/>
        <v>0.67535125669367058</v>
      </c>
    </row>
    <row r="41" spans="2:9">
      <c r="B41" s="618"/>
      <c r="C41" s="308">
        <v>2019</v>
      </c>
      <c r="D41" s="9">
        <v>273.139094</v>
      </c>
      <c r="E41" s="176">
        <v>198.41210599999999</v>
      </c>
      <c r="F41" s="393">
        <f t="shared" si="1"/>
        <v>0.72641416171644768</v>
      </c>
    </row>
    <row r="42" spans="2:9" hidden="1">
      <c r="B42" s="618"/>
      <c r="C42" s="308">
        <v>2018</v>
      </c>
      <c r="D42" s="9">
        <v>217.033624</v>
      </c>
      <c r="E42" s="9">
        <v>85.883246999999997</v>
      </c>
      <c r="F42" s="393">
        <f t="shared" si="1"/>
        <v>0.39571401618396235</v>
      </c>
    </row>
    <row r="43" spans="2:9" hidden="1">
      <c r="B43" s="618"/>
      <c r="C43" s="308">
        <v>2017</v>
      </c>
      <c r="D43" s="8">
        <v>237.87795299999999</v>
      </c>
      <c r="E43" s="8">
        <v>81.988720000000001</v>
      </c>
      <c r="F43" s="393">
        <f t="shared" si="1"/>
        <v>0.34466716635988542</v>
      </c>
    </row>
    <row r="44" spans="2:9" hidden="1">
      <c r="B44" s="618"/>
      <c r="C44" s="308">
        <v>2016</v>
      </c>
      <c r="D44" s="8">
        <v>185.786575</v>
      </c>
      <c r="E44" s="8">
        <v>145.251609</v>
      </c>
      <c r="F44" s="393">
        <f t="shared" si="1"/>
        <v>0.78181972513353026</v>
      </c>
    </row>
    <row r="45" spans="2:9" hidden="1">
      <c r="B45" s="619"/>
      <c r="C45" s="401">
        <v>2015</v>
      </c>
      <c r="D45" s="8">
        <v>172.23710700000001</v>
      </c>
      <c r="E45" s="15">
        <v>147.551008</v>
      </c>
      <c r="F45" s="396">
        <f t="shared" si="1"/>
        <v>0.85667374800948082</v>
      </c>
    </row>
    <row r="46" spans="2:9" ht="15" customHeight="1">
      <c r="B46" s="628" t="s">
        <v>28</v>
      </c>
      <c r="C46" s="407">
        <v>2022</v>
      </c>
      <c r="D46" s="224">
        <v>414.59343699999999</v>
      </c>
      <c r="E46" s="212">
        <v>147.07943900000001</v>
      </c>
      <c r="F46" s="420">
        <f t="shared" si="1"/>
        <v>0.35475583034856389</v>
      </c>
    </row>
    <row r="47" spans="2:9">
      <c r="B47" s="626"/>
      <c r="C47" s="365">
        <v>2021</v>
      </c>
      <c r="D47" s="213">
        <v>294.40576499999997</v>
      </c>
      <c r="E47" s="212">
        <v>163.662239</v>
      </c>
      <c r="F47" s="393">
        <f t="shared" si="1"/>
        <v>0.55590704550231895</v>
      </c>
    </row>
    <row r="48" spans="2:9">
      <c r="B48" s="626"/>
      <c r="C48" s="365">
        <v>2020</v>
      </c>
      <c r="D48" s="213">
        <v>369.39690200000001</v>
      </c>
      <c r="E48" s="212">
        <v>76.026578999999998</v>
      </c>
      <c r="F48" s="393">
        <f t="shared" si="1"/>
        <v>0.20581271415210731</v>
      </c>
    </row>
    <row r="49" spans="1:6">
      <c r="B49" s="626"/>
      <c r="C49" s="365">
        <v>2019</v>
      </c>
      <c r="D49" s="93">
        <v>499.42190699999998</v>
      </c>
      <c r="E49" s="553">
        <v>444</v>
      </c>
      <c r="F49" s="396">
        <f t="shared" si="1"/>
        <v>0.88902788159030444</v>
      </c>
    </row>
    <row r="50" spans="1:6" hidden="1">
      <c r="A50" s="17"/>
      <c r="B50" s="626"/>
      <c r="C50" s="408">
        <v>2018</v>
      </c>
      <c r="D50" s="108">
        <v>414.53520800000001</v>
      </c>
      <c r="E50" s="9">
        <v>214.67379800000001</v>
      </c>
      <c r="F50" s="393">
        <f t="shared" si="1"/>
        <v>0.51786626046972584</v>
      </c>
    </row>
    <row r="51" spans="1:6" ht="17.45" hidden="1" customHeight="1">
      <c r="A51" s="17"/>
      <c r="B51" s="626"/>
      <c r="C51" s="409">
        <v>2017</v>
      </c>
      <c r="D51" s="8">
        <v>554.52627299999995</v>
      </c>
      <c r="E51" s="8">
        <v>200.141007</v>
      </c>
      <c r="F51" s="393">
        <f t="shared" si="1"/>
        <v>0.36092249681378041</v>
      </c>
    </row>
    <row r="52" spans="1:6" hidden="1">
      <c r="A52" s="17"/>
      <c r="B52" s="626"/>
      <c r="C52" s="409">
        <v>2016</v>
      </c>
      <c r="D52" s="8">
        <v>239.41011900000001</v>
      </c>
      <c r="E52" s="8">
        <v>70.349508</v>
      </c>
      <c r="F52" s="393">
        <f t="shared" si="1"/>
        <v>0.29384517368708213</v>
      </c>
    </row>
    <row r="53" spans="1:6" hidden="1">
      <c r="A53" s="17"/>
      <c r="B53" s="629"/>
      <c r="C53" s="410">
        <v>2015</v>
      </c>
      <c r="D53" s="15">
        <v>197.66234299999999</v>
      </c>
      <c r="E53" s="15">
        <v>39.507299000000003</v>
      </c>
      <c r="F53" s="396">
        <f t="shared" si="1"/>
        <v>0.19987266365652664</v>
      </c>
    </row>
    <row r="54" spans="1:6" ht="15" customHeight="1">
      <c r="A54" s="17"/>
      <c r="B54" s="617" t="s">
        <v>29</v>
      </c>
      <c r="C54" s="411">
        <v>2022</v>
      </c>
      <c r="D54" s="174">
        <v>1801.706293</v>
      </c>
      <c r="E54" s="212">
        <v>1376.3396379999999</v>
      </c>
      <c r="F54" s="393">
        <f t="shared" si="1"/>
        <v>0.76390899190803896</v>
      </c>
    </row>
    <row r="55" spans="1:6">
      <c r="A55" s="17"/>
      <c r="B55" s="618"/>
      <c r="C55" s="412">
        <v>2021</v>
      </c>
      <c r="D55" s="213">
        <v>1490.9124690000001</v>
      </c>
      <c r="E55" s="212">
        <v>1216.7263809999999</v>
      </c>
      <c r="F55" s="393">
        <f t="shared" si="1"/>
        <v>0.81609511376351618</v>
      </c>
    </row>
    <row r="56" spans="1:6">
      <c r="A56" s="17"/>
      <c r="B56" s="618"/>
      <c r="C56" s="412">
        <v>2020</v>
      </c>
      <c r="D56" s="213">
        <v>1444.447594</v>
      </c>
      <c r="E56" s="212">
        <v>1072.421969</v>
      </c>
      <c r="F56" s="393">
        <f t="shared" si="1"/>
        <v>0.74244435966709088</v>
      </c>
    </row>
    <row r="57" spans="1:6">
      <c r="A57" s="17"/>
      <c r="B57" s="618"/>
      <c r="C57" s="554">
        <v>2019</v>
      </c>
      <c r="D57" s="93">
        <v>1441.9171490000001</v>
      </c>
      <c r="E57" s="101">
        <v>1361.158097</v>
      </c>
      <c r="F57" s="393">
        <f t="shared" si="1"/>
        <v>0.94399189158960473</v>
      </c>
    </row>
    <row r="58" spans="1:6" hidden="1">
      <c r="A58" s="17"/>
      <c r="B58" s="618"/>
      <c r="C58" s="413">
        <v>2018</v>
      </c>
      <c r="D58" s="9">
        <v>1397.6958460000001</v>
      </c>
      <c r="E58" s="9">
        <v>1098.796452</v>
      </c>
      <c r="F58" s="393">
        <f t="shared" si="1"/>
        <v>0.78614847081687611</v>
      </c>
    </row>
    <row r="59" spans="1:6" hidden="1">
      <c r="A59" s="17"/>
      <c r="B59" s="618"/>
      <c r="C59" s="413">
        <v>2017</v>
      </c>
      <c r="D59" s="8">
        <v>1286.094278</v>
      </c>
      <c r="E59" s="8">
        <v>897.29453799999999</v>
      </c>
      <c r="F59" s="393">
        <f t="shared" si="1"/>
        <v>0.69768954994137677</v>
      </c>
    </row>
    <row r="60" spans="1:6" hidden="1">
      <c r="A60" s="17"/>
      <c r="B60" s="618"/>
      <c r="C60" s="413">
        <v>2016</v>
      </c>
      <c r="D60" s="8">
        <v>1204.3992619999999</v>
      </c>
      <c r="E60" s="8">
        <v>851.82658900000001</v>
      </c>
      <c r="F60" s="393">
        <f t="shared" si="1"/>
        <v>0.70726262949171426</v>
      </c>
    </row>
    <row r="61" spans="1:6" hidden="1">
      <c r="A61" s="17"/>
      <c r="B61" s="619"/>
      <c r="C61" s="414">
        <v>2015</v>
      </c>
      <c r="D61" s="8">
        <v>1103.68101</v>
      </c>
      <c r="E61" s="8">
        <v>702.53742299999999</v>
      </c>
      <c r="F61" s="396">
        <f t="shared" si="1"/>
        <v>0.6365402835009365</v>
      </c>
    </row>
    <row r="62" spans="1:6" ht="15" customHeight="1">
      <c r="A62" s="17"/>
      <c r="B62" s="617" t="s">
        <v>30</v>
      </c>
      <c r="C62" s="413">
        <v>2022</v>
      </c>
      <c r="D62" s="224">
        <v>559.45703800000001</v>
      </c>
      <c r="E62" s="551">
        <v>408.79657900000001</v>
      </c>
      <c r="F62" s="420">
        <f t="shared" si="1"/>
        <v>0.73070236181388426</v>
      </c>
    </row>
    <row r="63" spans="1:6">
      <c r="A63" s="17"/>
      <c r="B63" s="618"/>
      <c r="C63" s="413">
        <v>2021</v>
      </c>
      <c r="D63" s="213">
        <v>378.91493000000003</v>
      </c>
      <c r="E63" s="212">
        <v>257.03672699999998</v>
      </c>
      <c r="F63" s="393">
        <f t="shared" si="1"/>
        <v>0.67834943057007535</v>
      </c>
    </row>
    <row r="64" spans="1:6">
      <c r="A64" s="17"/>
      <c r="B64" s="618"/>
      <c r="C64" s="404">
        <v>2020</v>
      </c>
      <c r="D64" s="403">
        <v>366.23486100000002</v>
      </c>
      <c r="E64" s="212">
        <v>221.146861</v>
      </c>
      <c r="F64" s="393">
        <f t="shared" si="1"/>
        <v>0.60383891472308526</v>
      </c>
    </row>
    <row r="65" spans="1:8">
      <c r="A65" s="17"/>
      <c r="B65" s="618"/>
      <c r="C65" s="412">
        <v>2019</v>
      </c>
      <c r="D65" s="103">
        <v>564.95396700000003</v>
      </c>
      <c r="E65" s="101">
        <v>527.85662200000002</v>
      </c>
      <c r="F65" s="393">
        <f t="shared" si="1"/>
        <v>0.93433563234011241</v>
      </c>
    </row>
    <row r="66" spans="1:8" hidden="1">
      <c r="A66" s="17"/>
      <c r="B66" s="618"/>
      <c r="C66" s="412">
        <v>2018</v>
      </c>
      <c r="D66" s="101">
        <v>473.97498100000001</v>
      </c>
      <c r="E66" s="9">
        <v>297.63328300000001</v>
      </c>
      <c r="F66" s="393">
        <f t="shared" si="1"/>
        <v>0.62795146353938036</v>
      </c>
      <c r="H66" s="7"/>
    </row>
    <row r="67" spans="1:8" hidden="1">
      <c r="A67" s="17"/>
      <c r="B67" s="618"/>
      <c r="C67" s="412">
        <v>2017</v>
      </c>
      <c r="D67" s="134">
        <v>488.76975499999998</v>
      </c>
      <c r="E67" s="8">
        <v>297.17015600000002</v>
      </c>
      <c r="F67" s="393">
        <f t="shared" si="1"/>
        <v>0.60799620467514415</v>
      </c>
      <c r="H67" s="7"/>
    </row>
    <row r="68" spans="1:8" hidden="1">
      <c r="A68" s="17"/>
      <c r="B68" s="618"/>
      <c r="C68" s="412">
        <v>2016</v>
      </c>
      <c r="D68" s="134">
        <v>420.51114999999999</v>
      </c>
      <c r="E68" s="8">
        <v>249.68361300000001</v>
      </c>
      <c r="F68" s="393">
        <f t="shared" si="1"/>
        <v>0.59376217015886501</v>
      </c>
      <c r="H68" s="7"/>
    </row>
    <row r="69" spans="1:8" hidden="1">
      <c r="A69" s="17"/>
      <c r="B69" s="619"/>
      <c r="C69" s="412">
        <v>2015</v>
      </c>
      <c r="D69" s="134">
        <v>342.74305399999997</v>
      </c>
      <c r="E69" s="8">
        <v>210.61235600000001</v>
      </c>
      <c r="F69" s="396">
        <f t="shared" si="1"/>
        <v>0.61449051568525737</v>
      </c>
      <c r="H69" s="7"/>
    </row>
    <row r="70" spans="1:8" ht="15" customHeight="1">
      <c r="A70" s="17"/>
      <c r="B70" s="617" t="s">
        <v>31</v>
      </c>
      <c r="C70" s="555">
        <v>2022</v>
      </c>
      <c r="D70" s="224">
        <v>1746.2963</v>
      </c>
      <c r="E70" s="551">
        <v>1285.9363599999999</v>
      </c>
      <c r="F70" s="420">
        <f t="shared" ref="F70:F117" si="2">+E70/D70</f>
        <v>0.73637925018795491</v>
      </c>
      <c r="H70" s="7"/>
    </row>
    <row r="71" spans="1:8">
      <c r="A71" s="17"/>
      <c r="B71" s="618"/>
      <c r="C71" s="412">
        <v>2021</v>
      </c>
      <c r="D71" s="403">
        <v>154.677527</v>
      </c>
      <c r="E71" s="212">
        <v>93.422184999999999</v>
      </c>
      <c r="F71" s="393">
        <f t="shared" si="2"/>
        <v>0.60398033775132698</v>
      </c>
      <c r="H71" s="7"/>
    </row>
    <row r="72" spans="1:8">
      <c r="A72" s="17"/>
      <c r="B72" s="618"/>
      <c r="C72" s="404">
        <v>2020</v>
      </c>
      <c r="D72" s="403">
        <v>908.44226700000002</v>
      </c>
      <c r="E72" s="212">
        <v>500.08018800000002</v>
      </c>
      <c r="F72" s="393">
        <f t="shared" si="2"/>
        <v>0.55048097844615151</v>
      </c>
      <c r="H72" s="7"/>
    </row>
    <row r="73" spans="1:8">
      <c r="A73" s="17"/>
      <c r="B73" s="618"/>
      <c r="C73" s="413">
        <v>2019</v>
      </c>
      <c r="D73" s="136">
        <v>2723.4836529999998</v>
      </c>
      <c r="E73" s="553">
        <v>2580.5601360000001</v>
      </c>
      <c r="F73" s="393">
        <f t="shared" si="2"/>
        <v>0.94752180104236527</v>
      </c>
      <c r="H73" s="7"/>
    </row>
    <row r="74" spans="1:8" hidden="1">
      <c r="A74" s="17"/>
      <c r="B74" s="618"/>
      <c r="C74" s="413">
        <v>2018</v>
      </c>
      <c r="D74" s="136">
        <v>2375.5177199999998</v>
      </c>
      <c r="E74" s="101">
        <v>1871.2592500000001</v>
      </c>
      <c r="F74" s="393">
        <f t="shared" si="2"/>
        <v>0.78772691706126285</v>
      </c>
      <c r="H74" s="7"/>
    </row>
    <row r="75" spans="1:8" hidden="1">
      <c r="A75" s="17"/>
      <c r="B75" s="618"/>
      <c r="C75" s="413">
        <v>2017</v>
      </c>
      <c r="D75" s="137">
        <v>1916.3927060000001</v>
      </c>
      <c r="E75" s="134">
        <v>1461.7348950000001</v>
      </c>
      <c r="F75" s="393">
        <f t="shared" si="2"/>
        <v>0.76275331795173296</v>
      </c>
      <c r="H75" s="7"/>
    </row>
    <row r="76" spans="1:8" hidden="1">
      <c r="A76" s="17"/>
      <c r="B76" s="618"/>
      <c r="C76" s="413">
        <v>2016</v>
      </c>
      <c r="D76" s="137">
        <v>1554.1298810000001</v>
      </c>
      <c r="E76" s="134">
        <v>1131.42445</v>
      </c>
      <c r="F76" s="393">
        <f t="shared" si="2"/>
        <v>0.72801151553175747</v>
      </c>
      <c r="H76" s="61"/>
    </row>
    <row r="77" spans="1:8" hidden="1">
      <c r="A77" s="17"/>
      <c r="B77" s="619"/>
      <c r="C77" s="413">
        <v>2015</v>
      </c>
      <c r="D77" s="137">
        <v>1328.848144</v>
      </c>
      <c r="E77" s="135">
        <v>1053.2127820000001</v>
      </c>
      <c r="F77" s="396">
        <f t="shared" si="2"/>
        <v>0.79257572564288437</v>
      </c>
      <c r="H77" s="7"/>
    </row>
    <row r="78" spans="1:8" ht="15" customHeight="1">
      <c r="A78" s="17"/>
      <c r="B78" s="617" t="s">
        <v>32</v>
      </c>
      <c r="C78" s="556">
        <v>2022</v>
      </c>
      <c r="D78" s="557">
        <v>760.41475300000002</v>
      </c>
      <c r="E78" s="212">
        <v>607.98759700000005</v>
      </c>
      <c r="F78" s="420">
        <f t="shared" si="2"/>
        <v>0.79954734518413539</v>
      </c>
      <c r="H78" s="7"/>
    </row>
    <row r="79" spans="1:8">
      <c r="A79" s="17"/>
      <c r="B79" s="618"/>
      <c r="C79" s="413">
        <v>2021</v>
      </c>
      <c r="D79" s="415">
        <v>603.13991699999997</v>
      </c>
      <c r="E79" s="212">
        <v>250.11065300000001</v>
      </c>
      <c r="F79" s="393">
        <f t="shared" si="2"/>
        <v>0.41468098189229952</v>
      </c>
      <c r="H79" s="7"/>
    </row>
    <row r="80" spans="1:8">
      <c r="A80" s="17"/>
      <c r="B80" s="618"/>
      <c r="C80" s="399">
        <v>2020</v>
      </c>
      <c r="D80" s="415">
        <v>621.12304200000005</v>
      </c>
      <c r="E80" s="212">
        <v>445.45963899999998</v>
      </c>
      <c r="F80" s="393">
        <f t="shared" si="2"/>
        <v>0.71718421130478671</v>
      </c>
      <c r="H80" s="7"/>
    </row>
    <row r="81" spans="1:8">
      <c r="A81" s="17"/>
      <c r="B81" s="618"/>
      <c r="C81" s="413">
        <v>2019</v>
      </c>
      <c r="D81" s="558">
        <v>570.24379599999997</v>
      </c>
      <c r="E81" s="101">
        <v>557.05181700000003</v>
      </c>
      <c r="F81" s="396">
        <f t="shared" si="2"/>
        <v>0.97686607185814966</v>
      </c>
      <c r="H81" s="7"/>
    </row>
    <row r="82" spans="1:8" hidden="1">
      <c r="A82" s="17"/>
      <c r="B82" s="618"/>
      <c r="C82" s="413">
        <v>2018</v>
      </c>
      <c r="D82" s="136">
        <v>583.78438300000005</v>
      </c>
      <c r="E82" s="101">
        <v>180.28854200000001</v>
      </c>
      <c r="F82" s="393">
        <f t="shared" si="2"/>
        <v>0.3088272781014082</v>
      </c>
      <c r="H82" s="7"/>
    </row>
    <row r="83" spans="1:8" hidden="1">
      <c r="A83" s="17"/>
      <c r="B83" s="618"/>
      <c r="C83" s="413">
        <v>2017</v>
      </c>
      <c r="D83" s="137">
        <v>428.219964</v>
      </c>
      <c r="E83" s="134">
        <v>340.62293099999999</v>
      </c>
      <c r="F83" s="393">
        <f t="shared" si="2"/>
        <v>0.79543916593295494</v>
      </c>
      <c r="H83" s="7"/>
    </row>
    <row r="84" spans="1:8" hidden="1">
      <c r="A84" s="17"/>
      <c r="B84" s="618"/>
      <c r="C84" s="413">
        <v>2016</v>
      </c>
      <c r="D84" s="137">
        <v>423.19462399999998</v>
      </c>
      <c r="E84" s="134">
        <v>354.36854699999998</v>
      </c>
      <c r="F84" s="393">
        <f t="shared" si="2"/>
        <v>0.83736542692943094</v>
      </c>
      <c r="H84" s="7"/>
    </row>
    <row r="85" spans="1:8" hidden="1">
      <c r="A85" s="17"/>
      <c r="B85" s="619"/>
      <c r="C85" s="413">
        <v>2015</v>
      </c>
      <c r="D85" s="138">
        <v>604.58458099999996</v>
      </c>
      <c r="E85" s="134">
        <v>531.20047099999999</v>
      </c>
      <c r="F85" s="396">
        <f t="shared" si="2"/>
        <v>0.87862060610507042</v>
      </c>
      <c r="H85" s="7"/>
    </row>
    <row r="86" spans="1:8" ht="15" customHeight="1">
      <c r="A86" s="17"/>
      <c r="B86" s="628" t="s">
        <v>33</v>
      </c>
      <c r="C86" s="374">
        <v>2022</v>
      </c>
      <c r="D86" s="403">
        <v>254.555271</v>
      </c>
      <c r="E86" s="551">
        <v>246.17783800000001</v>
      </c>
      <c r="F86" s="393">
        <f t="shared" si="2"/>
        <v>0.96708992523670823</v>
      </c>
    </row>
    <row r="87" spans="1:8">
      <c r="A87" s="17"/>
      <c r="B87" s="626"/>
      <c r="C87" s="133">
        <v>2021</v>
      </c>
      <c r="D87" s="403">
        <v>212.560112</v>
      </c>
      <c r="E87" s="212">
        <v>207.588899</v>
      </c>
      <c r="F87" s="393">
        <f t="shared" si="2"/>
        <v>0.9766126722778542</v>
      </c>
    </row>
    <row r="88" spans="1:8" ht="15">
      <c r="A88" s="17"/>
      <c r="B88" s="626"/>
      <c r="C88" s="365">
        <v>2020</v>
      </c>
      <c r="D88" s="403">
        <v>205.23578000000001</v>
      </c>
      <c r="E88" s="212">
        <v>181.87106399999999</v>
      </c>
      <c r="F88" s="393">
        <f t="shared" si="2"/>
        <v>0.88615671205089086</v>
      </c>
      <c r="H88" s="145"/>
    </row>
    <row r="89" spans="1:8" ht="15">
      <c r="A89" s="17"/>
      <c r="B89" s="626"/>
      <c r="C89" s="133">
        <v>2019</v>
      </c>
      <c r="D89" s="101">
        <v>181.74813900000001</v>
      </c>
      <c r="E89" s="9">
        <v>174.59622899999999</v>
      </c>
      <c r="F89" s="393">
        <f t="shared" si="2"/>
        <v>0.96064933572717348</v>
      </c>
      <c r="H89" s="145"/>
    </row>
    <row r="90" spans="1:8" ht="15" hidden="1">
      <c r="A90" s="17"/>
      <c r="B90" s="626"/>
      <c r="C90" s="133">
        <v>2018</v>
      </c>
      <c r="D90" s="101">
        <v>154.97308799999999</v>
      </c>
      <c r="E90" s="9">
        <v>141.83075400000001</v>
      </c>
      <c r="F90" s="393">
        <f t="shared" si="2"/>
        <v>0.91519602422841329</v>
      </c>
      <c r="H90" s="145"/>
    </row>
    <row r="91" spans="1:8" ht="15" hidden="1">
      <c r="A91" s="17"/>
      <c r="B91" s="626"/>
      <c r="C91" s="133">
        <v>2017</v>
      </c>
      <c r="D91" s="134">
        <v>167.94645600000001</v>
      </c>
      <c r="E91" s="8">
        <v>161.84083699999999</v>
      </c>
      <c r="F91" s="393">
        <f t="shared" si="2"/>
        <v>0.96364544304525235</v>
      </c>
      <c r="H91" s="145"/>
    </row>
    <row r="92" spans="1:8" ht="13.9" hidden="1" customHeight="1">
      <c r="A92" s="17"/>
      <c r="B92" s="626"/>
      <c r="C92" s="133">
        <v>2016</v>
      </c>
      <c r="D92" s="134">
        <v>137.86371399999999</v>
      </c>
      <c r="E92" s="8">
        <v>130.26677599999999</v>
      </c>
      <c r="F92" s="393">
        <f t="shared" si="2"/>
        <v>0.9448953043583318</v>
      </c>
      <c r="H92" s="145"/>
    </row>
    <row r="93" spans="1:8" ht="15" hidden="1">
      <c r="A93" s="17"/>
      <c r="B93" s="629"/>
      <c r="C93" s="375">
        <v>2015</v>
      </c>
      <c r="D93" s="135">
        <v>149.790539</v>
      </c>
      <c r="E93" s="8">
        <v>144.35067900000001</v>
      </c>
      <c r="F93" s="396">
        <f t="shared" si="2"/>
        <v>0.96368355413955764</v>
      </c>
      <c r="H93" s="145"/>
    </row>
    <row r="94" spans="1:8" ht="15" customHeight="1">
      <c r="A94" s="17"/>
      <c r="B94" s="617" t="s">
        <v>34</v>
      </c>
      <c r="C94" s="556">
        <v>2022</v>
      </c>
      <c r="D94" s="416">
        <v>102.011574</v>
      </c>
      <c r="E94" s="551">
        <v>92.237841000000003</v>
      </c>
      <c r="F94" s="420">
        <f t="shared" si="2"/>
        <v>0.90418995985690809</v>
      </c>
      <c r="H94" s="145"/>
    </row>
    <row r="95" spans="1:8" ht="15">
      <c r="A95" s="17"/>
      <c r="B95" s="618"/>
      <c r="C95" s="413">
        <v>2021</v>
      </c>
      <c r="D95" s="415">
        <v>46.070760999999997</v>
      </c>
      <c r="E95" s="212">
        <v>33.997247999999999</v>
      </c>
      <c r="F95" s="393">
        <f t="shared" si="2"/>
        <v>0.73793545541824246</v>
      </c>
      <c r="H95" s="145"/>
    </row>
    <row r="96" spans="1:8" ht="15">
      <c r="A96" s="17"/>
      <c r="B96" s="618"/>
      <c r="C96" s="399">
        <v>2020</v>
      </c>
      <c r="D96" s="415">
        <v>58.458967000000001</v>
      </c>
      <c r="E96" s="212">
        <v>12.327593999999999</v>
      </c>
      <c r="F96" s="393">
        <f t="shared" si="2"/>
        <v>0.21087601496618985</v>
      </c>
      <c r="H96" s="145"/>
    </row>
    <row r="97" spans="1:8" ht="15">
      <c r="A97" s="17"/>
      <c r="B97" s="618"/>
      <c r="C97" s="413">
        <v>2019</v>
      </c>
      <c r="D97" s="9">
        <v>194.019746</v>
      </c>
      <c r="E97" s="9">
        <v>150.85631100000001</v>
      </c>
      <c r="F97" s="393">
        <f t="shared" si="2"/>
        <v>0.77753071071436208</v>
      </c>
      <c r="H97" s="145"/>
    </row>
    <row r="98" spans="1:8" ht="15" hidden="1">
      <c r="A98" s="17"/>
      <c r="B98" s="618"/>
      <c r="C98" s="413">
        <v>2018</v>
      </c>
      <c r="D98" s="9">
        <v>236.68652</v>
      </c>
      <c r="E98" s="9">
        <v>180.73517899999999</v>
      </c>
      <c r="F98" s="393">
        <f t="shared" si="2"/>
        <v>0.76360571358267459</v>
      </c>
      <c r="H98" s="182"/>
    </row>
    <row r="99" spans="1:8" ht="15" hidden="1">
      <c r="A99" s="17"/>
      <c r="B99" s="618"/>
      <c r="C99" s="413">
        <v>2017</v>
      </c>
      <c r="D99" s="8">
        <v>226.16308000000001</v>
      </c>
      <c r="E99" s="8">
        <v>176.819794</v>
      </c>
      <c r="F99" s="393">
        <f t="shared" si="2"/>
        <v>0.78182431013939147</v>
      </c>
      <c r="H99" s="182"/>
    </row>
    <row r="100" spans="1:8" ht="15" hidden="1">
      <c r="A100" s="17"/>
      <c r="B100" s="618"/>
      <c r="C100" s="413">
        <v>2016</v>
      </c>
      <c r="D100" s="8">
        <v>172.098139</v>
      </c>
      <c r="E100" s="8">
        <v>145.58709999999999</v>
      </c>
      <c r="F100" s="393">
        <f t="shared" si="2"/>
        <v>0.84595394724169559</v>
      </c>
      <c r="H100" s="182"/>
    </row>
    <row r="101" spans="1:8" hidden="1">
      <c r="A101" s="17"/>
      <c r="B101" s="619"/>
      <c r="C101" s="413">
        <v>2015</v>
      </c>
      <c r="D101" s="8">
        <v>74.955946999999995</v>
      </c>
      <c r="E101" s="8">
        <v>48.146169</v>
      </c>
      <c r="F101" s="396">
        <f t="shared" si="2"/>
        <v>0.64232620528428519</v>
      </c>
    </row>
    <row r="102" spans="1:8" ht="15" customHeight="1">
      <c r="A102" s="17"/>
      <c r="B102" s="617" t="s">
        <v>35</v>
      </c>
      <c r="C102" s="556">
        <v>2022</v>
      </c>
      <c r="D102" s="557">
        <v>297.11904700000002</v>
      </c>
      <c r="E102" s="551">
        <v>185.90102400000001</v>
      </c>
      <c r="F102" s="420">
        <f t="shared" si="2"/>
        <v>0.62567858195910275</v>
      </c>
    </row>
    <row r="103" spans="1:8">
      <c r="A103" s="17"/>
      <c r="B103" s="618"/>
      <c r="C103" s="413">
        <v>2021</v>
      </c>
      <c r="D103" s="415">
        <v>242.855898</v>
      </c>
      <c r="E103" s="212">
        <v>153.79627300000001</v>
      </c>
      <c r="F103" s="393">
        <f t="shared" si="2"/>
        <v>0.63328201730558764</v>
      </c>
    </row>
    <row r="104" spans="1:8">
      <c r="A104" s="17"/>
      <c r="B104" s="618"/>
      <c r="C104" s="399">
        <v>2020</v>
      </c>
      <c r="D104" s="415">
        <v>213.912364</v>
      </c>
      <c r="E104" s="212">
        <v>124.77922599999999</v>
      </c>
      <c r="F104" s="393">
        <f t="shared" si="2"/>
        <v>0.58331937278763368</v>
      </c>
    </row>
    <row r="105" spans="1:8">
      <c r="A105" s="17"/>
      <c r="B105" s="618"/>
      <c r="C105" s="413">
        <v>2019</v>
      </c>
      <c r="D105" s="136">
        <v>236.634872</v>
      </c>
      <c r="E105" s="101">
        <v>216.80187100000001</v>
      </c>
      <c r="F105" s="393">
        <f t="shared" si="2"/>
        <v>0.9161873276226169</v>
      </c>
    </row>
    <row r="106" spans="1:8" hidden="1">
      <c r="A106" s="17"/>
      <c r="B106" s="618"/>
      <c r="C106" s="413">
        <v>2018</v>
      </c>
      <c r="D106" s="136">
        <v>281.78403900000001</v>
      </c>
      <c r="E106" s="101">
        <v>138.44138799999999</v>
      </c>
      <c r="F106" s="393">
        <f t="shared" si="2"/>
        <v>0.49130315716710976</v>
      </c>
    </row>
    <row r="107" spans="1:8" hidden="1">
      <c r="A107" s="17"/>
      <c r="B107" s="618"/>
      <c r="C107" s="413">
        <v>2017</v>
      </c>
      <c r="D107" s="137">
        <v>213.97443200000001</v>
      </c>
      <c r="E107" s="134">
        <v>82.770516000000001</v>
      </c>
      <c r="F107" s="393">
        <f t="shared" si="2"/>
        <v>0.38682432861885108</v>
      </c>
    </row>
    <row r="108" spans="1:8" hidden="1">
      <c r="A108" s="17"/>
      <c r="B108" s="618"/>
      <c r="C108" s="413">
        <v>2016</v>
      </c>
      <c r="D108" s="137">
        <v>227.18545800000001</v>
      </c>
      <c r="E108" s="134">
        <v>98.879028000000005</v>
      </c>
      <c r="F108" s="393">
        <f t="shared" si="2"/>
        <v>0.43523484676558832</v>
      </c>
    </row>
    <row r="109" spans="1:8" hidden="1">
      <c r="A109" s="17"/>
      <c r="B109" s="619"/>
      <c r="C109" s="413">
        <v>2015</v>
      </c>
      <c r="D109" s="138">
        <v>169.799938</v>
      </c>
      <c r="E109" s="134">
        <v>84.627433999999994</v>
      </c>
      <c r="F109" s="396">
        <f t="shared" si="2"/>
        <v>0.4983949640782554</v>
      </c>
    </row>
    <row r="110" spans="1:8" ht="15" customHeight="1">
      <c r="A110" s="17"/>
      <c r="B110" s="617" t="s">
        <v>36</v>
      </c>
      <c r="C110" s="556">
        <v>2022</v>
      </c>
      <c r="D110" s="416">
        <v>502.57402000000002</v>
      </c>
      <c r="E110" s="551">
        <v>294.20494300000001</v>
      </c>
      <c r="F110" s="420">
        <f t="shared" si="2"/>
        <v>0.58539624272659374</v>
      </c>
    </row>
    <row r="111" spans="1:8">
      <c r="A111" s="17"/>
      <c r="B111" s="618"/>
      <c r="C111" s="413">
        <v>2021</v>
      </c>
      <c r="D111" s="415">
        <v>331.123085</v>
      </c>
      <c r="E111" s="212">
        <v>170.68270799999999</v>
      </c>
      <c r="F111" s="393">
        <f t="shared" si="2"/>
        <v>0.51546604791991468</v>
      </c>
    </row>
    <row r="112" spans="1:8" ht="15">
      <c r="A112" s="17"/>
      <c r="B112" s="618"/>
      <c r="C112" s="399">
        <v>2020</v>
      </c>
      <c r="D112" s="415">
        <v>329.80394899999999</v>
      </c>
      <c r="E112" s="212">
        <v>163.380864</v>
      </c>
      <c r="F112" s="393">
        <f t="shared" si="2"/>
        <v>0.49538783418266469</v>
      </c>
      <c r="H112" s="145"/>
    </row>
    <row r="113" spans="1:8">
      <c r="A113" s="17"/>
      <c r="B113" s="618"/>
      <c r="C113" s="559">
        <v>2019</v>
      </c>
      <c r="D113" s="9">
        <v>478.399609</v>
      </c>
      <c r="E113" s="9">
        <v>417.67307799999998</v>
      </c>
      <c r="F113" s="396">
        <f t="shared" si="2"/>
        <v>0.87306316757462066</v>
      </c>
    </row>
    <row r="114" spans="1:8" hidden="1">
      <c r="A114" s="17"/>
      <c r="B114" s="618"/>
      <c r="C114" s="413">
        <v>2018</v>
      </c>
      <c r="D114" s="9">
        <v>415.19877200000002</v>
      </c>
      <c r="E114" s="9">
        <v>196.696133</v>
      </c>
      <c r="F114" s="393">
        <f t="shared" si="2"/>
        <v>0.47373967907592945</v>
      </c>
    </row>
    <row r="115" spans="1:8" hidden="1">
      <c r="A115" s="17"/>
      <c r="B115" s="618"/>
      <c r="C115" s="413">
        <v>2017</v>
      </c>
      <c r="D115" s="8">
        <v>400.50458800000001</v>
      </c>
      <c r="E115" s="8">
        <v>144.56193500000001</v>
      </c>
      <c r="F115" s="393">
        <f t="shared" si="2"/>
        <v>0.36094951052096313</v>
      </c>
    </row>
    <row r="116" spans="1:8" hidden="1">
      <c r="A116" s="17"/>
      <c r="B116" s="618"/>
      <c r="C116" s="413">
        <v>2016</v>
      </c>
      <c r="D116" s="8">
        <v>351.09443800000003</v>
      </c>
      <c r="E116" s="8">
        <v>148.337245</v>
      </c>
      <c r="F116" s="393">
        <f t="shared" si="2"/>
        <v>0.42249955836668646</v>
      </c>
    </row>
    <row r="117" spans="1:8" hidden="1">
      <c r="A117" s="17"/>
      <c r="B117" s="619"/>
      <c r="C117" s="414">
        <v>2015</v>
      </c>
      <c r="D117" s="15">
        <v>344.185902</v>
      </c>
      <c r="E117" s="15">
        <v>150.90120999999999</v>
      </c>
      <c r="F117" s="396">
        <f t="shared" si="2"/>
        <v>0.43842937529730663</v>
      </c>
    </row>
    <row r="118" spans="1:8" ht="15" customHeight="1">
      <c r="A118" s="17"/>
      <c r="B118" s="617" t="s">
        <v>37</v>
      </c>
      <c r="C118" s="413">
        <v>2022</v>
      </c>
      <c r="D118" s="416">
        <v>43.440057000000003</v>
      </c>
      <c r="E118" s="417">
        <v>33.447363000000003</v>
      </c>
      <c r="F118" s="215">
        <f t="shared" ref="F118:F121" si="3">+E118/D118</f>
        <v>0.76996590957511868</v>
      </c>
    </row>
    <row r="119" spans="1:8">
      <c r="A119" s="17"/>
      <c r="B119" s="618"/>
      <c r="C119" s="413">
        <v>2021</v>
      </c>
      <c r="D119" s="415">
        <v>88.079098999999999</v>
      </c>
      <c r="E119" s="213">
        <v>7.5983830000000001</v>
      </c>
      <c r="F119" s="215">
        <f t="shared" si="3"/>
        <v>8.6267719427965545E-2</v>
      </c>
    </row>
    <row r="120" spans="1:8">
      <c r="A120" s="17"/>
      <c r="B120" s="618"/>
      <c r="C120" s="399">
        <v>2020</v>
      </c>
      <c r="D120" s="415">
        <v>111.66312600000001</v>
      </c>
      <c r="E120" s="213">
        <v>24.493154000000001</v>
      </c>
      <c r="F120" s="215">
        <f t="shared" si="3"/>
        <v>0.21934863260052381</v>
      </c>
    </row>
    <row r="121" spans="1:8">
      <c r="A121" s="17"/>
      <c r="B121" s="618"/>
      <c r="C121" s="559">
        <v>2019</v>
      </c>
      <c r="D121" s="558">
        <v>1.1041529999999999</v>
      </c>
      <c r="E121" s="103">
        <v>0</v>
      </c>
      <c r="F121" s="215">
        <f t="shared" si="3"/>
        <v>0</v>
      </c>
    </row>
    <row r="122" spans="1:8" hidden="1">
      <c r="A122" s="17"/>
      <c r="B122" s="618"/>
      <c r="C122" s="413">
        <v>2018</v>
      </c>
      <c r="D122" s="136">
        <v>0</v>
      </c>
      <c r="E122" s="103">
        <v>0</v>
      </c>
      <c r="F122" s="390" t="s">
        <v>77</v>
      </c>
    </row>
    <row r="123" spans="1:8" hidden="1">
      <c r="A123" s="17"/>
      <c r="B123" s="618"/>
      <c r="C123" s="413">
        <v>2017</v>
      </c>
      <c r="D123" s="137">
        <v>0</v>
      </c>
      <c r="E123" s="151">
        <v>0</v>
      </c>
      <c r="F123" s="390" t="s">
        <v>77</v>
      </c>
    </row>
    <row r="124" spans="1:8" hidden="1">
      <c r="A124" s="17"/>
      <c r="B124" s="618"/>
      <c r="C124" s="413">
        <v>2016</v>
      </c>
      <c r="D124" s="137">
        <v>0</v>
      </c>
      <c r="E124" s="151">
        <v>0</v>
      </c>
      <c r="F124" s="390" t="s">
        <v>77</v>
      </c>
    </row>
    <row r="125" spans="1:8" hidden="1">
      <c r="A125" s="17"/>
      <c r="B125" s="619"/>
      <c r="C125" s="418">
        <v>2015</v>
      </c>
      <c r="D125" s="138">
        <v>0</v>
      </c>
      <c r="E125" s="151">
        <v>0</v>
      </c>
      <c r="F125" s="390" t="s">
        <v>77</v>
      </c>
    </row>
    <row r="126" spans="1:8" ht="15" customHeight="1">
      <c r="A126" s="17"/>
      <c r="B126" s="617" t="s">
        <v>38</v>
      </c>
      <c r="C126" s="419">
        <v>2022</v>
      </c>
      <c r="D126" s="9">
        <v>6.0597810000000001</v>
      </c>
      <c r="E126" s="224">
        <v>4.7028179999999997</v>
      </c>
      <c r="F126" s="420">
        <f t="shared" ref="F126:F128" si="4">+E126/D126</f>
        <v>0.77607062037390451</v>
      </c>
    </row>
    <row r="127" spans="1:8" ht="15">
      <c r="A127" s="17"/>
      <c r="B127" s="618"/>
      <c r="C127" s="419">
        <v>2021</v>
      </c>
      <c r="D127" s="9">
        <v>5.3244429999999996</v>
      </c>
      <c r="E127" s="213">
        <v>3.3611559999999998</v>
      </c>
      <c r="F127" s="393">
        <f t="shared" si="4"/>
        <v>0.63126903602874518</v>
      </c>
      <c r="H127" s="182"/>
    </row>
    <row r="128" spans="1:8" ht="15">
      <c r="A128" s="17"/>
      <c r="B128" s="618"/>
      <c r="C128" s="399">
        <v>2020</v>
      </c>
      <c r="D128" s="9">
        <v>1.6073930000000001</v>
      </c>
      <c r="E128" s="213">
        <v>1.1512169999999999</v>
      </c>
      <c r="F128" s="393">
        <f t="shared" si="4"/>
        <v>0.71620132724231089</v>
      </c>
      <c r="H128" s="182"/>
    </row>
    <row r="129" spans="1:12" ht="15">
      <c r="A129" s="17"/>
      <c r="B129" s="618"/>
      <c r="C129" s="419">
        <v>2019</v>
      </c>
      <c r="D129" s="9">
        <v>2.242515</v>
      </c>
      <c r="E129" s="176">
        <v>1.661527</v>
      </c>
      <c r="F129" s="393">
        <f>+E129/D129</f>
        <v>0.74092124244430912</v>
      </c>
      <c r="H129" s="182"/>
    </row>
    <row r="130" spans="1:12" ht="15" hidden="1">
      <c r="A130" s="17"/>
      <c r="B130" s="618"/>
      <c r="C130" s="421">
        <v>2018</v>
      </c>
      <c r="D130" s="9">
        <v>2.5927440000000002</v>
      </c>
      <c r="E130" s="101">
        <v>0.48558800000000002</v>
      </c>
      <c r="F130" s="393">
        <f>+E130/D130</f>
        <v>0.18728729099363453</v>
      </c>
      <c r="H130" s="182"/>
    </row>
    <row r="131" spans="1:12" ht="15" hidden="1">
      <c r="A131" s="17"/>
      <c r="B131" s="618"/>
      <c r="C131" s="421">
        <v>2017</v>
      </c>
      <c r="D131" s="9">
        <v>2.666363</v>
      </c>
      <c r="E131" s="134">
        <v>0.22278100000000001</v>
      </c>
      <c r="F131" s="393">
        <f t="shared" ref="F131:F165" si="5">+E131/D131</f>
        <v>8.3552389528357543E-2</v>
      </c>
      <c r="H131" s="182"/>
    </row>
    <row r="132" spans="1:12" ht="15" hidden="1">
      <c r="A132" s="17"/>
      <c r="B132" s="618"/>
      <c r="C132" s="421">
        <v>2016</v>
      </c>
      <c r="D132" s="9">
        <v>2.8598020000000002</v>
      </c>
      <c r="E132" s="134">
        <v>0.82211299999999998</v>
      </c>
      <c r="F132" s="393">
        <f t="shared" si="5"/>
        <v>0.287471999809777</v>
      </c>
      <c r="H132" s="145"/>
    </row>
    <row r="133" spans="1:12" ht="15" hidden="1">
      <c r="A133" s="17"/>
      <c r="B133" s="619"/>
      <c r="C133" s="419">
        <v>2015</v>
      </c>
      <c r="D133" s="176">
        <v>1.2240139999999999</v>
      </c>
      <c r="E133" s="135">
        <v>0.52214799999999995</v>
      </c>
      <c r="F133" s="396">
        <f t="shared" si="5"/>
        <v>0.4265866240092025</v>
      </c>
      <c r="H133" s="145"/>
    </row>
    <row r="134" spans="1:12" ht="15" customHeight="1">
      <c r="A134" s="17"/>
      <c r="B134" s="617" t="s">
        <v>39</v>
      </c>
      <c r="C134" s="556">
        <v>2022</v>
      </c>
      <c r="D134" s="561">
        <v>6.182105</v>
      </c>
      <c r="E134" s="213">
        <v>2.6006230000000001</v>
      </c>
      <c r="F134" s="389">
        <f t="shared" si="5"/>
        <v>0.42066949687849042</v>
      </c>
      <c r="H134" s="145"/>
      <c r="L134" s="145"/>
    </row>
    <row r="135" spans="1:12" ht="15">
      <c r="A135" s="17"/>
      <c r="B135" s="618"/>
      <c r="C135" s="419">
        <v>2021</v>
      </c>
      <c r="D135" s="9">
        <v>5.8843959999999997</v>
      </c>
      <c r="E135" s="213">
        <v>3.4665729999999999</v>
      </c>
      <c r="F135" s="393">
        <f t="shared" si="5"/>
        <v>0.58911279934253236</v>
      </c>
      <c r="H135" s="145"/>
    </row>
    <row r="136" spans="1:12" ht="15">
      <c r="A136" s="17"/>
      <c r="B136" s="618"/>
      <c r="C136" s="399">
        <v>2020</v>
      </c>
      <c r="D136" s="9">
        <v>6.4952160000000001</v>
      </c>
      <c r="E136" s="213">
        <v>4.5638050000000003</v>
      </c>
      <c r="F136" s="393">
        <f t="shared" si="5"/>
        <v>0.70264098992242907</v>
      </c>
      <c r="H136" s="145"/>
    </row>
    <row r="137" spans="1:12" ht="15">
      <c r="A137" s="17"/>
      <c r="B137" s="618"/>
      <c r="C137" s="419">
        <v>2019</v>
      </c>
      <c r="D137" s="9">
        <v>5.2376909999999999</v>
      </c>
      <c r="E137" s="562">
        <v>5.237482</v>
      </c>
      <c r="F137" s="222">
        <f t="shared" si="5"/>
        <v>0.99996009692057053</v>
      </c>
      <c r="H137" s="145"/>
    </row>
    <row r="138" spans="1:12" ht="15" hidden="1">
      <c r="A138" s="17"/>
      <c r="B138" s="618"/>
      <c r="C138" s="421">
        <v>2018</v>
      </c>
      <c r="D138" s="9">
        <v>8.093197</v>
      </c>
      <c r="E138" s="9">
        <v>3.9743219999999999</v>
      </c>
      <c r="F138" s="393">
        <f t="shared" si="5"/>
        <v>0.49106947476998275</v>
      </c>
      <c r="H138" s="145"/>
    </row>
    <row r="139" spans="1:12" ht="15" hidden="1">
      <c r="A139" s="17"/>
      <c r="B139" s="618"/>
      <c r="C139" s="421">
        <v>2017</v>
      </c>
      <c r="D139" s="9">
        <v>8.0420529999999992</v>
      </c>
      <c r="E139" s="8">
        <v>1.7027779999999999</v>
      </c>
      <c r="F139" s="393">
        <f t="shared" si="5"/>
        <v>0.21173424248758371</v>
      </c>
      <c r="H139" s="145"/>
      <c r="I139" s="149"/>
    </row>
    <row r="140" spans="1:12" ht="15" hidden="1">
      <c r="A140" s="17"/>
      <c r="B140" s="618"/>
      <c r="C140" s="421">
        <v>2016</v>
      </c>
      <c r="D140" s="9">
        <v>4.5359540000000003</v>
      </c>
      <c r="E140" s="8">
        <v>1.945646</v>
      </c>
      <c r="F140" s="393">
        <f t="shared" si="5"/>
        <v>0.4289386532579475</v>
      </c>
      <c r="H140" s="145"/>
    </row>
    <row r="141" spans="1:12" hidden="1">
      <c r="A141" s="17"/>
      <c r="B141" s="619"/>
      <c r="C141" s="421">
        <v>2015</v>
      </c>
      <c r="D141" s="176">
        <v>6.227328</v>
      </c>
      <c r="E141" s="15">
        <v>5.0566500000000003</v>
      </c>
      <c r="F141" s="396">
        <f t="shared" si="5"/>
        <v>0.812009580995252</v>
      </c>
    </row>
    <row r="142" spans="1:12" ht="15" customHeight="1">
      <c r="A142" s="17"/>
      <c r="B142" s="617" t="s">
        <v>40</v>
      </c>
      <c r="C142" s="560">
        <v>2022</v>
      </c>
      <c r="D142" s="561">
        <v>33.855092999999997</v>
      </c>
      <c r="E142" s="213">
        <v>18.623818</v>
      </c>
      <c r="F142" s="393">
        <f t="shared" si="5"/>
        <v>0.55010387949606288</v>
      </c>
      <c r="J142" s="123"/>
    </row>
    <row r="143" spans="1:12">
      <c r="A143" s="17"/>
      <c r="B143" s="618"/>
      <c r="C143" s="421">
        <v>2021</v>
      </c>
      <c r="D143" s="9">
        <v>6.4872610000000002</v>
      </c>
      <c r="E143" s="213">
        <v>3.466208</v>
      </c>
      <c r="F143" s="393">
        <f t="shared" si="5"/>
        <v>0.5343099345008625</v>
      </c>
    </row>
    <row r="144" spans="1:12">
      <c r="A144" s="17"/>
      <c r="B144" s="618"/>
      <c r="C144" s="399">
        <v>2020</v>
      </c>
      <c r="D144" s="9">
        <v>8.8746690000000008</v>
      </c>
      <c r="E144" s="213">
        <v>3.9135049999999998</v>
      </c>
      <c r="F144" s="393">
        <f t="shared" si="5"/>
        <v>0.44097475635429328</v>
      </c>
    </row>
    <row r="145" spans="1:9">
      <c r="A145" s="17"/>
      <c r="B145" s="618"/>
      <c r="C145" s="421">
        <v>2019</v>
      </c>
      <c r="D145" s="9">
        <v>24.343071999999999</v>
      </c>
      <c r="E145" s="9">
        <v>21.430838000000001</v>
      </c>
      <c r="F145" s="393">
        <f t="shared" si="5"/>
        <v>0.880367030093819</v>
      </c>
    </row>
    <row r="146" spans="1:9" ht="15" hidden="1">
      <c r="A146" s="17"/>
      <c r="B146" s="618"/>
      <c r="C146" s="421">
        <v>2018</v>
      </c>
      <c r="D146" s="9">
        <v>27.931317</v>
      </c>
      <c r="E146" s="9">
        <v>15.537519</v>
      </c>
      <c r="F146" s="393">
        <f t="shared" si="5"/>
        <v>0.55627591781654973</v>
      </c>
      <c r="H146" s="145"/>
    </row>
    <row r="147" spans="1:9" ht="15" hidden="1">
      <c r="A147" s="17"/>
      <c r="B147" s="618"/>
      <c r="C147" s="421">
        <v>2017</v>
      </c>
      <c r="D147" s="8">
        <v>31.693826000000001</v>
      </c>
      <c r="E147" s="8">
        <v>15.19309</v>
      </c>
      <c r="F147" s="393">
        <f t="shared" si="5"/>
        <v>0.47937065092740772</v>
      </c>
      <c r="H147" s="145"/>
    </row>
    <row r="148" spans="1:9" ht="15" hidden="1">
      <c r="A148" s="17"/>
      <c r="B148" s="618"/>
      <c r="C148" s="399">
        <v>2016</v>
      </c>
      <c r="D148" s="8">
        <v>25.564095999999999</v>
      </c>
      <c r="E148" s="8">
        <v>13.790918</v>
      </c>
      <c r="F148" s="393">
        <f t="shared" si="5"/>
        <v>0.53946433310217579</v>
      </c>
      <c r="H148" s="145"/>
      <c r="I148" s="149"/>
    </row>
    <row r="149" spans="1:9" ht="15" hidden="1">
      <c r="A149" s="17"/>
      <c r="B149" s="621"/>
      <c r="C149" s="399">
        <v>2015</v>
      </c>
      <c r="D149" s="8">
        <v>31.582788999999998</v>
      </c>
      <c r="E149" s="114">
        <v>15.354186</v>
      </c>
      <c r="F149" s="396">
        <f t="shared" si="5"/>
        <v>0.48615674822131766</v>
      </c>
      <c r="H149" s="145"/>
    </row>
    <row r="150" spans="1:9" ht="15">
      <c r="A150" s="17"/>
      <c r="B150" s="622" t="s">
        <v>41</v>
      </c>
      <c r="C150" s="422">
        <v>2022</v>
      </c>
      <c r="D150" s="224">
        <v>252.82143500000001</v>
      </c>
      <c r="E150" s="224">
        <v>126.99763299999999</v>
      </c>
      <c r="F150" s="389">
        <f t="shared" si="5"/>
        <v>0.50232146257693688</v>
      </c>
      <c r="H150" s="145"/>
    </row>
    <row r="151" spans="1:9">
      <c r="A151" s="17"/>
      <c r="B151" s="623"/>
      <c r="C151" s="423">
        <v>2021</v>
      </c>
      <c r="D151" s="213">
        <v>195.13543200000001</v>
      </c>
      <c r="E151" s="213">
        <v>182.95285799999999</v>
      </c>
      <c r="F151" s="215">
        <f t="shared" si="5"/>
        <v>0.93756862157150411</v>
      </c>
    </row>
    <row r="152" spans="1:9">
      <c r="A152" s="17"/>
      <c r="B152" s="623"/>
      <c r="C152" s="423">
        <v>2020</v>
      </c>
      <c r="D152" s="213">
        <v>173.90412699999999</v>
      </c>
      <c r="E152" s="213">
        <v>165.937838</v>
      </c>
      <c r="F152" s="215">
        <f t="shared" si="5"/>
        <v>0.95419148965912703</v>
      </c>
    </row>
    <row r="153" spans="1:9">
      <c r="A153" s="17"/>
      <c r="B153" s="623"/>
      <c r="C153" s="423">
        <v>2019</v>
      </c>
      <c r="D153" s="143">
        <v>254</v>
      </c>
      <c r="E153" s="562">
        <v>252</v>
      </c>
      <c r="F153" s="215">
        <f t="shared" si="5"/>
        <v>0.99212598425196852</v>
      </c>
    </row>
    <row r="154" spans="1:9" hidden="1">
      <c r="A154" s="17"/>
      <c r="B154" s="623"/>
      <c r="C154" s="423">
        <v>2018</v>
      </c>
      <c r="D154" s="143">
        <v>40</v>
      </c>
      <c r="E154" s="403">
        <v>30</v>
      </c>
      <c r="F154" s="215">
        <f t="shared" si="5"/>
        <v>0.75</v>
      </c>
    </row>
    <row r="155" spans="1:9" hidden="1">
      <c r="A155" s="17"/>
      <c r="B155" s="623"/>
      <c r="C155" s="423">
        <v>2017</v>
      </c>
      <c r="D155" s="143">
        <v>33</v>
      </c>
      <c r="E155" s="403">
        <v>15</v>
      </c>
      <c r="F155" s="215">
        <f t="shared" si="5"/>
        <v>0.45454545454545453</v>
      </c>
    </row>
    <row r="156" spans="1:9" hidden="1">
      <c r="A156" s="17"/>
      <c r="B156" s="623"/>
      <c r="C156" s="423">
        <v>2016</v>
      </c>
      <c r="D156" s="143">
        <v>25</v>
      </c>
      <c r="E156" s="403">
        <v>16</v>
      </c>
      <c r="F156" s="215">
        <f t="shared" si="5"/>
        <v>0.64</v>
      </c>
    </row>
    <row r="157" spans="1:9" hidden="1">
      <c r="A157" s="17"/>
      <c r="B157" s="624"/>
      <c r="C157" s="423">
        <v>2015</v>
      </c>
      <c r="D157" s="144">
        <v>23</v>
      </c>
      <c r="E157" s="424">
        <v>15</v>
      </c>
      <c r="F157" s="215">
        <f>+E157/D157</f>
        <v>0.65217391304347827</v>
      </c>
    </row>
    <row r="158" spans="1:9">
      <c r="A158" s="17"/>
      <c r="B158" s="625" t="s">
        <v>175</v>
      </c>
      <c r="C158" s="366">
        <v>2022</v>
      </c>
      <c r="D158" s="241">
        <v>0</v>
      </c>
      <c r="E158" s="213">
        <v>0</v>
      </c>
      <c r="F158" s="425" t="s">
        <v>77</v>
      </c>
    </row>
    <row r="159" spans="1:9">
      <c r="A159" s="17"/>
      <c r="B159" s="626"/>
      <c r="C159" s="365">
        <v>2021</v>
      </c>
      <c r="D159" s="9">
        <v>7.1406070000000001</v>
      </c>
      <c r="E159" s="213">
        <v>0</v>
      </c>
      <c r="F159" s="393">
        <f t="shared" si="5"/>
        <v>0</v>
      </c>
    </row>
    <row r="160" spans="1:9">
      <c r="A160" s="17"/>
      <c r="B160" s="626"/>
      <c r="C160" s="399">
        <v>2020</v>
      </c>
      <c r="D160" s="9">
        <v>2.4806370000000002</v>
      </c>
      <c r="E160" s="213">
        <v>0</v>
      </c>
      <c r="F160" s="393">
        <f t="shared" si="5"/>
        <v>0</v>
      </c>
    </row>
    <row r="161" spans="1:8">
      <c r="A161" s="17"/>
      <c r="B161" s="626"/>
      <c r="C161" s="548">
        <v>2019</v>
      </c>
      <c r="D161" s="9">
        <v>254.272144</v>
      </c>
      <c r="E161" s="176">
        <v>252.28671299999999</v>
      </c>
      <c r="F161" s="393">
        <f t="shared" si="5"/>
        <v>0.99219170858133798</v>
      </c>
    </row>
    <row r="162" spans="1:8" hidden="1">
      <c r="A162" s="17"/>
      <c r="B162" s="626"/>
      <c r="C162" s="399">
        <v>2018</v>
      </c>
      <c r="D162" s="9">
        <v>40.198296999999997</v>
      </c>
      <c r="E162" s="9">
        <v>30.079701</v>
      </c>
      <c r="F162" s="393">
        <f t="shared" si="5"/>
        <v>0.74828296830584651</v>
      </c>
    </row>
    <row r="163" spans="1:8" hidden="1">
      <c r="A163" s="17"/>
      <c r="B163" s="626"/>
      <c r="C163" s="399">
        <v>2017</v>
      </c>
      <c r="D163" s="8">
        <v>33.367721000000003</v>
      </c>
      <c r="E163" s="8">
        <v>14.639015000000001</v>
      </c>
      <c r="F163" s="393">
        <f t="shared" si="5"/>
        <v>0.43871785549873182</v>
      </c>
    </row>
    <row r="164" spans="1:8" hidden="1">
      <c r="A164" s="17"/>
      <c r="B164" s="626"/>
      <c r="C164" s="399">
        <v>2016</v>
      </c>
      <c r="D164" s="8">
        <v>25.371469999999999</v>
      </c>
      <c r="E164" s="8">
        <v>16.046911999999999</v>
      </c>
      <c r="F164" s="393">
        <f t="shared" si="5"/>
        <v>0.63247860687614865</v>
      </c>
    </row>
    <row r="165" spans="1:8" hidden="1">
      <c r="A165" s="17"/>
      <c r="B165" s="626"/>
      <c r="C165" s="426">
        <v>2015</v>
      </c>
      <c r="D165" s="8">
        <v>22.534523</v>
      </c>
      <c r="E165" s="114">
        <v>14.628907</v>
      </c>
      <c r="F165" s="396">
        <f t="shared" si="5"/>
        <v>0.64917757522535535</v>
      </c>
    </row>
    <row r="166" spans="1:8">
      <c r="B166" s="540" t="s">
        <v>181</v>
      </c>
      <c r="D166" s="563">
        <f>+D6+D14+D22+D30+D38+D46+D54+D62+D70+D78+D86+D94+D102+D110+D118+D126+D134+D142+D150+D158</f>
        <v>7774.3020020000004</v>
      </c>
      <c r="E166" s="528" t="e">
        <f>+E6+E14+E22+E30+E38+E46+E54+E62+E70+E78+E86+E94+E102+E110+E118+E126+E134+E142+E150+E158+#REF!</f>
        <v>#REF!</v>
      </c>
      <c r="F166" s="35"/>
      <c r="H166" s="54"/>
    </row>
    <row r="167" spans="1:8">
      <c r="D167" s="528">
        <f>+D7+D15+D23+D31+D39+D47+D55+D63+D71+D79+D87+D95+D103+D111+D119+D127+D135+D143+D151+D159</f>
        <v>5285.1653020000012</v>
      </c>
      <c r="E167" s="528" t="e">
        <f>+E7+E15+E23+E31+E39+E47+E55+E63+E71+E79+E87+E95+E103+E111+E119+E127+E135+E143+E151+E159+#REF!</f>
        <v>#REF!</v>
      </c>
    </row>
    <row r="168" spans="1:8">
      <c r="D168" s="528">
        <f>+D8+D16+D24+D32+D40+D48+D56+D64+D72+D80+D88+D96+D104+D112+D120+D128+D136+D144+D152+D160</f>
        <v>5997.8826410000001</v>
      </c>
      <c r="E168" s="528" t="e">
        <f>+E8+E16+E24+E32+E40+E48+E56+E64+E72+E80+E88+E96+E104+E112+E120+E128+E136+E144+E152+E160+#REF!</f>
        <v>#REF!</v>
      </c>
    </row>
    <row r="169" spans="1:8" ht="15">
      <c r="E169" s="123"/>
    </row>
    <row r="170" spans="1:8">
      <c r="E170" s="54"/>
    </row>
    <row r="171" spans="1:8">
      <c r="E171" s="54"/>
    </row>
  </sheetData>
  <mergeCells count="22">
    <mergeCell ref="B142:B149"/>
    <mergeCell ref="B150:B157"/>
    <mergeCell ref="B158:B165"/>
    <mergeCell ref="B6:B13"/>
    <mergeCell ref="B14:B21"/>
    <mergeCell ref="B22:B29"/>
    <mergeCell ref="B30:B37"/>
    <mergeCell ref="B38:B45"/>
    <mergeCell ref="B46:B53"/>
    <mergeCell ref="B54:B61"/>
    <mergeCell ref="B62:B69"/>
    <mergeCell ref="B70:B77"/>
    <mergeCell ref="B78:B85"/>
    <mergeCell ref="B86:B93"/>
    <mergeCell ref="B94:B101"/>
    <mergeCell ref="B102:B109"/>
    <mergeCell ref="B134:B141"/>
    <mergeCell ref="B110:B117"/>
    <mergeCell ref="C4:C5"/>
    <mergeCell ref="B4:B5"/>
    <mergeCell ref="B118:B125"/>
    <mergeCell ref="B126:B133"/>
  </mergeCells>
  <pageMargins left="0.7" right="0.7" top="0.75" bottom="0.75" header="0.3" footer="0.3"/>
  <pageSetup paperSize="9" orientation="portrait" r:id="rId1"/>
  <ignoredErrors>
    <ignoredError sqref="F130 F61 F66:F69 F74:F77 F113:F115 F82:F85 F89:F93 F97:F101 F105:F109" evalError="1" calculatedColumn="1"/>
    <ignoredError sqref="E166:E168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60"/>
  <sheetViews>
    <sheetView showGridLines="0" zoomScaleNormal="100" workbookViewId="0"/>
  </sheetViews>
  <sheetFormatPr defaultColWidth="8.85546875" defaultRowHeight="14.25"/>
  <cols>
    <col min="1" max="1" width="1.7109375" style="31" customWidth="1"/>
    <col min="2" max="2" width="32.7109375" style="31" customWidth="1"/>
    <col min="3" max="3" width="19.28515625" style="31" customWidth="1"/>
    <col min="4" max="5" width="20.7109375" style="31" customWidth="1"/>
    <col min="6" max="6" width="31" style="31" customWidth="1"/>
    <col min="7" max="7" width="37.5703125" style="31" customWidth="1"/>
    <col min="8" max="8" width="13.140625" style="31" customWidth="1"/>
    <col min="9" max="16384" width="8.85546875" style="31"/>
  </cols>
  <sheetData>
    <row r="2" spans="2:9" ht="15">
      <c r="B2" s="57" t="s">
        <v>150</v>
      </c>
      <c r="C2" s="30"/>
      <c r="D2" s="30"/>
      <c r="E2" s="30"/>
      <c r="F2" s="30"/>
      <c r="G2" s="30"/>
    </row>
    <row r="3" spans="2:9">
      <c r="B3" s="59"/>
    </row>
    <row r="4" spans="2:9" ht="15">
      <c r="B4" s="589" t="s">
        <v>106</v>
      </c>
      <c r="C4" s="620" t="s">
        <v>2</v>
      </c>
      <c r="D4" s="48" t="s">
        <v>62</v>
      </c>
      <c r="E4" s="48" t="s">
        <v>63</v>
      </c>
      <c r="F4" s="79" t="s">
        <v>78</v>
      </c>
    </row>
    <row r="5" spans="2:9" ht="15">
      <c r="B5" s="589"/>
      <c r="C5" s="620"/>
      <c r="D5" s="48" t="s">
        <v>0</v>
      </c>
      <c r="E5" s="48" t="s">
        <v>105</v>
      </c>
      <c r="F5" s="79" t="s">
        <v>137</v>
      </c>
    </row>
    <row r="6" spans="2:9" ht="15" customHeight="1">
      <c r="B6" s="630" t="s">
        <v>66</v>
      </c>
      <c r="C6" s="391">
        <v>2022</v>
      </c>
      <c r="D6" s="20">
        <v>2334.9100400000002</v>
      </c>
      <c r="E6" s="20">
        <v>1935.6501840000001</v>
      </c>
      <c r="F6" s="215">
        <f t="shared" ref="F6:F8" si="0">+E6/D6</f>
        <v>0.82900418039232038</v>
      </c>
    </row>
    <row r="7" spans="2:9" ht="15" customHeight="1">
      <c r="B7" s="631"/>
      <c r="C7" s="391">
        <v>2021</v>
      </c>
      <c r="D7" s="20">
        <v>3291.7479010000002</v>
      </c>
      <c r="E7" s="20">
        <v>2164.882212</v>
      </c>
      <c r="F7" s="215">
        <f t="shared" si="0"/>
        <v>0.65766950480695385</v>
      </c>
      <c r="H7" s="123"/>
    </row>
    <row r="8" spans="2:9" s="121" customFormat="1" ht="15" customHeight="1">
      <c r="B8" s="631"/>
      <c r="C8" s="391">
        <v>2020</v>
      </c>
      <c r="D8" s="20">
        <v>3755.4321239999999</v>
      </c>
      <c r="E8" s="20">
        <v>2330.8286199999998</v>
      </c>
      <c r="F8" s="215">
        <f t="shared" si="0"/>
        <v>0.62065523834241976</v>
      </c>
      <c r="H8" s="123"/>
    </row>
    <row r="9" spans="2:9" ht="15" customHeight="1">
      <c r="B9" s="631"/>
      <c r="C9" s="95">
        <v>2019</v>
      </c>
      <c r="D9" s="20">
        <v>6704.6978769999996</v>
      </c>
      <c r="E9" s="20">
        <v>5625.6889549999996</v>
      </c>
      <c r="F9" s="215">
        <f>+E9/D9</f>
        <v>0.8390667347291717</v>
      </c>
      <c r="H9" s="123"/>
    </row>
    <row r="10" spans="2:9" ht="15" hidden="1" customHeight="1">
      <c r="B10" s="385"/>
      <c r="C10" s="95">
        <v>2018</v>
      </c>
      <c r="D10" s="20">
        <v>5772.7031269999998</v>
      </c>
      <c r="E10" s="20">
        <v>3931.0354229999998</v>
      </c>
      <c r="F10" s="215">
        <f>+E10/D10</f>
        <v>0.68096961449720506</v>
      </c>
      <c r="H10" s="123"/>
    </row>
    <row r="11" spans="2:9" ht="15" hidden="1" customHeight="1">
      <c r="B11" s="385"/>
      <c r="C11" s="95">
        <v>2017</v>
      </c>
      <c r="D11" s="20">
        <v>5273.8542719999996</v>
      </c>
      <c r="E11" s="20">
        <v>3540.7687890000002</v>
      </c>
      <c r="F11" s="215">
        <f t="shared" ref="F11:F57" si="1">+E11/D11</f>
        <v>0.67138161321572454</v>
      </c>
      <c r="H11" s="123"/>
    </row>
    <row r="12" spans="2:9" ht="15" hidden="1" customHeight="1">
      <c r="B12" s="385"/>
      <c r="C12" s="95">
        <v>2016</v>
      </c>
      <c r="D12" s="20">
        <v>4460.6846679999999</v>
      </c>
      <c r="E12" s="20">
        <v>3057.4835410000001</v>
      </c>
      <c r="F12" s="215">
        <f t="shared" si="1"/>
        <v>0.68542920393672624</v>
      </c>
      <c r="H12" s="185"/>
    </row>
    <row r="13" spans="2:9" ht="15" hidden="1" customHeight="1">
      <c r="B13" s="386"/>
      <c r="C13" s="95">
        <v>2015</v>
      </c>
      <c r="D13" s="4">
        <v>4103.9382800000003</v>
      </c>
      <c r="E13" s="60">
        <v>2837.9008210000002</v>
      </c>
      <c r="F13" s="382">
        <f t="shared" si="1"/>
        <v>0.69150670097309552</v>
      </c>
      <c r="G13" s="145"/>
      <c r="H13" s="123"/>
    </row>
    <row r="14" spans="2:9" ht="15" customHeight="1">
      <c r="B14" s="630" t="s">
        <v>120</v>
      </c>
      <c r="C14" s="99">
        <v>2022</v>
      </c>
      <c r="D14" s="104">
        <v>1841.2964260000001</v>
      </c>
      <c r="E14" s="224">
        <v>1277.401339</v>
      </c>
      <c r="F14" s="389">
        <f t="shared" si="1"/>
        <v>0.69375105548594596</v>
      </c>
      <c r="G14" s="145"/>
      <c r="H14" s="123"/>
    </row>
    <row r="15" spans="2:9" ht="15" customHeight="1">
      <c r="B15" s="631"/>
      <c r="C15" s="95">
        <v>2021</v>
      </c>
      <c r="D15" s="20">
        <v>444.46637600000003</v>
      </c>
      <c r="E15" s="213">
        <v>283.93353000000002</v>
      </c>
      <c r="F15" s="215">
        <f t="shared" si="1"/>
        <v>0.63881891934160617</v>
      </c>
    </row>
    <row r="16" spans="2:9" ht="15" customHeight="1">
      <c r="B16" s="631"/>
      <c r="C16" s="95">
        <v>2020</v>
      </c>
      <c r="D16" s="20">
        <v>637.43185600000004</v>
      </c>
      <c r="E16" s="213">
        <v>327.74138299999998</v>
      </c>
      <c r="F16" s="215">
        <f t="shared" si="1"/>
        <v>0.51415908997180704</v>
      </c>
      <c r="I16" s="54"/>
    </row>
    <row r="17" spans="2:9" ht="15" customHeight="1">
      <c r="B17" s="631"/>
      <c r="C17" s="95">
        <v>2019</v>
      </c>
      <c r="D17" s="20">
        <v>624.74623199999996</v>
      </c>
      <c r="E17" s="184">
        <v>551.57468800000004</v>
      </c>
      <c r="F17" s="215">
        <f t="shared" si="1"/>
        <v>0.88287797468460771</v>
      </c>
    </row>
    <row r="18" spans="2:9" ht="15" hidden="1" customHeight="1">
      <c r="C18" s="95">
        <v>2018</v>
      </c>
      <c r="D18" s="4">
        <v>585.01019499999995</v>
      </c>
      <c r="E18" s="20">
        <v>263.35358100000002</v>
      </c>
      <c r="F18" s="215">
        <f t="shared" si="1"/>
        <v>0.45016921628177786</v>
      </c>
    </row>
    <row r="19" spans="2:9" ht="15" hidden="1" customHeight="1">
      <c r="B19" s="385"/>
      <c r="C19" s="95">
        <v>2017</v>
      </c>
      <c r="D19" s="4">
        <v>503.06780199999997</v>
      </c>
      <c r="E19" s="20">
        <v>172.429686</v>
      </c>
      <c r="F19" s="215">
        <f t="shared" si="1"/>
        <v>0.34275635473883898</v>
      </c>
    </row>
    <row r="20" spans="2:9" ht="15" hidden="1" customHeight="1">
      <c r="B20" s="385"/>
      <c r="C20" s="95">
        <v>2016</v>
      </c>
      <c r="D20" s="4">
        <v>395.13710900000001</v>
      </c>
      <c r="E20" s="20">
        <v>176.75879900000001</v>
      </c>
      <c r="F20" s="215">
        <f t="shared" si="1"/>
        <v>0.44733535518173773</v>
      </c>
    </row>
    <row r="21" spans="2:9" ht="15" hidden="1" customHeight="1">
      <c r="B21" s="385"/>
      <c r="C21" s="95">
        <v>2015</v>
      </c>
      <c r="D21" s="4">
        <v>359.18658299999998</v>
      </c>
      <c r="E21" s="60">
        <v>143.93446700000001</v>
      </c>
      <c r="F21" s="222">
        <f t="shared" si="1"/>
        <v>0.4007233950606669</v>
      </c>
    </row>
    <row r="22" spans="2:9" ht="15" customHeight="1">
      <c r="B22" s="630" t="s">
        <v>125</v>
      </c>
      <c r="C22" s="99">
        <v>2022</v>
      </c>
      <c r="D22" s="104">
        <v>466.35462200000001</v>
      </c>
      <c r="E22" s="224">
        <v>287.70613100000003</v>
      </c>
      <c r="F22" s="389">
        <f t="shared" si="1"/>
        <v>0.61692565577274372</v>
      </c>
    </row>
    <row r="23" spans="2:9" ht="15" customHeight="1">
      <c r="B23" s="631"/>
      <c r="C23" s="95">
        <v>2021</v>
      </c>
      <c r="D23" s="20">
        <v>537.78830400000004</v>
      </c>
      <c r="E23" s="213">
        <v>261.81876499999998</v>
      </c>
      <c r="F23" s="215">
        <f t="shared" si="1"/>
        <v>0.48684354615491965</v>
      </c>
    </row>
    <row r="24" spans="2:9" ht="15" customHeight="1">
      <c r="B24" s="631"/>
      <c r="C24" s="95">
        <v>2020</v>
      </c>
      <c r="D24" s="20">
        <v>497.09195699999998</v>
      </c>
      <c r="E24" s="213">
        <v>239.48835099999999</v>
      </c>
      <c r="F24" s="215">
        <f t="shared" si="1"/>
        <v>0.48177876875203596</v>
      </c>
      <c r="G24" s="502"/>
    </row>
    <row r="25" spans="2:9" ht="15" customHeight="1">
      <c r="B25" s="632"/>
      <c r="C25" s="95">
        <v>2019</v>
      </c>
      <c r="D25" s="60">
        <v>493.166965</v>
      </c>
      <c r="E25" s="20">
        <v>410.12929800000001</v>
      </c>
      <c r="F25" s="222">
        <f t="shared" si="1"/>
        <v>0.83162362264066081</v>
      </c>
      <c r="G25" s="502"/>
    </row>
    <row r="26" spans="2:9" ht="15" customHeight="1">
      <c r="B26" s="630" t="s">
        <v>126</v>
      </c>
      <c r="C26" s="99">
        <v>2022</v>
      </c>
      <c r="D26" s="4">
        <v>742.21564599999999</v>
      </c>
      <c r="E26" s="430">
        <v>599.52966500000002</v>
      </c>
      <c r="F26" s="215">
        <f t="shared" si="1"/>
        <v>0.80775670552221157</v>
      </c>
      <c r="G26" s="503"/>
    </row>
    <row r="27" spans="2:9" ht="15" customHeight="1">
      <c r="B27" s="631"/>
      <c r="C27" s="95">
        <v>2021</v>
      </c>
      <c r="D27" s="20">
        <v>359.42290700000001</v>
      </c>
      <c r="E27" s="213">
        <f>199.439225</f>
        <v>199.43922499999999</v>
      </c>
      <c r="F27" s="215">
        <f t="shared" si="1"/>
        <v>0.55488735168457137</v>
      </c>
      <c r="G27" s="145"/>
      <c r="H27" s="123"/>
    </row>
    <row r="28" spans="2:9" ht="15" customHeight="1">
      <c r="B28" s="631"/>
      <c r="C28" s="95">
        <v>2020</v>
      </c>
      <c r="D28" s="20">
        <v>376.37872700000003</v>
      </c>
      <c r="E28" s="213">
        <v>199.98396199999999</v>
      </c>
      <c r="F28" s="215">
        <f t="shared" si="1"/>
        <v>0.53133704870626219</v>
      </c>
      <c r="G28" s="145"/>
      <c r="I28" s="121"/>
    </row>
    <row r="29" spans="2:9" ht="15" customHeight="1">
      <c r="B29" s="631"/>
      <c r="C29" s="95">
        <v>2019</v>
      </c>
      <c r="D29" s="4">
        <v>471.613945</v>
      </c>
      <c r="E29" s="20">
        <v>406.89860499999998</v>
      </c>
      <c r="F29" s="215">
        <f t="shared" si="1"/>
        <v>0.86277899395023183</v>
      </c>
      <c r="G29" s="145"/>
    </row>
    <row r="30" spans="2:9" ht="15" hidden="1" customHeight="1">
      <c r="C30" s="95">
        <v>2018</v>
      </c>
      <c r="D30" s="4">
        <v>438.01774599999999</v>
      </c>
      <c r="E30" s="20">
        <v>198.12714399999999</v>
      </c>
      <c r="F30" s="215">
        <f t="shared" si="1"/>
        <v>0.45232675116318233</v>
      </c>
      <c r="G30" s="145"/>
    </row>
    <row r="31" spans="2:9" ht="15" hidden="1" customHeight="1">
      <c r="B31" s="385"/>
      <c r="C31" s="95">
        <v>2017</v>
      </c>
      <c r="D31" s="4">
        <v>404.60388399999999</v>
      </c>
      <c r="E31" s="20">
        <v>146.69815199999999</v>
      </c>
      <c r="F31" s="215">
        <f t="shared" si="1"/>
        <v>0.36257227822360694</v>
      </c>
      <c r="G31" s="145"/>
    </row>
    <row r="32" spans="2:9" ht="15" hidden="1" customHeight="1">
      <c r="B32" s="385"/>
      <c r="C32" s="95">
        <v>2016</v>
      </c>
      <c r="D32" s="4">
        <v>332.764208</v>
      </c>
      <c r="E32" s="20">
        <v>142.800017</v>
      </c>
      <c r="F32" s="215">
        <f t="shared" si="1"/>
        <v>0.42913274194441009</v>
      </c>
      <c r="G32" s="145"/>
    </row>
    <row r="33" spans="2:8" ht="15" hidden="1" customHeight="1">
      <c r="B33" s="386"/>
      <c r="C33" s="95">
        <v>2015</v>
      </c>
      <c r="D33" s="60">
        <v>372.26507500000002</v>
      </c>
      <c r="E33" s="60">
        <v>160.90602899999999</v>
      </c>
      <c r="F33" s="382">
        <f t="shared" si="1"/>
        <v>0.43223509215845718</v>
      </c>
      <c r="G33" s="145"/>
    </row>
    <row r="34" spans="2:8" ht="15" customHeight="1">
      <c r="B34" s="630" t="s">
        <v>123</v>
      </c>
      <c r="C34" s="99">
        <v>2022</v>
      </c>
      <c r="D34" s="530">
        <v>834.73917100000006</v>
      </c>
      <c r="E34" s="430">
        <v>480.82901500000003</v>
      </c>
      <c r="F34" s="389">
        <f t="shared" si="1"/>
        <v>0.57602306409555082</v>
      </c>
      <c r="G34" s="145"/>
    </row>
    <row r="35" spans="2:8" ht="15" customHeight="1">
      <c r="B35" s="631"/>
      <c r="C35" s="95">
        <v>2021</v>
      </c>
      <c r="D35" s="20">
        <v>301.257564</v>
      </c>
      <c r="E35" s="213">
        <v>185.20529300000001</v>
      </c>
      <c r="F35" s="215">
        <f t="shared" si="1"/>
        <v>0.61477391817454918</v>
      </c>
      <c r="G35" s="145"/>
      <c r="H35" s="123"/>
    </row>
    <row r="36" spans="2:8" ht="15" customHeight="1">
      <c r="B36" s="631"/>
      <c r="C36" s="95">
        <v>2020</v>
      </c>
      <c r="D36" s="20">
        <v>336.01069699999999</v>
      </c>
      <c r="E36" s="213">
        <v>180.58988099999999</v>
      </c>
      <c r="F36" s="215">
        <f t="shared" si="1"/>
        <v>0.53745277341572251</v>
      </c>
      <c r="G36" s="145"/>
    </row>
    <row r="37" spans="2:8" ht="15" customHeight="1">
      <c r="B37" s="632"/>
      <c r="C37" s="95">
        <v>2019</v>
      </c>
      <c r="D37" s="4">
        <v>363.53124300000002</v>
      </c>
      <c r="E37" s="20">
        <v>312.47773699999999</v>
      </c>
      <c r="F37" s="222">
        <f t="shared" si="1"/>
        <v>0.85956226051250284</v>
      </c>
      <c r="G37" s="145"/>
      <c r="H37" s="123"/>
    </row>
    <row r="38" spans="2:8" ht="15" hidden="1" customHeight="1">
      <c r="C38" s="95">
        <v>2018</v>
      </c>
      <c r="D38" s="4">
        <v>344.72188699999998</v>
      </c>
      <c r="E38" s="20">
        <v>173.21066200000001</v>
      </c>
      <c r="F38" s="215">
        <f t="shared" si="1"/>
        <v>0.50246493922215052</v>
      </c>
      <c r="G38" s="145"/>
    </row>
    <row r="39" spans="2:8" ht="15" hidden="1" customHeight="1">
      <c r="B39" s="385"/>
      <c r="C39" s="95">
        <v>2017</v>
      </c>
      <c r="D39" s="4">
        <v>370.88325400000002</v>
      </c>
      <c r="E39" s="20">
        <v>136.22287299999999</v>
      </c>
      <c r="F39" s="215">
        <f t="shared" si="1"/>
        <v>0.36729313478251563</v>
      </c>
    </row>
    <row r="40" spans="2:8" ht="15" hidden="1" customHeight="1">
      <c r="B40" s="385"/>
      <c r="C40" s="95">
        <v>2016</v>
      </c>
      <c r="D40" s="4">
        <v>376.62806399999999</v>
      </c>
      <c r="E40" s="20">
        <v>149.61069699999999</v>
      </c>
      <c r="F40" s="215">
        <f t="shared" si="1"/>
        <v>0.3972372515501128</v>
      </c>
    </row>
    <row r="41" spans="2:8" ht="15" hidden="1" customHeight="1">
      <c r="B41" s="386"/>
      <c r="C41" s="95">
        <v>2015</v>
      </c>
      <c r="D41" s="4">
        <v>327.47739000000001</v>
      </c>
      <c r="E41" s="60">
        <v>158.62545700000001</v>
      </c>
      <c r="F41" s="382">
        <f t="shared" si="1"/>
        <v>0.48438598157875878</v>
      </c>
    </row>
    <row r="42" spans="2:8" ht="15" customHeight="1">
      <c r="B42" s="630" t="s">
        <v>124</v>
      </c>
      <c r="C42" s="99">
        <v>2022</v>
      </c>
      <c r="D42" s="104">
        <v>594.60751400000004</v>
      </c>
      <c r="E42" s="224">
        <v>336.49511899999999</v>
      </c>
      <c r="F42" s="215">
        <f t="shared" si="1"/>
        <v>0.56591131305481612</v>
      </c>
    </row>
    <row r="43" spans="2:8" ht="15" customHeight="1">
      <c r="B43" s="631"/>
      <c r="C43" s="95">
        <v>2021</v>
      </c>
      <c r="D43" s="20">
        <v>151.130889</v>
      </c>
      <c r="E43" s="213">
        <v>124.151717</v>
      </c>
      <c r="F43" s="215">
        <f t="shared" si="1"/>
        <v>0.82148472639501258</v>
      </c>
    </row>
    <row r="44" spans="2:8" ht="15" customHeight="1">
      <c r="B44" s="631"/>
      <c r="C44" s="95">
        <v>2020</v>
      </c>
      <c r="D44" s="20">
        <v>169.278414</v>
      </c>
      <c r="E44" s="213">
        <f>92.742755</f>
        <v>92.742755000000002</v>
      </c>
      <c r="F44" s="215">
        <f t="shared" si="1"/>
        <v>0.54787112431240059</v>
      </c>
    </row>
    <row r="45" spans="2:8" ht="15" customHeight="1">
      <c r="B45" s="631"/>
      <c r="C45" s="95">
        <v>2019</v>
      </c>
      <c r="D45" s="4">
        <v>126.587279</v>
      </c>
      <c r="E45" s="60">
        <v>108.287768</v>
      </c>
      <c r="F45" s="215">
        <f t="shared" si="1"/>
        <v>0.85543957382953151</v>
      </c>
    </row>
    <row r="46" spans="2:8" ht="15" hidden="1" customHeight="1">
      <c r="C46" s="95">
        <v>2018</v>
      </c>
      <c r="D46" s="4">
        <v>133.26955599999999</v>
      </c>
      <c r="E46" s="20">
        <v>62.769947000000002</v>
      </c>
      <c r="F46" s="215">
        <f t="shared" si="1"/>
        <v>0.47099989588019642</v>
      </c>
    </row>
    <row r="47" spans="2:8" ht="15" hidden="1" customHeight="1">
      <c r="B47" s="385"/>
      <c r="C47" s="95">
        <v>2017</v>
      </c>
      <c r="D47" s="4">
        <v>112.99128399999999</v>
      </c>
      <c r="E47" s="20">
        <v>43.837632999999997</v>
      </c>
      <c r="F47" s="215">
        <f t="shared" si="1"/>
        <v>0.38797358033386009</v>
      </c>
    </row>
    <row r="48" spans="2:8" ht="15" hidden="1" customHeight="1">
      <c r="B48" s="385"/>
      <c r="C48" s="95">
        <v>2016</v>
      </c>
      <c r="D48" s="4">
        <v>121.19125099999999</v>
      </c>
      <c r="E48" s="20">
        <v>56.815829000000001</v>
      </c>
      <c r="F48" s="215">
        <f t="shared" si="1"/>
        <v>0.4688113088295458</v>
      </c>
    </row>
    <row r="49" spans="2:6" ht="15" hidden="1" customHeight="1">
      <c r="B49" s="386"/>
      <c r="C49" s="95">
        <v>2015</v>
      </c>
      <c r="D49" s="60">
        <v>106.59615599999999</v>
      </c>
      <c r="E49" s="60">
        <v>49.052652999999999</v>
      </c>
      <c r="F49" s="382">
        <f t="shared" si="1"/>
        <v>0.46017281336111221</v>
      </c>
    </row>
    <row r="50" spans="2:6" ht="15" customHeight="1">
      <c r="B50" s="614" t="s">
        <v>67</v>
      </c>
      <c r="C50" s="99">
        <v>2022</v>
      </c>
      <c r="D50" s="104">
        <v>960.16858300000001</v>
      </c>
      <c r="E50" s="213">
        <v>596.83185400000002</v>
      </c>
      <c r="F50" s="389">
        <f t="shared" si="1"/>
        <v>0.62159069205870909</v>
      </c>
    </row>
    <row r="51" spans="2:6" ht="15" customHeight="1">
      <c r="B51" s="612"/>
      <c r="C51" s="95">
        <v>2021</v>
      </c>
      <c r="D51" s="20">
        <v>199.351361</v>
      </c>
      <c r="E51" s="213">
        <v>171.906913</v>
      </c>
      <c r="F51" s="215">
        <f t="shared" si="1"/>
        <v>0.86233127347447613</v>
      </c>
    </row>
    <row r="52" spans="2:6" ht="15" customHeight="1">
      <c r="B52" s="612"/>
      <c r="C52" s="95">
        <v>2020</v>
      </c>
      <c r="D52" s="20">
        <v>226.25886600000001</v>
      </c>
      <c r="E52" s="213">
        <v>147.36200600000001</v>
      </c>
      <c r="F52" s="215">
        <f t="shared" si="1"/>
        <v>0.65129826116957557</v>
      </c>
    </row>
    <row r="53" spans="2:6" ht="15" customHeight="1">
      <c r="B53" s="613"/>
      <c r="C53" s="95">
        <v>2019</v>
      </c>
      <c r="D53" s="60">
        <v>175.64342199999999</v>
      </c>
      <c r="E53" s="60">
        <v>149.247828</v>
      </c>
      <c r="F53" s="215">
        <f t="shared" si="1"/>
        <v>0.84972056625041159</v>
      </c>
    </row>
    <row r="54" spans="2:6" ht="15" hidden="1" customHeight="1">
      <c r="C54" s="95">
        <v>2018</v>
      </c>
      <c r="D54" s="4">
        <v>180.36263500000001</v>
      </c>
      <c r="E54" s="20">
        <v>109.294691</v>
      </c>
      <c r="F54" s="215">
        <f t="shared" si="1"/>
        <v>0.60597191319587895</v>
      </c>
    </row>
    <row r="55" spans="2:6" ht="15" hidden="1" customHeight="1">
      <c r="B55" s="431"/>
      <c r="C55" s="95">
        <v>2017</v>
      </c>
      <c r="D55" s="4">
        <v>178.232753</v>
      </c>
      <c r="E55" s="20">
        <v>103.822678</v>
      </c>
      <c r="F55" s="215">
        <f t="shared" si="1"/>
        <v>0.58251177885357575</v>
      </c>
    </row>
    <row r="56" spans="2:6" ht="15" hidden="1" customHeight="1">
      <c r="B56" s="431"/>
      <c r="C56" s="352">
        <v>2016</v>
      </c>
      <c r="D56" s="150">
        <v>168.62090599999999</v>
      </c>
      <c r="E56" s="20">
        <v>97.275761000000003</v>
      </c>
      <c r="F56" s="215">
        <f t="shared" si="1"/>
        <v>0.57689027598985865</v>
      </c>
    </row>
    <row r="57" spans="2:6" ht="15" hidden="1" customHeight="1">
      <c r="B57" s="529"/>
      <c r="C57" s="98">
        <v>2015</v>
      </c>
      <c r="D57" s="132">
        <v>208.68914599999999</v>
      </c>
      <c r="E57" s="60">
        <v>136.46871999999999</v>
      </c>
      <c r="F57" s="215">
        <f t="shared" si="1"/>
        <v>0.65393300330051662</v>
      </c>
    </row>
    <row r="58" spans="2:6" ht="15">
      <c r="B58" s="16" t="s">
        <v>188</v>
      </c>
      <c r="C58" s="35"/>
      <c r="D58" s="526" t="s">
        <v>189</v>
      </c>
      <c r="E58" s="520">
        <f>+E6+E14+E22+E26+E34+E42+E50</f>
        <v>5514.4433070000005</v>
      </c>
      <c r="F58" s="35"/>
    </row>
    <row r="59" spans="2:6" ht="15">
      <c r="D59" s="520">
        <f>+D7+D15+D23+D27+D35+D43+D51</f>
        <v>5285.1653020000003</v>
      </c>
      <c r="E59" s="520">
        <f>+E7+E15+E23+E27+E35+E43+E51</f>
        <v>3391.3376549999998</v>
      </c>
    </row>
    <row r="60" spans="2:6" ht="15">
      <c r="D60" s="520">
        <f>+D8+D16+D24+D28+D36+D44+D52</f>
        <v>5997.8826410000001</v>
      </c>
      <c r="E60" s="520">
        <f>+E8+E16+E24+E28+E36+E44+E52</f>
        <v>3518.7369579999995</v>
      </c>
    </row>
  </sheetData>
  <mergeCells count="9">
    <mergeCell ref="B34:B37"/>
    <mergeCell ref="B42:B45"/>
    <mergeCell ref="B50:B53"/>
    <mergeCell ref="B4:B5"/>
    <mergeCell ref="C4:C5"/>
    <mergeCell ref="B6:B9"/>
    <mergeCell ref="B14:B17"/>
    <mergeCell ref="B22:B25"/>
    <mergeCell ref="B26:B2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142"/>
  <sheetViews>
    <sheetView showGridLines="0" zoomScaleNormal="100" workbookViewId="0"/>
  </sheetViews>
  <sheetFormatPr defaultColWidth="8.85546875" defaultRowHeight="14.25"/>
  <cols>
    <col min="1" max="1" width="1.7109375" style="31" customWidth="1"/>
    <col min="2" max="3" width="25.7109375" style="31" customWidth="1"/>
    <col min="4" max="4" width="25.28515625" style="54" customWidth="1"/>
    <col min="5" max="5" width="4.28515625" style="31" customWidth="1"/>
    <col min="6" max="6" width="15.140625" style="31" customWidth="1"/>
    <col min="7" max="7" width="28.7109375" style="31" customWidth="1"/>
    <col min="8" max="8" width="20.140625" style="54" customWidth="1"/>
    <col min="9" max="9" width="17" style="31" customWidth="1"/>
    <col min="10" max="10" width="12.28515625" style="31" customWidth="1"/>
    <col min="11" max="16384" width="8.85546875" style="31"/>
  </cols>
  <sheetData>
    <row r="1" spans="2:8" ht="15">
      <c r="H1"/>
    </row>
    <row r="2" spans="2:8" ht="15">
      <c r="B2" s="57" t="s">
        <v>151</v>
      </c>
      <c r="H2"/>
    </row>
    <row r="3" spans="2:8" ht="15">
      <c r="C3" s="57"/>
      <c r="D3" s="56"/>
      <c r="E3" s="32"/>
      <c r="H3"/>
    </row>
    <row r="4" spans="2:8" ht="15">
      <c r="B4" s="589" t="s">
        <v>98</v>
      </c>
      <c r="C4" s="592" t="s">
        <v>2</v>
      </c>
      <c r="D4" s="633" t="s">
        <v>109</v>
      </c>
      <c r="E4" s="32"/>
      <c r="H4"/>
    </row>
    <row r="5" spans="2:8">
      <c r="B5" s="589"/>
      <c r="C5" s="592"/>
      <c r="D5" s="633"/>
    </row>
    <row r="6" spans="2:8" ht="14.45" customHeight="1">
      <c r="B6" s="612" t="s">
        <v>6</v>
      </c>
      <c r="C6" s="99">
        <v>2022</v>
      </c>
      <c r="D6" s="564">
        <v>214317.67039399999</v>
      </c>
    </row>
    <row r="7" spans="2:8">
      <c r="B7" s="612"/>
      <c r="C7" s="95">
        <v>2021</v>
      </c>
      <c r="D7" s="70">
        <v>151354.656043</v>
      </c>
    </row>
    <row r="8" spans="2:8">
      <c r="B8" s="612"/>
      <c r="C8" s="95">
        <v>2020</v>
      </c>
      <c r="D8" s="70">
        <v>143206.201799</v>
      </c>
      <c r="E8" s="611"/>
    </row>
    <row r="9" spans="2:8">
      <c r="B9" s="612"/>
      <c r="C9" s="95">
        <v>2019</v>
      </c>
      <c r="D9" s="565">
        <v>206344.42770100001</v>
      </c>
      <c r="E9" s="611"/>
    </row>
    <row r="10" spans="2:8" hidden="1">
      <c r="B10" s="612"/>
      <c r="C10" s="95">
        <v>2018</v>
      </c>
      <c r="D10" s="70">
        <v>192739.83375699999</v>
      </c>
      <c r="E10" s="611"/>
    </row>
    <row r="11" spans="2:8" hidden="1">
      <c r="B11" s="612"/>
      <c r="C11" s="95">
        <v>2017</v>
      </c>
      <c r="D11" s="70">
        <v>145189.08134</v>
      </c>
      <c r="E11" s="611"/>
    </row>
    <row r="12" spans="2:8" hidden="1">
      <c r="B12" s="612"/>
      <c r="C12" s="95">
        <v>2016</v>
      </c>
      <c r="D12" s="70">
        <v>132778.749396</v>
      </c>
      <c r="E12" s="12"/>
    </row>
    <row r="13" spans="2:8" hidden="1">
      <c r="B13" s="613"/>
      <c r="C13" s="95">
        <v>2015</v>
      </c>
      <c r="D13" s="107">
        <v>129738.575512</v>
      </c>
      <c r="E13" s="12"/>
    </row>
    <row r="14" spans="2:8" ht="14.45" customHeight="1">
      <c r="B14" s="614" t="s">
        <v>7</v>
      </c>
      <c r="C14" s="99">
        <v>2022</v>
      </c>
      <c r="D14" s="70">
        <v>51880.031283999997</v>
      </c>
      <c r="E14" s="12"/>
    </row>
    <row r="15" spans="2:8">
      <c r="B15" s="612"/>
      <c r="C15" s="95">
        <v>2021</v>
      </c>
      <c r="D15" s="6">
        <v>44993.941869000002</v>
      </c>
      <c r="E15" s="12"/>
    </row>
    <row r="16" spans="2:8">
      <c r="B16" s="612"/>
      <c r="C16" s="95">
        <v>2020</v>
      </c>
      <c r="D16" s="6">
        <v>38967.198634</v>
      </c>
      <c r="E16" s="12"/>
    </row>
    <row r="17" spans="2:7">
      <c r="B17" s="612"/>
      <c r="C17" s="95">
        <v>2019</v>
      </c>
      <c r="D17" s="131">
        <v>34844.771494000001</v>
      </c>
      <c r="E17" s="12"/>
    </row>
    <row r="18" spans="2:7" hidden="1">
      <c r="B18" s="612"/>
      <c r="C18" s="95">
        <v>2018</v>
      </c>
      <c r="D18" s="6">
        <v>31086.532575000001</v>
      </c>
      <c r="E18" s="12"/>
    </row>
    <row r="19" spans="2:7" hidden="1">
      <c r="B19" s="612"/>
      <c r="C19" s="95">
        <v>2017</v>
      </c>
      <c r="D19" s="6">
        <v>44051.983577999999</v>
      </c>
      <c r="E19" s="12"/>
    </row>
    <row r="20" spans="2:7" hidden="1">
      <c r="B20" s="612"/>
      <c r="C20" s="95">
        <v>2016</v>
      </c>
      <c r="D20" s="6">
        <v>40492.052577000002</v>
      </c>
    </row>
    <row r="21" spans="2:7" hidden="1">
      <c r="B21" s="613"/>
      <c r="C21" s="95">
        <v>2015</v>
      </c>
      <c r="D21" s="131">
        <v>39717.282604</v>
      </c>
    </row>
    <row r="22" spans="2:7" ht="14.45" customHeight="1">
      <c r="B22" s="614" t="s">
        <v>9</v>
      </c>
      <c r="C22" s="99">
        <v>2022</v>
      </c>
      <c r="D22" s="70">
        <v>14041.821334</v>
      </c>
      <c r="F22" s="145"/>
      <c r="G22" s="123"/>
    </row>
    <row r="23" spans="2:7" ht="15">
      <c r="B23" s="612"/>
      <c r="C23" s="95">
        <v>2021</v>
      </c>
      <c r="D23" s="6">
        <v>7123.2168760000004</v>
      </c>
      <c r="F23" s="145"/>
      <c r="G23" s="123"/>
    </row>
    <row r="24" spans="2:7" ht="15">
      <c r="B24" s="612"/>
      <c r="C24" s="95">
        <v>2020</v>
      </c>
      <c r="D24" s="6">
        <v>8846.0114460000004</v>
      </c>
      <c r="F24" s="145"/>
      <c r="G24" s="123"/>
    </row>
    <row r="25" spans="2:7">
      <c r="B25" s="612"/>
      <c r="C25" s="95">
        <v>2019</v>
      </c>
      <c r="D25" s="6">
        <v>14338.21731</v>
      </c>
    </row>
    <row r="26" spans="2:7" hidden="1">
      <c r="B26" s="612"/>
      <c r="C26" s="95">
        <v>2018</v>
      </c>
      <c r="D26" s="6">
        <v>12882.638091000001</v>
      </c>
    </row>
    <row r="27" spans="2:7" hidden="1">
      <c r="B27" s="612"/>
      <c r="C27" s="95">
        <v>2017</v>
      </c>
      <c r="D27" s="6">
        <v>21767.875215</v>
      </c>
    </row>
    <row r="28" spans="2:7" hidden="1">
      <c r="B28" s="612"/>
      <c r="C28" s="95">
        <v>2016</v>
      </c>
      <c r="D28" s="6">
        <v>19325.155825999998</v>
      </c>
    </row>
    <row r="29" spans="2:7" hidden="1">
      <c r="B29" s="613"/>
      <c r="C29" s="95">
        <v>2015</v>
      </c>
      <c r="D29" s="107">
        <v>15111.263004</v>
      </c>
    </row>
    <row r="30" spans="2:7" ht="14.45" customHeight="1">
      <c r="B30" s="614" t="s">
        <v>8</v>
      </c>
      <c r="C30" s="99">
        <v>2022</v>
      </c>
      <c r="D30" s="564">
        <v>24722.162011</v>
      </c>
    </row>
    <row r="31" spans="2:7">
      <c r="B31" s="612"/>
      <c r="C31" s="95">
        <v>2021</v>
      </c>
      <c r="D31" s="6">
        <v>19990.272811999999</v>
      </c>
    </row>
    <row r="32" spans="2:7">
      <c r="B32" s="612"/>
      <c r="C32" s="95">
        <v>2020</v>
      </c>
      <c r="D32" s="6">
        <v>17724.424009999999</v>
      </c>
    </row>
    <row r="33" spans="2:4">
      <c r="B33" s="612"/>
      <c r="C33" s="98">
        <v>2019</v>
      </c>
      <c r="D33" s="6">
        <v>17389.370290999999</v>
      </c>
    </row>
    <row r="34" spans="2:4" hidden="1">
      <c r="B34" s="612"/>
      <c r="C34" s="95">
        <v>2018</v>
      </c>
      <c r="D34" s="6">
        <v>17502.074343</v>
      </c>
    </row>
    <row r="35" spans="2:4" hidden="1">
      <c r="B35" s="612"/>
      <c r="C35" s="95">
        <v>2017</v>
      </c>
      <c r="D35" s="6">
        <v>22134.090219999998</v>
      </c>
    </row>
    <row r="36" spans="2:4" hidden="1">
      <c r="B36" s="612"/>
      <c r="C36" s="95">
        <v>2016</v>
      </c>
      <c r="D36" s="6">
        <v>22279.580212000001</v>
      </c>
    </row>
    <row r="37" spans="2:4" hidden="1">
      <c r="B37" s="613"/>
      <c r="C37" s="98">
        <v>2015</v>
      </c>
      <c r="D37" s="131">
        <v>20552.812126000001</v>
      </c>
    </row>
    <row r="38" spans="2:4" ht="14.45" customHeight="1">
      <c r="B38" s="614" t="s">
        <v>10</v>
      </c>
      <c r="C38" s="95">
        <v>2022</v>
      </c>
      <c r="D38" s="564">
        <v>5090.0091609999999</v>
      </c>
    </row>
    <row r="39" spans="2:4">
      <c r="B39" s="612"/>
      <c r="C39" s="95">
        <v>2021</v>
      </c>
      <c r="D39" s="6">
        <v>2578.9808050000001</v>
      </c>
    </row>
    <row r="40" spans="2:4">
      <c r="B40" s="612"/>
      <c r="C40" s="95">
        <v>2020</v>
      </c>
      <c r="D40" s="6">
        <v>2414.2156319999999</v>
      </c>
    </row>
    <row r="41" spans="2:4">
      <c r="B41" s="612"/>
      <c r="C41" s="98">
        <v>2019</v>
      </c>
      <c r="D41" s="6">
        <v>5505.4077550000002</v>
      </c>
    </row>
    <row r="42" spans="2:4" hidden="1">
      <c r="B42" s="612"/>
      <c r="C42" s="95">
        <v>2018</v>
      </c>
      <c r="D42" s="6">
        <v>4569.704103</v>
      </c>
    </row>
    <row r="43" spans="2:4" hidden="1">
      <c r="B43" s="612"/>
      <c r="C43" s="95">
        <v>2017</v>
      </c>
      <c r="D43" s="6">
        <v>4072.0572910000001</v>
      </c>
    </row>
    <row r="44" spans="2:4" hidden="1">
      <c r="B44" s="612"/>
      <c r="C44" s="95">
        <v>2016</v>
      </c>
      <c r="D44" s="6">
        <v>4914.9675790000001</v>
      </c>
    </row>
    <row r="45" spans="2:4" ht="14.45" hidden="1" customHeight="1">
      <c r="B45" s="613"/>
      <c r="C45" s="98">
        <v>2015</v>
      </c>
      <c r="D45" s="107">
        <v>3543.7189859999999</v>
      </c>
    </row>
    <row r="46" spans="2:4" ht="14.45" customHeight="1">
      <c r="B46" s="614" t="s">
        <v>11</v>
      </c>
      <c r="C46" s="95">
        <v>2022</v>
      </c>
      <c r="D46" s="564">
        <v>3135.1549890000001</v>
      </c>
    </row>
    <row r="47" spans="2:4" ht="14.45" customHeight="1">
      <c r="B47" s="612"/>
      <c r="C47" s="95">
        <v>2021</v>
      </c>
      <c r="D47" s="6">
        <v>3705.1057719999999</v>
      </c>
    </row>
    <row r="48" spans="2:4" ht="14.45" customHeight="1">
      <c r="B48" s="612"/>
      <c r="C48" s="95">
        <v>2020</v>
      </c>
      <c r="D48" s="6">
        <v>3271.3225830000001</v>
      </c>
    </row>
    <row r="49" spans="2:5" ht="14.45" customHeight="1">
      <c r="B49" s="612"/>
      <c r="C49" s="95">
        <v>2019</v>
      </c>
      <c r="D49" s="6">
        <v>1803.7209109999999</v>
      </c>
    </row>
    <row r="50" spans="2:5" hidden="1">
      <c r="B50" s="612"/>
      <c r="C50" s="95">
        <v>2018</v>
      </c>
      <c r="D50" s="6">
        <v>2852.2391870000001</v>
      </c>
    </row>
    <row r="51" spans="2:5" hidden="1">
      <c r="B51" s="612"/>
      <c r="C51" s="95">
        <v>2017</v>
      </c>
      <c r="D51" s="6">
        <v>2433.2316850000002</v>
      </c>
      <c r="E51" s="12"/>
    </row>
    <row r="52" spans="2:5" hidden="1">
      <c r="B52" s="612"/>
      <c r="C52" s="95">
        <v>2016</v>
      </c>
      <c r="D52" s="6">
        <v>1309.1100329999999</v>
      </c>
      <c r="E52" s="12"/>
    </row>
    <row r="53" spans="2:5" hidden="1">
      <c r="B53" s="613"/>
      <c r="C53" s="95">
        <v>2015</v>
      </c>
      <c r="D53" s="107">
        <v>1263.372077</v>
      </c>
      <c r="E53" s="12"/>
    </row>
    <row r="54" spans="2:5" ht="14.45" customHeight="1">
      <c r="B54" s="614" t="s">
        <v>12</v>
      </c>
      <c r="C54" s="99">
        <v>2022</v>
      </c>
      <c r="D54" s="564">
        <v>1437.520976</v>
      </c>
      <c r="E54" s="12"/>
    </row>
    <row r="55" spans="2:5">
      <c r="B55" s="612"/>
      <c r="C55" s="95">
        <v>2021</v>
      </c>
      <c r="D55" s="6">
        <v>1241.706107</v>
      </c>
      <c r="E55" s="12"/>
    </row>
    <row r="56" spans="2:5">
      <c r="B56" s="612"/>
      <c r="C56" s="95">
        <v>2020</v>
      </c>
      <c r="D56" s="6">
        <v>1167.7014630000001</v>
      </c>
      <c r="E56" s="12"/>
    </row>
    <row r="57" spans="2:5">
      <c r="B57" s="612"/>
      <c r="C57" s="95">
        <v>2019</v>
      </c>
      <c r="D57" s="6">
        <v>1265.949621</v>
      </c>
      <c r="E57" s="12"/>
    </row>
    <row r="58" spans="2:5" hidden="1">
      <c r="B58" s="612"/>
      <c r="C58" s="95">
        <v>2018</v>
      </c>
      <c r="D58" s="6">
        <v>1182.2258919999999</v>
      </c>
      <c r="E58" s="12"/>
    </row>
    <row r="59" spans="2:5" hidden="1">
      <c r="B59" s="612"/>
      <c r="C59" s="95">
        <v>2017</v>
      </c>
      <c r="D59" s="6">
        <v>1776.0181789999999</v>
      </c>
      <c r="E59" s="12"/>
    </row>
    <row r="60" spans="2:5" hidden="1">
      <c r="B60" s="612"/>
      <c r="C60" s="95">
        <v>2016</v>
      </c>
      <c r="D60" s="6">
        <v>1611.0936710000001</v>
      </c>
      <c r="E60" s="12"/>
    </row>
    <row r="61" spans="2:5" hidden="1">
      <c r="B61" s="613"/>
      <c r="C61" s="95">
        <v>2015</v>
      </c>
      <c r="D61" s="107">
        <v>1358.496652</v>
      </c>
      <c r="E61" s="12"/>
    </row>
    <row r="62" spans="2:5" ht="14.45" customHeight="1">
      <c r="B62" s="614" t="s">
        <v>13</v>
      </c>
      <c r="C62" s="99">
        <v>2022</v>
      </c>
      <c r="D62" s="564">
        <v>2889.2033249999999</v>
      </c>
      <c r="E62" s="12"/>
    </row>
    <row r="63" spans="2:5">
      <c r="B63" s="612"/>
      <c r="C63" s="95">
        <v>2021</v>
      </c>
      <c r="D63" s="6">
        <v>2496.5273109999998</v>
      </c>
      <c r="E63" s="12"/>
    </row>
    <row r="64" spans="2:5">
      <c r="B64" s="612"/>
      <c r="C64" s="95">
        <v>2020</v>
      </c>
      <c r="D64" s="6">
        <v>2096.8150030000002</v>
      </c>
      <c r="E64" s="12"/>
    </row>
    <row r="65" spans="2:5">
      <c r="B65" s="612"/>
      <c r="C65" s="95">
        <v>2019</v>
      </c>
      <c r="D65" s="6">
        <v>1881.580019</v>
      </c>
      <c r="E65" s="12"/>
    </row>
    <row r="66" spans="2:5" hidden="1">
      <c r="B66" s="612"/>
      <c r="C66" s="95">
        <v>2018</v>
      </c>
      <c r="D66" s="6">
        <v>1446.1055019999999</v>
      </c>
      <c r="E66" s="12"/>
    </row>
    <row r="67" spans="2:5" hidden="1">
      <c r="B67" s="612"/>
      <c r="C67" s="95">
        <v>2017</v>
      </c>
      <c r="D67" s="6">
        <v>1248.192022</v>
      </c>
      <c r="E67" s="12"/>
    </row>
    <row r="68" spans="2:5" hidden="1">
      <c r="B68" s="612"/>
      <c r="C68" s="95">
        <v>2016</v>
      </c>
      <c r="D68" s="6">
        <v>1100.87592</v>
      </c>
      <c r="E68" s="12"/>
    </row>
    <row r="69" spans="2:5" hidden="1">
      <c r="B69" s="613"/>
      <c r="C69" s="95">
        <v>2015</v>
      </c>
      <c r="D69" s="131">
        <v>1255.4649159999999</v>
      </c>
      <c r="E69" s="12"/>
    </row>
    <row r="70" spans="2:5" ht="14.45" customHeight="1">
      <c r="B70" s="614" t="s">
        <v>14</v>
      </c>
      <c r="C70" s="99">
        <v>2022</v>
      </c>
      <c r="D70" s="564">
        <v>1150.981634</v>
      </c>
      <c r="E70" s="12"/>
    </row>
    <row r="71" spans="2:5">
      <c r="B71" s="612"/>
      <c r="C71" s="95">
        <v>2021</v>
      </c>
      <c r="D71" s="6">
        <v>946.22236999999996</v>
      </c>
      <c r="E71" s="12"/>
    </row>
    <row r="72" spans="2:5">
      <c r="B72" s="612"/>
      <c r="C72" s="95">
        <v>2020</v>
      </c>
      <c r="D72" s="6">
        <v>931.03849700000001</v>
      </c>
      <c r="E72" s="12"/>
    </row>
    <row r="73" spans="2:5">
      <c r="B73" s="612"/>
      <c r="C73" s="95">
        <v>2019</v>
      </c>
      <c r="D73" s="131">
        <v>690.01687500000003</v>
      </c>
      <c r="E73" s="12"/>
    </row>
    <row r="74" spans="2:5" hidden="1">
      <c r="B74" s="612"/>
      <c r="C74" s="95">
        <v>2018</v>
      </c>
      <c r="D74" s="6">
        <v>703.63733400000001</v>
      </c>
      <c r="E74" s="12"/>
    </row>
    <row r="75" spans="2:5" hidden="1">
      <c r="B75" s="612"/>
      <c r="C75" s="95">
        <v>2017</v>
      </c>
      <c r="D75" s="6">
        <v>376.378265</v>
      </c>
      <c r="E75" s="12"/>
    </row>
    <row r="76" spans="2:5" hidden="1">
      <c r="B76" s="612"/>
      <c r="C76" s="95">
        <v>2016</v>
      </c>
      <c r="D76" s="6">
        <v>317.57284700000002</v>
      </c>
    </row>
    <row r="77" spans="2:5" hidden="1">
      <c r="B77" s="613"/>
      <c r="C77" s="98">
        <v>2015</v>
      </c>
      <c r="D77" s="107">
        <v>379.93880200000001</v>
      </c>
    </row>
    <row r="78" spans="2:5" ht="14.45" customHeight="1">
      <c r="B78" s="614" t="s">
        <v>15</v>
      </c>
      <c r="C78" s="99">
        <v>2022</v>
      </c>
      <c r="D78" s="70">
        <v>1409.972808</v>
      </c>
    </row>
    <row r="79" spans="2:5">
      <c r="B79" s="612"/>
      <c r="C79" s="95">
        <v>2021</v>
      </c>
      <c r="D79" s="6">
        <v>1245.733266</v>
      </c>
    </row>
    <row r="80" spans="2:5">
      <c r="B80" s="612"/>
      <c r="C80" s="95">
        <v>2020</v>
      </c>
      <c r="D80" s="6">
        <v>1151.725831</v>
      </c>
    </row>
    <row r="81" spans="2:9">
      <c r="B81" s="612"/>
      <c r="C81" s="95">
        <v>2019</v>
      </c>
      <c r="D81" s="131">
        <v>1116.9034549999999</v>
      </c>
    </row>
    <row r="82" spans="2:9" ht="15" hidden="1" customHeight="1">
      <c r="B82" s="612"/>
      <c r="C82" s="95">
        <v>2018</v>
      </c>
      <c r="D82" s="6">
        <v>918.83203100000003</v>
      </c>
    </row>
    <row r="83" spans="2:9" hidden="1">
      <c r="B83" s="612"/>
      <c r="C83" s="95">
        <v>2017</v>
      </c>
      <c r="D83" s="6">
        <v>1395.0585060000001</v>
      </c>
    </row>
    <row r="84" spans="2:9" hidden="1">
      <c r="B84" s="612"/>
      <c r="C84" s="95">
        <v>2016</v>
      </c>
      <c r="D84" s="6">
        <v>1313.073621</v>
      </c>
    </row>
    <row r="85" spans="2:9" hidden="1">
      <c r="B85" s="613"/>
      <c r="C85" s="95">
        <v>2015</v>
      </c>
      <c r="D85" s="131">
        <v>1259.49712</v>
      </c>
    </row>
    <row r="86" spans="2:9" ht="14.45" customHeight="1">
      <c r="B86" s="614" t="s">
        <v>16</v>
      </c>
      <c r="C86" s="99">
        <v>2022</v>
      </c>
      <c r="D86" s="70">
        <v>1171.271401</v>
      </c>
    </row>
    <row r="87" spans="2:9" ht="15">
      <c r="B87" s="612"/>
      <c r="C87" s="95">
        <v>2021</v>
      </c>
      <c r="D87" s="123">
        <v>1053.9510029999999</v>
      </c>
    </row>
    <row r="88" spans="2:9" ht="15">
      <c r="B88" s="612"/>
      <c r="C88" s="95">
        <v>2020</v>
      </c>
      <c r="D88" s="123">
        <v>644.67521899999997</v>
      </c>
    </row>
    <row r="89" spans="2:9">
      <c r="B89" s="612"/>
      <c r="C89" s="95">
        <v>2019</v>
      </c>
      <c r="D89" s="573">
        <v>447.589473</v>
      </c>
    </row>
    <row r="90" spans="2:9" hidden="1">
      <c r="B90" s="612"/>
      <c r="C90" s="95">
        <v>2018</v>
      </c>
      <c r="D90" s="6">
        <v>739.64124500000003</v>
      </c>
    </row>
    <row r="91" spans="2:9" hidden="1">
      <c r="B91" s="612"/>
      <c r="C91" s="95">
        <v>2017</v>
      </c>
      <c r="D91" s="6">
        <v>480.48247900000001</v>
      </c>
    </row>
    <row r="92" spans="2:9" hidden="1">
      <c r="B92" s="612"/>
      <c r="C92" s="95">
        <v>2016</v>
      </c>
      <c r="D92" s="6">
        <v>436.51135499999998</v>
      </c>
    </row>
    <row r="93" spans="2:9" ht="15" hidden="1">
      <c r="B93" s="613"/>
      <c r="C93" s="95">
        <v>2015</v>
      </c>
      <c r="D93" s="574">
        <v>485.66986200000002</v>
      </c>
      <c r="I93" s="148"/>
    </row>
    <row r="94" spans="2:9" ht="14.45" customHeight="1">
      <c r="B94" s="614" t="s">
        <v>17</v>
      </c>
      <c r="C94" s="99">
        <v>2022</v>
      </c>
      <c r="D94" s="564">
        <v>547.24652000000003</v>
      </c>
    </row>
    <row r="95" spans="2:9">
      <c r="B95" s="612"/>
      <c r="C95" s="95">
        <v>2021</v>
      </c>
      <c r="D95" s="6">
        <v>403.746444</v>
      </c>
    </row>
    <row r="96" spans="2:9">
      <c r="B96" s="612"/>
      <c r="C96" s="95">
        <v>2020</v>
      </c>
      <c r="D96" s="6">
        <v>412.235882</v>
      </c>
    </row>
    <row r="97" spans="2:9">
      <c r="B97" s="612"/>
      <c r="C97" s="95">
        <v>2019</v>
      </c>
      <c r="D97" s="131">
        <v>389.50162799999998</v>
      </c>
    </row>
    <row r="98" spans="2:9" hidden="1">
      <c r="B98" s="612"/>
      <c r="C98" s="95">
        <v>2018</v>
      </c>
      <c r="D98" s="6">
        <v>364.96783299999998</v>
      </c>
    </row>
    <row r="99" spans="2:9" hidden="1">
      <c r="B99" s="612"/>
      <c r="C99" s="95">
        <v>2017</v>
      </c>
      <c r="D99" s="6">
        <v>333.97329500000001</v>
      </c>
      <c r="E99" s="12"/>
    </row>
    <row r="100" spans="2:9" hidden="1">
      <c r="B100" s="612"/>
      <c r="C100" s="95">
        <v>2016</v>
      </c>
      <c r="D100" s="6">
        <v>279.558131</v>
      </c>
      <c r="E100" s="12"/>
    </row>
    <row r="101" spans="2:9" hidden="1">
      <c r="B101" s="613"/>
      <c r="C101" s="98">
        <v>2015</v>
      </c>
      <c r="D101" s="131">
        <v>20.826961000000001</v>
      </c>
      <c r="E101" s="12"/>
    </row>
    <row r="102" spans="2:9" ht="14.45" customHeight="1">
      <c r="B102" s="614" t="s">
        <v>18</v>
      </c>
      <c r="C102" s="99">
        <v>2022</v>
      </c>
      <c r="D102" s="70">
        <v>367.83693799999998</v>
      </c>
      <c r="E102" s="12"/>
    </row>
    <row r="103" spans="2:9">
      <c r="B103" s="612"/>
      <c r="C103" s="95">
        <v>2021</v>
      </c>
      <c r="D103" s="6">
        <v>418.98198500000001</v>
      </c>
      <c r="E103" s="12"/>
    </row>
    <row r="104" spans="2:9">
      <c r="B104" s="612"/>
      <c r="C104" s="95">
        <v>2020</v>
      </c>
      <c r="D104" s="6">
        <v>395.94430799999998</v>
      </c>
      <c r="E104" s="12"/>
    </row>
    <row r="105" spans="2:9">
      <c r="B105" s="612"/>
      <c r="C105" s="98">
        <v>2019</v>
      </c>
      <c r="D105" s="131">
        <v>311.44359400000002</v>
      </c>
      <c r="E105" s="12"/>
    </row>
    <row r="106" spans="2:9" hidden="1">
      <c r="B106" s="612"/>
      <c r="C106" s="95">
        <v>2018</v>
      </c>
      <c r="D106" s="6">
        <v>272.17194799999999</v>
      </c>
      <c r="E106" s="12"/>
    </row>
    <row r="107" spans="2:9" hidden="1">
      <c r="B107" s="612"/>
      <c r="C107" s="95">
        <v>2017</v>
      </c>
      <c r="D107" s="6">
        <v>214.70475099999999</v>
      </c>
      <c r="E107" s="12"/>
    </row>
    <row r="108" spans="2:9" hidden="1">
      <c r="B108" s="612"/>
      <c r="C108" s="95">
        <v>2016</v>
      </c>
      <c r="D108" s="6">
        <v>146.04846699999999</v>
      </c>
      <c r="E108" s="12"/>
    </row>
    <row r="109" spans="2:9" hidden="1">
      <c r="B109" s="613"/>
      <c r="C109" s="98">
        <v>2015</v>
      </c>
      <c r="D109" s="131">
        <v>177.30092400000001</v>
      </c>
      <c r="E109" s="12"/>
    </row>
    <row r="110" spans="2:9" ht="15">
      <c r="B110" s="614" t="s">
        <v>19</v>
      </c>
      <c r="C110" s="95">
        <v>2022</v>
      </c>
      <c r="D110" s="70">
        <v>361.41779300000002</v>
      </c>
      <c r="E110" s="12"/>
      <c r="H110" s="123"/>
      <c r="I110" s="123"/>
    </row>
    <row r="111" spans="2:9" ht="15">
      <c r="B111" s="612"/>
      <c r="C111" s="95">
        <v>2021</v>
      </c>
      <c r="D111" s="6">
        <v>359.72385300000002</v>
      </c>
      <c r="E111" s="12"/>
      <c r="F111" s="145"/>
      <c r="G111" s="123"/>
    </row>
    <row r="112" spans="2:9" ht="15">
      <c r="B112" s="612"/>
      <c r="C112" s="95">
        <v>2020</v>
      </c>
      <c r="D112" s="6">
        <v>337.80827099999999</v>
      </c>
      <c r="E112" s="12"/>
      <c r="F112" s="145"/>
      <c r="G112" s="123"/>
    </row>
    <row r="113" spans="2:7" ht="15">
      <c r="B113" s="612"/>
      <c r="C113" s="95">
        <v>2019</v>
      </c>
      <c r="D113" s="6">
        <v>295.76043099999998</v>
      </c>
      <c r="E113" s="12"/>
      <c r="F113" s="145"/>
      <c r="G113" s="123"/>
    </row>
    <row r="114" spans="2:7" ht="15" hidden="1">
      <c r="B114" s="612"/>
      <c r="C114" s="95">
        <v>2018</v>
      </c>
      <c r="D114" s="6">
        <v>320.830648</v>
      </c>
      <c r="E114" s="12"/>
      <c r="F114" s="145"/>
      <c r="G114" s="123"/>
    </row>
    <row r="115" spans="2:7" ht="15" hidden="1">
      <c r="B115" s="612"/>
      <c r="C115" s="95">
        <v>2017</v>
      </c>
      <c r="D115" s="6">
        <v>310.923024</v>
      </c>
      <c r="E115" s="12"/>
      <c r="F115" s="145"/>
      <c r="G115" s="123"/>
    </row>
    <row r="116" spans="2:7" ht="15" hidden="1">
      <c r="B116" s="612"/>
      <c r="C116" s="95">
        <v>2016</v>
      </c>
      <c r="D116" s="6">
        <v>232.624976</v>
      </c>
      <c r="E116" s="12"/>
      <c r="F116" s="145"/>
      <c r="G116" s="123"/>
    </row>
    <row r="117" spans="2:7" ht="15" hidden="1">
      <c r="B117" s="613"/>
      <c r="C117" s="95">
        <v>2015</v>
      </c>
      <c r="D117" s="107">
        <v>254.77722900000001</v>
      </c>
      <c r="E117" s="12"/>
      <c r="F117" s="145"/>
      <c r="G117" s="123"/>
    </row>
    <row r="118" spans="2:7" ht="14.45" customHeight="1">
      <c r="B118" s="614" t="s">
        <v>43</v>
      </c>
      <c r="C118" s="99">
        <v>2022</v>
      </c>
      <c r="D118" s="564">
        <v>634.50839199999996</v>
      </c>
      <c r="E118" s="12"/>
      <c r="F118" s="145"/>
      <c r="G118" s="123"/>
    </row>
    <row r="119" spans="2:7" ht="15">
      <c r="B119" s="612"/>
      <c r="C119" s="95">
        <v>2021</v>
      </c>
      <c r="D119" s="6">
        <v>585.53216299999997</v>
      </c>
      <c r="E119" s="12"/>
      <c r="F119" s="145"/>
      <c r="G119" s="123"/>
    </row>
    <row r="120" spans="2:7" ht="15">
      <c r="B120" s="612"/>
      <c r="C120" s="95">
        <v>2020</v>
      </c>
      <c r="D120" s="6">
        <v>502.27301799999998</v>
      </c>
      <c r="E120" s="12"/>
      <c r="F120" s="145"/>
      <c r="G120" s="123"/>
    </row>
    <row r="121" spans="2:7" ht="15">
      <c r="B121" s="612"/>
      <c r="C121" s="95">
        <v>2019</v>
      </c>
      <c r="D121" s="6">
        <v>404.03001999999998</v>
      </c>
      <c r="E121" s="12"/>
      <c r="F121" s="145"/>
      <c r="G121" s="123"/>
    </row>
    <row r="122" spans="2:7" ht="15" hidden="1">
      <c r="B122" s="612"/>
      <c r="C122" s="95">
        <v>2018</v>
      </c>
      <c r="D122" s="6">
        <v>330.57810599999999</v>
      </c>
      <c r="E122" s="12"/>
      <c r="F122" s="145"/>
      <c r="G122" s="123"/>
    </row>
    <row r="123" spans="2:7" ht="15" hidden="1">
      <c r="B123" s="612"/>
      <c r="C123" s="95">
        <v>2017</v>
      </c>
      <c r="D123" s="6">
        <v>259.95502900000002</v>
      </c>
      <c r="E123" s="12"/>
      <c r="F123" s="145"/>
      <c r="G123" s="123"/>
    </row>
    <row r="124" spans="2:7" ht="15" hidden="1">
      <c r="B124" s="612"/>
      <c r="C124" s="95">
        <v>2016</v>
      </c>
      <c r="D124" s="6">
        <v>283.81194199999999</v>
      </c>
      <c r="E124" s="12"/>
      <c r="F124" s="145"/>
      <c r="G124" s="123"/>
    </row>
    <row r="125" spans="2:7" ht="15" hidden="1">
      <c r="B125" s="613"/>
      <c r="C125" s="95">
        <v>2015</v>
      </c>
      <c r="D125" s="107">
        <v>272.933559</v>
      </c>
      <c r="E125" s="12"/>
      <c r="F125" s="145"/>
      <c r="G125" s="123"/>
    </row>
    <row r="126" spans="2:7" ht="14.45" customHeight="1">
      <c r="B126" s="614" t="s">
        <v>20</v>
      </c>
      <c r="C126" s="99">
        <v>2022</v>
      </c>
      <c r="D126" s="564">
        <v>114.390399</v>
      </c>
      <c r="E126" s="12"/>
      <c r="F126" s="145"/>
      <c r="G126" s="575"/>
    </row>
    <row r="127" spans="2:7">
      <c r="B127" s="612"/>
      <c r="C127" s="95">
        <v>2021</v>
      </c>
      <c r="D127" s="6">
        <v>91.847790000000003</v>
      </c>
      <c r="E127" s="12"/>
    </row>
    <row r="128" spans="2:7">
      <c r="B128" s="612"/>
      <c r="C128" s="95">
        <v>2020</v>
      </c>
      <c r="D128" s="6">
        <v>83.729877999999999</v>
      </c>
      <c r="E128" s="12"/>
    </row>
    <row r="129" spans="2:5">
      <c r="B129" s="612"/>
      <c r="C129" s="95">
        <v>2019</v>
      </c>
      <c r="D129" s="131">
        <v>45.889634999999998</v>
      </c>
      <c r="E129" s="12"/>
    </row>
    <row r="130" spans="2:5" hidden="1">
      <c r="B130" s="612"/>
      <c r="C130" s="95">
        <v>2018</v>
      </c>
      <c r="D130" s="6">
        <v>34.083792000000003</v>
      </c>
      <c r="E130" s="12"/>
    </row>
    <row r="131" spans="2:5" hidden="1">
      <c r="B131" s="612"/>
      <c r="C131" s="95">
        <v>2017</v>
      </c>
      <c r="D131" s="6">
        <v>27.109494000000002</v>
      </c>
      <c r="E131" s="12"/>
    </row>
    <row r="132" spans="2:5" hidden="1">
      <c r="B132" s="612"/>
      <c r="C132" s="95">
        <v>2016</v>
      </c>
      <c r="D132" s="6">
        <v>26.279494</v>
      </c>
      <c r="E132" s="12"/>
    </row>
    <row r="133" spans="2:5" hidden="1">
      <c r="B133" s="613"/>
      <c r="C133" s="98">
        <v>2015</v>
      </c>
      <c r="D133" s="107">
        <v>47.057608999999999</v>
      </c>
      <c r="E133" s="12"/>
    </row>
    <row r="134" spans="2:5">
      <c r="B134" s="634" t="s">
        <v>177</v>
      </c>
      <c r="C134" s="99">
        <v>2022</v>
      </c>
      <c r="D134" s="54">
        <f>+D6+D14+D22+D30+D38+D46+D54+D62+D70+D78+D86+D94+D102+D110+D118+D126</f>
        <v>323271.19935899996</v>
      </c>
    </row>
    <row r="135" spans="2:5">
      <c r="B135" s="635"/>
      <c r="C135" s="95">
        <v>2021</v>
      </c>
      <c r="D135" s="54">
        <f t="shared" ref="D135:D141" si="0">+D7+D15+D23+D31+D39+D47+D55+D63+D71+D79+D87+D95+D103+D111+D119+D127</f>
        <v>238590.146469</v>
      </c>
    </row>
    <row r="136" spans="2:5">
      <c r="B136" s="635"/>
      <c r="C136" s="95">
        <v>2020</v>
      </c>
      <c r="D136" s="54">
        <f t="shared" si="0"/>
        <v>222153.321474</v>
      </c>
    </row>
    <row r="137" spans="2:5">
      <c r="B137" s="635"/>
      <c r="C137" s="98">
        <v>2019</v>
      </c>
      <c r="D137" s="54">
        <f t="shared" si="0"/>
        <v>287074.58021299995</v>
      </c>
    </row>
    <row r="138" spans="2:5" hidden="1">
      <c r="B138" s="635"/>
      <c r="C138" s="95">
        <v>2018</v>
      </c>
      <c r="D138" s="54">
        <f t="shared" si="0"/>
        <v>267946.096387</v>
      </c>
    </row>
    <row r="139" spans="2:5" hidden="1">
      <c r="B139" s="635"/>
      <c r="C139" s="95">
        <v>2017</v>
      </c>
      <c r="D139" s="54">
        <f t="shared" si="0"/>
        <v>246071.11437300008</v>
      </c>
    </row>
    <row r="140" spans="2:5" hidden="1">
      <c r="B140" s="635"/>
      <c r="C140" s="95">
        <v>2016</v>
      </c>
      <c r="D140" s="54">
        <f t="shared" si="0"/>
        <v>226847.06604699994</v>
      </c>
    </row>
    <row r="141" spans="2:5" hidden="1">
      <c r="B141" s="636"/>
      <c r="C141" s="98">
        <v>2015</v>
      </c>
      <c r="D141" s="54">
        <f t="shared" si="0"/>
        <v>215438.98794300004</v>
      </c>
    </row>
    <row r="142" spans="2:5">
      <c r="B142" s="540" t="s">
        <v>181</v>
      </c>
      <c r="D142" s="102"/>
    </row>
  </sheetData>
  <mergeCells count="21">
    <mergeCell ref="B134:B141"/>
    <mergeCell ref="B6:B13"/>
    <mergeCell ref="B14:B21"/>
    <mergeCell ref="B22:B29"/>
    <mergeCell ref="B30:B37"/>
    <mergeCell ref="B38:B45"/>
    <mergeCell ref="B46:B53"/>
    <mergeCell ref="B54:B61"/>
    <mergeCell ref="B62:B69"/>
    <mergeCell ref="B70:B77"/>
    <mergeCell ref="B78:B85"/>
    <mergeCell ref="B86:B93"/>
    <mergeCell ref="B94:B101"/>
    <mergeCell ref="B102:B109"/>
    <mergeCell ref="B110:B117"/>
    <mergeCell ref="B118:B125"/>
    <mergeCell ref="E8:E11"/>
    <mergeCell ref="B4:B5"/>
    <mergeCell ref="C4:C5"/>
    <mergeCell ref="D4:D5"/>
    <mergeCell ref="B126:B13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68"/>
  <sheetViews>
    <sheetView showGridLines="0" workbookViewId="0"/>
  </sheetViews>
  <sheetFormatPr defaultColWidth="8.85546875" defaultRowHeight="14.25"/>
  <cols>
    <col min="1" max="1" width="1.7109375" style="31" customWidth="1"/>
    <col min="2" max="2" width="83.85546875" style="31" customWidth="1"/>
    <col min="3" max="3" width="20.7109375" style="31" customWidth="1"/>
    <col min="4" max="4" width="30.7109375" style="31" customWidth="1"/>
    <col min="5" max="5" width="19.42578125" style="17" customWidth="1"/>
    <col min="6" max="6" width="14.7109375" style="31" customWidth="1"/>
    <col min="7" max="7" width="13.7109375" style="31" bestFit="1" customWidth="1"/>
    <col min="8" max="16384" width="8.85546875" style="31"/>
  </cols>
  <sheetData>
    <row r="2" spans="2:6" ht="15">
      <c r="B2" s="57" t="s">
        <v>152</v>
      </c>
      <c r="C2" s="57"/>
    </row>
    <row r="4" spans="2:6">
      <c r="B4" s="589" t="s">
        <v>133</v>
      </c>
      <c r="C4" s="620" t="s">
        <v>2</v>
      </c>
      <c r="D4" s="620" t="s">
        <v>109</v>
      </c>
    </row>
    <row r="5" spans="2:6">
      <c r="B5" s="589"/>
      <c r="C5" s="620"/>
      <c r="D5" s="620"/>
    </row>
    <row r="6" spans="2:6" ht="15">
      <c r="B6" s="429"/>
      <c r="C6" s="99">
        <v>2022</v>
      </c>
      <c r="D6" s="212">
        <v>1178.9353779999999</v>
      </c>
      <c r="E6" s="186"/>
      <c r="F6" s="123"/>
    </row>
    <row r="7" spans="2:6" ht="15">
      <c r="B7" s="429"/>
      <c r="C7" s="95">
        <v>2021</v>
      </c>
      <c r="D7" s="212">
        <v>1102.334746</v>
      </c>
      <c r="E7" s="186"/>
      <c r="F7" s="123"/>
    </row>
    <row r="8" spans="2:6" ht="15">
      <c r="B8" s="385" t="s">
        <v>23</v>
      </c>
      <c r="C8" s="95">
        <v>2020</v>
      </c>
      <c r="D8" s="92">
        <v>935.66029700000001</v>
      </c>
      <c r="E8" s="186"/>
      <c r="F8" s="123"/>
    </row>
    <row r="9" spans="2:6" ht="15">
      <c r="B9" s="385"/>
      <c r="C9" s="95">
        <v>2019</v>
      </c>
      <c r="D9" s="177">
        <v>872.78563999999994</v>
      </c>
      <c r="E9" s="186"/>
      <c r="F9" s="123"/>
    </row>
    <row r="10" spans="2:6" ht="15" hidden="1">
      <c r="B10" s="385"/>
      <c r="C10" s="95">
        <v>2018</v>
      </c>
      <c r="D10" s="92">
        <v>737.08685100000002</v>
      </c>
      <c r="E10" s="186"/>
      <c r="F10" s="123"/>
    </row>
    <row r="11" spans="2:6" ht="15" hidden="1">
      <c r="B11" s="385"/>
      <c r="C11" s="95">
        <v>2017</v>
      </c>
      <c r="D11" s="92">
        <v>629.16815999999994</v>
      </c>
      <c r="E11" s="186"/>
      <c r="F11" s="123"/>
    </row>
    <row r="12" spans="2:6" ht="15" hidden="1">
      <c r="B12" s="385"/>
      <c r="C12" s="95">
        <v>2016</v>
      </c>
      <c r="D12" s="92">
        <v>550.17809</v>
      </c>
      <c r="E12" s="186"/>
      <c r="F12" s="123"/>
    </row>
    <row r="13" spans="2:6" ht="15" hidden="1">
      <c r="B13" s="385"/>
      <c r="C13" s="98">
        <v>2015</v>
      </c>
      <c r="D13" s="117">
        <v>618.18159800000001</v>
      </c>
      <c r="E13" s="186"/>
      <c r="F13" s="123"/>
    </row>
    <row r="14" spans="2:6" ht="15">
      <c r="B14" s="532"/>
      <c r="C14" s="99">
        <v>2022</v>
      </c>
      <c r="D14" s="212">
        <v>367.68104699999998</v>
      </c>
      <c r="E14" s="186"/>
      <c r="F14" s="123"/>
    </row>
    <row r="15" spans="2:6" ht="15">
      <c r="B15" s="533"/>
      <c r="C15" s="95">
        <v>2021</v>
      </c>
      <c r="D15" s="212">
        <v>222.50510700000001</v>
      </c>
      <c r="E15" s="186"/>
      <c r="F15" s="123"/>
    </row>
    <row r="16" spans="2:6" ht="15">
      <c r="B16" s="385" t="s">
        <v>24</v>
      </c>
      <c r="C16" s="95">
        <v>2020</v>
      </c>
      <c r="D16" s="212">
        <v>425.36543499999999</v>
      </c>
      <c r="E16" s="186"/>
      <c r="F16" s="123"/>
    </row>
    <row r="17" spans="2:6" ht="15">
      <c r="B17" s="388"/>
      <c r="C17" s="95">
        <v>2019</v>
      </c>
      <c r="D17" s="177">
        <v>404.27499</v>
      </c>
      <c r="E17" s="186"/>
      <c r="F17" s="123"/>
    </row>
    <row r="18" spans="2:6" ht="15" hidden="1">
      <c r="B18" s="385"/>
      <c r="C18" s="365">
        <v>2018</v>
      </c>
      <c r="D18" s="92">
        <v>436.49304100000001</v>
      </c>
      <c r="E18" s="145"/>
      <c r="F18" s="123"/>
    </row>
    <row r="19" spans="2:6" ht="15" hidden="1">
      <c r="B19" s="385"/>
      <c r="C19" s="365">
        <v>2017</v>
      </c>
      <c r="D19" s="92">
        <v>331.18460800000003</v>
      </c>
      <c r="E19" s="145"/>
      <c r="F19" s="123"/>
    </row>
    <row r="20" spans="2:6" ht="15" hidden="1">
      <c r="B20" s="385"/>
      <c r="C20" s="365">
        <v>2016</v>
      </c>
      <c r="D20" s="92">
        <v>289.55493799999999</v>
      </c>
      <c r="E20" s="145"/>
      <c r="F20" s="123"/>
    </row>
    <row r="21" spans="2:6" ht="15" hidden="1">
      <c r="B21" s="386"/>
      <c r="C21" s="365">
        <v>2015</v>
      </c>
      <c r="D21" s="117">
        <v>232.291122</v>
      </c>
      <c r="E21" s="145"/>
      <c r="F21" s="123"/>
    </row>
    <row r="22" spans="2:6" ht="15">
      <c r="B22" s="533"/>
      <c r="C22" s="366">
        <v>2022</v>
      </c>
      <c r="D22" s="212">
        <v>30006.444350000002</v>
      </c>
      <c r="E22" s="145"/>
      <c r="F22" s="123"/>
    </row>
    <row r="23" spans="2:6" ht="15">
      <c r="B23" s="533"/>
      <c r="C23" s="365">
        <v>2021</v>
      </c>
      <c r="D23" s="212">
        <v>26605.004234</v>
      </c>
      <c r="E23" s="145"/>
      <c r="F23" s="123"/>
    </row>
    <row r="24" spans="2:6" ht="15">
      <c r="B24" s="385" t="s">
        <v>25</v>
      </c>
      <c r="C24" s="95">
        <v>2020</v>
      </c>
      <c r="D24" s="212">
        <v>24234.732470999999</v>
      </c>
      <c r="E24" s="145"/>
      <c r="F24" s="123"/>
    </row>
    <row r="25" spans="2:6" ht="15">
      <c r="B25" s="388"/>
      <c r="C25" s="365">
        <v>2019</v>
      </c>
      <c r="D25" s="92">
        <v>25961.394810999998</v>
      </c>
      <c r="E25" s="145"/>
      <c r="F25" s="123"/>
    </row>
    <row r="26" spans="2:6" ht="15" hidden="1">
      <c r="B26" s="385"/>
      <c r="C26" s="365">
        <v>2018</v>
      </c>
      <c r="D26" s="92">
        <v>24564.511323999999</v>
      </c>
      <c r="E26" s="145"/>
    </row>
    <row r="27" spans="2:6" hidden="1">
      <c r="B27" s="385"/>
      <c r="C27" s="365">
        <v>2017</v>
      </c>
      <c r="D27" s="92">
        <v>19894.118493999998</v>
      </c>
    </row>
    <row r="28" spans="2:6" hidden="1">
      <c r="B28" s="385"/>
      <c r="C28" s="365">
        <v>2016</v>
      </c>
      <c r="D28" s="92">
        <v>20865.832420999999</v>
      </c>
    </row>
    <row r="29" spans="2:6" hidden="1">
      <c r="B29" s="386"/>
      <c r="C29" s="365">
        <v>2015</v>
      </c>
      <c r="D29" s="117">
        <v>21445.372898000001</v>
      </c>
    </row>
    <row r="30" spans="2:6">
      <c r="B30" s="533"/>
      <c r="C30" s="366">
        <v>2022</v>
      </c>
      <c r="D30" s="367">
        <v>11632.719326</v>
      </c>
    </row>
    <row r="31" spans="2:6">
      <c r="B31" s="533"/>
      <c r="C31" s="365">
        <v>2021</v>
      </c>
      <c r="D31" s="92">
        <v>20254.470440000001</v>
      </c>
    </row>
    <row r="32" spans="2:6">
      <c r="B32" s="385" t="s">
        <v>26</v>
      </c>
      <c r="C32" s="95">
        <v>2020</v>
      </c>
      <c r="D32" s="92">
        <v>21984.006636999999</v>
      </c>
    </row>
    <row r="33" spans="2:4">
      <c r="B33" s="385"/>
      <c r="C33" s="365">
        <v>2019</v>
      </c>
      <c r="D33" s="92">
        <v>23557.771013000001</v>
      </c>
    </row>
    <row r="34" spans="2:4" hidden="1">
      <c r="B34" s="385"/>
      <c r="C34" s="365">
        <v>2018</v>
      </c>
      <c r="D34" s="92">
        <v>26261.131312000001</v>
      </c>
    </row>
    <row r="35" spans="2:4" hidden="1">
      <c r="B35" s="385"/>
      <c r="C35" s="365">
        <v>2017</v>
      </c>
      <c r="D35" s="92">
        <v>25196.483439</v>
      </c>
    </row>
    <row r="36" spans="2:4" hidden="1">
      <c r="B36" s="385"/>
      <c r="C36" s="365">
        <v>2016</v>
      </c>
      <c r="D36" s="92">
        <v>23421.452538000001</v>
      </c>
    </row>
    <row r="37" spans="2:4" hidden="1">
      <c r="B37" s="385"/>
      <c r="C37" s="365">
        <v>2015</v>
      </c>
      <c r="D37" s="92">
        <v>25646.617395000001</v>
      </c>
    </row>
    <row r="38" spans="2:4">
      <c r="B38" s="532"/>
      <c r="C38" s="366">
        <v>2022</v>
      </c>
      <c r="D38" s="229">
        <v>5224.6237920000003</v>
      </c>
    </row>
    <row r="39" spans="2:4">
      <c r="B39" s="533"/>
      <c r="C39" s="365">
        <v>2021</v>
      </c>
      <c r="D39" s="212">
        <v>4459.9896189999999</v>
      </c>
    </row>
    <row r="40" spans="2:4">
      <c r="B40" s="385" t="s">
        <v>88</v>
      </c>
      <c r="C40" s="95">
        <v>2020</v>
      </c>
      <c r="D40" s="92">
        <v>4196.4924650000003</v>
      </c>
    </row>
    <row r="41" spans="2:4">
      <c r="B41" s="388"/>
      <c r="C41" s="365">
        <v>2019</v>
      </c>
      <c r="D41" s="177">
        <v>4428.3322099999996</v>
      </c>
    </row>
    <row r="42" spans="2:4" hidden="1">
      <c r="B42" s="385"/>
      <c r="C42" s="365">
        <v>2018</v>
      </c>
      <c r="D42" s="92">
        <v>5524.2191249999996</v>
      </c>
    </row>
    <row r="43" spans="2:4" hidden="1">
      <c r="B43" s="385"/>
      <c r="C43" s="365">
        <v>2017</v>
      </c>
      <c r="D43" s="92">
        <v>5198.5575239999998</v>
      </c>
    </row>
    <row r="44" spans="2:4" hidden="1">
      <c r="B44" s="385"/>
      <c r="C44" s="365">
        <v>2016</v>
      </c>
      <c r="D44" s="92">
        <v>3294.9542889999998</v>
      </c>
    </row>
    <row r="45" spans="2:4" hidden="1">
      <c r="B45" s="386"/>
      <c r="C45" s="372">
        <v>2015</v>
      </c>
      <c r="D45" s="177">
        <v>5086.0430100000003</v>
      </c>
    </row>
    <row r="46" spans="2:4">
      <c r="B46" s="533"/>
      <c r="C46" s="366">
        <v>2022</v>
      </c>
      <c r="D46" s="212">
        <v>20844.930381999999</v>
      </c>
    </row>
    <row r="47" spans="2:4">
      <c r="B47" s="533"/>
      <c r="C47" s="365">
        <v>2021</v>
      </c>
      <c r="D47" s="212">
        <v>12120.449264999999</v>
      </c>
    </row>
    <row r="48" spans="2:4">
      <c r="B48" s="385" t="s">
        <v>28</v>
      </c>
      <c r="C48" s="95">
        <v>2020</v>
      </c>
      <c r="D48" s="92">
        <v>15089.411177</v>
      </c>
    </row>
    <row r="49" spans="1:4">
      <c r="B49" s="385"/>
      <c r="C49" s="365">
        <v>2019</v>
      </c>
      <c r="D49" s="177">
        <v>20192.058673</v>
      </c>
    </row>
    <row r="50" spans="1:4" hidden="1">
      <c r="A50" s="17"/>
      <c r="B50" s="385"/>
      <c r="C50" s="133">
        <v>2018</v>
      </c>
      <c r="D50" s="92">
        <v>17315.586160999999</v>
      </c>
    </row>
    <row r="51" spans="1:4" ht="17.45" hidden="1" customHeight="1">
      <c r="A51" s="17"/>
      <c r="B51" s="385"/>
      <c r="C51" s="133">
        <v>2017</v>
      </c>
      <c r="D51" s="92">
        <v>21096.736669999998</v>
      </c>
    </row>
    <row r="52" spans="1:4" hidden="1">
      <c r="A52" s="17"/>
      <c r="B52" s="385"/>
      <c r="C52" s="133">
        <v>2016</v>
      </c>
      <c r="D52" s="92">
        <v>22752.794003999999</v>
      </c>
    </row>
    <row r="53" spans="1:4" hidden="1">
      <c r="A53" s="17"/>
      <c r="B53" s="385"/>
      <c r="C53" s="375">
        <v>2015</v>
      </c>
      <c r="D53" s="117">
        <v>14329.007932</v>
      </c>
    </row>
    <row r="54" spans="1:4">
      <c r="A54" s="17"/>
      <c r="B54" s="532"/>
      <c r="C54" s="374">
        <v>2022</v>
      </c>
      <c r="D54" s="212">
        <v>160786.83869100001</v>
      </c>
    </row>
    <row r="55" spans="1:4">
      <c r="A55" s="17"/>
      <c r="B55" s="533"/>
      <c r="C55" s="133">
        <v>2021</v>
      </c>
      <c r="D55" s="212">
        <v>119224.682965</v>
      </c>
    </row>
    <row r="56" spans="1:4">
      <c r="A56" s="17"/>
      <c r="B56" s="385" t="s">
        <v>29</v>
      </c>
      <c r="C56" s="95">
        <v>2020</v>
      </c>
      <c r="D56" s="92">
        <v>102178.105194</v>
      </c>
    </row>
    <row r="57" spans="1:4">
      <c r="A57" s="17"/>
      <c r="B57" s="385"/>
      <c r="C57" s="133">
        <v>2019</v>
      </c>
      <c r="D57" s="92">
        <v>123500.43523</v>
      </c>
    </row>
    <row r="58" spans="1:4" hidden="1">
      <c r="A58" s="17"/>
      <c r="B58" s="385"/>
      <c r="C58" s="133">
        <v>2018</v>
      </c>
      <c r="D58" s="92">
        <v>116052.40429999999</v>
      </c>
    </row>
    <row r="59" spans="1:4" hidden="1">
      <c r="A59" s="17"/>
      <c r="B59" s="385"/>
      <c r="C59" s="133">
        <v>2017</v>
      </c>
      <c r="D59" s="92">
        <v>101860.509903</v>
      </c>
    </row>
    <row r="60" spans="1:4" hidden="1">
      <c r="A60" s="17"/>
      <c r="B60" s="385"/>
      <c r="C60" s="133">
        <v>2016</v>
      </c>
      <c r="D60" s="92">
        <v>87938.675724999994</v>
      </c>
    </row>
    <row r="61" spans="1:4" hidden="1">
      <c r="A61" s="17"/>
      <c r="B61" s="385"/>
      <c r="C61" s="133">
        <v>2015</v>
      </c>
      <c r="D61" s="117">
        <v>86010.647303999998</v>
      </c>
    </row>
    <row r="62" spans="1:4">
      <c r="A62" s="17"/>
      <c r="B62" s="532"/>
      <c r="C62" s="374">
        <v>2022</v>
      </c>
      <c r="D62" s="229">
        <v>29512.625319999999</v>
      </c>
    </row>
    <row r="63" spans="1:4">
      <c r="A63" s="17"/>
      <c r="B63" s="533"/>
      <c r="C63" s="133">
        <v>2021</v>
      </c>
      <c r="D63" s="212">
        <v>19936.112757999999</v>
      </c>
    </row>
    <row r="64" spans="1:4">
      <c r="A64" s="17"/>
      <c r="B64" s="385" t="s">
        <v>30</v>
      </c>
      <c r="C64" s="95">
        <v>2020</v>
      </c>
      <c r="D64" s="92">
        <v>18346.025287</v>
      </c>
    </row>
    <row r="65" spans="1:4">
      <c r="A65" s="17"/>
      <c r="B65" s="385"/>
      <c r="C65" s="133">
        <v>2019</v>
      </c>
      <c r="D65" s="92">
        <v>25841.563170000001</v>
      </c>
    </row>
    <row r="66" spans="1:4" hidden="1">
      <c r="A66" s="17"/>
      <c r="B66" s="385"/>
      <c r="C66" s="133">
        <v>2018</v>
      </c>
      <c r="D66" s="92">
        <v>22953.363976000001</v>
      </c>
    </row>
    <row r="67" spans="1:4" hidden="1">
      <c r="A67" s="17"/>
      <c r="B67" s="385"/>
      <c r="C67" s="133">
        <v>2017</v>
      </c>
      <c r="D67" s="92">
        <v>19732.554077000001</v>
      </c>
    </row>
    <row r="68" spans="1:4" hidden="1">
      <c r="A68" s="17"/>
      <c r="B68" s="385"/>
      <c r="C68" s="133">
        <v>2016</v>
      </c>
      <c r="D68" s="92">
        <v>16719.659920999999</v>
      </c>
    </row>
    <row r="69" spans="1:4" hidden="1">
      <c r="A69" s="17"/>
      <c r="B69" s="385"/>
      <c r="C69" s="133">
        <v>2015</v>
      </c>
      <c r="D69" s="177">
        <v>15825.313072000001</v>
      </c>
    </row>
    <row r="70" spans="1:4">
      <c r="A70" s="17"/>
      <c r="B70" s="532"/>
      <c r="C70" s="374">
        <v>2022</v>
      </c>
      <c r="D70" s="229">
        <v>31010.863267000001</v>
      </c>
    </row>
    <row r="71" spans="1:4">
      <c r="A71" s="17"/>
      <c r="B71" s="533"/>
      <c r="C71" s="133">
        <v>2021</v>
      </c>
      <c r="D71" s="212">
        <v>8343.8103800000008</v>
      </c>
    </row>
    <row r="72" spans="1:4">
      <c r="A72" s="17"/>
      <c r="B72" s="385" t="s">
        <v>31</v>
      </c>
      <c r="C72" s="95">
        <v>2020</v>
      </c>
      <c r="D72" s="92">
        <v>9933.3322719999996</v>
      </c>
    </row>
    <row r="73" spans="1:4">
      <c r="A73" s="17"/>
      <c r="B73" s="385"/>
      <c r="C73" s="133">
        <v>2019</v>
      </c>
      <c r="D73" s="92">
        <v>31134.869967999999</v>
      </c>
    </row>
    <row r="74" spans="1:4" hidden="1">
      <c r="A74" s="17"/>
      <c r="B74" s="385"/>
      <c r="C74" s="133">
        <v>2018</v>
      </c>
      <c r="D74" s="92">
        <v>28005.461684999998</v>
      </c>
    </row>
    <row r="75" spans="1:4" hidden="1">
      <c r="A75" s="17"/>
      <c r="B75" s="385"/>
      <c r="C75" s="133">
        <v>2017</v>
      </c>
      <c r="D75" s="92">
        <v>25408.032373999999</v>
      </c>
    </row>
    <row r="76" spans="1:4" hidden="1">
      <c r="A76" s="17"/>
      <c r="B76" s="385"/>
      <c r="C76" s="133">
        <v>2016</v>
      </c>
      <c r="D76" s="92">
        <v>22458.118171999999</v>
      </c>
    </row>
    <row r="77" spans="1:4" hidden="1">
      <c r="A77" s="17"/>
      <c r="B77" s="386"/>
      <c r="C77" s="133">
        <v>2015</v>
      </c>
      <c r="D77" s="92">
        <v>19624.798208</v>
      </c>
    </row>
    <row r="78" spans="1:4">
      <c r="A78" s="17"/>
      <c r="B78" s="531"/>
      <c r="C78" s="374">
        <v>2022</v>
      </c>
      <c r="D78" s="229">
        <v>12445.099405000001</v>
      </c>
    </row>
    <row r="79" spans="1:4">
      <c r="A79" s="17"/>
      <c r="B79" s="533"/>
      <c r="C79" s="133">
        <v>2021</v>
      </c>
      <c r="D79" s="212">
        <v>10382.663322</v>
      </c>
    </row>
    <row r="80" spans="1:4">
      <c r="A80" s="17"/>
      <c r="B80" s="385" t="s">
        <v>32</v>
      </c>
      <c r="C80" s="95">
        <v>2020</v>
      </c>
      <c r="D80" s="212">
        <v>11251.961147</v>
      </c>
    </row>
    <row r="81" spans="1:4">
      <c r="A81" s="17"/>
      <c r="B81" s="385"/>
      <c r="C81" s="375">
        <v>2019</v>
      </c>
      <c r="D81" s="92">
        <v>10279.903050999999</v>
      </c>
    </row>
    <row r="82" spans="1:4" hidden="1">
      <c r="A82" s="17"/>
      <c r="B82" s="385"/>
      <c r="C82" s="133">
        <v>2018</v>
      </c>
      <c r="D82" s="92">
        <v>10090.920813000001</v>
      </c>
    </row>
    <row r="83" spans="1:4" hidden="1">
      <c r="A83" s="17"/>
      <c r="B83" s="385"/>
      <c r="C83" s="133">
        <v>2017</v>
      </c>
      <c r="D83" s="92">
        <v>11265.526065</v>
      </c>
    </row>
    <row r="84" spans="1:4" hidden="1">
      <c r="A84" s="17"/>
      <c r="B84" s="385"/>
      <c r="C84" s="133">
        <v>2016</v>
      </c>
      <c r="D84" s="92">
        <v>11668.964986000001</v>
      </c>
    </row>
    <row r="85" spans="1:4" hidden="1">
      <c r="A85" s="17"/>
      <c r="B85" s="385"/>
      <c r="C85" s="375">
        <v>2015</v>
      </c>
      <c r="D85" s="177">
        <v>12133.579271000001</v>
      </c>
    </row>
    <row r="86" spans="1:4">
      <c r="A86" s="17"/>
      <c r="B86" s="532"/>
      <c r="C86" s="133">
        <v>2022</v>
      </c>
      <c r="D86" s="229">
        <v>1559.362161</v>
      </c>
    </row>
    <row r="87" spans="1:4">
      <c r="A87" s="17"/>
      <c r="B87" s="533"/>
      <c r="C87" s="133">
        <v>2021</v>
      </c>
      <c r="D87" s="212">
        <v>1129.9593990000001</v>
      </c>
    </row>
    <row r="88" spans="1:4">
      <c r="A88" s="17"/>
      <c r="B88" s="385" t="s">
        <v>33</v>
      </c>
      <c r="C88" s="95">
        <v>2020</v>
      </c>
      <c r="D88" s="92">
        <v>991.38021900000001</v>
      </c>
    </row>
    <row r="89" spans="1:4">
      <c r="A89" s="17"/>
      <c r="B89" s="385"/>
      <c r="C89" s="133">
        <v>2019</v>
      </c>
      <c r="D89" s="92">
        <v>1839.425841</v>
      </c>
    </row>
    <row r="90" spans="1:4" hidden="1">
      <c r="A90" s="17"/>
      <c r="B90" s="385"/>
      <c r="C90" s="133">
        <v>2018</v>
      </c>
      <c r="D90" s="92">
        <v>0</v>
      </c>
    </row>
    <row r="91" spans="1:4" hidden="1">
      <c r="A91" s="17"/>
      <c r="B91" s="385"/>
      <c r="C91" s="133">
        <v>2017</v>
      </c>
      <c r="D91" s="92">
        <v>0</v>
      </c>
    </row>
    <row r="92" spans="1:4" hidden="1">
      <c r="A92" s="17"/>
      <c r="B92" s="385"/>
      <c r="C92" s="133">
        <v>2016</v>
      </c>
      <c r="D92" s="92">
        <v>0</v>
      </c>
    </row>
    <row r="93" spans="1:4" hidden="1">
      <c r="A93" s="17"/>
      <c r="B93" s="386"/>
      <c r="C93" s="133">
        <v>2015</v>
      </c>
      <c r="D93" s="177">
        <v>0</v>
      </c>
    </row>
    <row r="94" spans="1:4">
      <c r="A94" s="17"/>
      <c r="B94" s="531"/>
      <c r="C94" s="374">
        <v>2022</v>
      </c>
      <c r="D94" s="229">
        <v>3303.6608780000001</v>
      </c>
    </row>
    <row r="95" spans="1:4">
      <c r="A95" s="17"/>
      <c r="B95" s="533"/>
      <c r="C95" s="133">
        <v>2021</v>
      </c>
      <c r="D95" s="212">
        <v>2617.5963459999998</v>
      </c>
    </row>
    <row r="96" spans="1:4">
      <c r="A96" s="17"/>
      <c r="B96" s="385" t="s">
        <v>34</v>
      </c>
      <c r="C96" s="95">
        <v>2020</v>
      </c>
      <c r="D96" s="92">
        <v>2127.9258030000001</v>
      </c>
    </row>
    <row r="97" spans="1:4">
      <c r="A97" s="17"/>
      <c r="B97" s="385"/>
      <c r="C97" s="133">
        <v>2019</v>
      </c>
      <c r="D97" s="92">
        <v>3303.7926510000002</v>
      </c>
    </row>
    <row r="98" spans="1:4" hidden="1">
      <c r="A98" s="17"/>
      <c r="B98" s="385"/>
      <c r="C98" s="133">
        <v>2018</v>
      </c>
      <c r="D98" s="92">
        <v>3484.8581159999999</v>
      </c>
    </row>
    <row r="99" spans="1:4" hidden="1">
      <c r="A99" s="17"/>
      <c r="B99" s="385"/>
      <c r="C99" s="133">
        <v>2017</v>
      </c>
      <c r="D99" s="92">
        <v>3600.3205800000001</v>
      </c>
    </row>
    <row r="100" spans="1:4" hidden="1">
      <c r="A100" s="17"/>
      <c r="B100" s="385"/>
      <c r="C100" s="133">
        <v>2016</v>
      </c>
      <c r="D100" s="92">
        <v>5307.1485819999998</v>
      </c>
    </row>
    <row r="101" spans="1:4" hidden="1">
      <c r="A101" s="17"/>
      <c r="B101" s="385"/>
      <c r="C101" s="133">
        <v>2015</v>
      </c>
      <c r="D101" s="177">
        <v>3546.144213</v>
      </c>
    </row>
    <row r="102" spans="1:4">
      <c r="A102" s="17"/>
      <c r="B102" s="532"/>
      <c r="C102" s="374">
        <v>2021</v>
      </c>
      <c r="D102" s="229">
        <v>4183.7833190000001</v>
      </c>
    </row>
    <row r="103" spans="1:4">
      <c r="A103" s="17"/>
      <c r="B103" s="533"/>
      <c r="C103" s="133">
        <v>2021</v>
      </c>
      <c r="D103" s="212">
        <v>3976.9030769999999</v>
      </c>
    </row>
    <row r="104" spans="1:4">
      <c r="A104" s="17"/>
      <c r="B104" s="385" t="s">
        <v>35</v>
      </c>
      <c r="C104" s="95">
        <v>2020</v>
      </c>
      <c r="D104" s="92">
        <v>3986.013974</v>
      </c>
    </row>
    <row r="105" spans="1:4">
      <c r="A105" s="17"/>
      <c r="B105" s="385"/>
      <c r="C105" s="133">
        <v>2019</v>
      </c>
      <c r="D105" s="177">
        <v>5503.1158349999996</v>
      </c>
    </row>
    <row r="106" spans="1:4" hidden="1">
      <c r="A106" s="17"/>
      <c r="B106" s="385"/>
      <c r="C106" s="133">
        <v>2018</v>
      </c>
      <c r="D106" s="92">
        <v>3797.0623559999999</v>
      </c>
    </row>
    <row r="107" spans="1:4" hidden="1">
      <c r="A107" s="17"/>
      <c r="B107" s="385"/>
      <c r="C107" s="133">
        <v>2017</v>
      </c>
      <c r="D107" s="92">
        <v>3499.649101</v>
      </c>
    </row>
    <row r="108" spans="1:4" hidden="1">
      <c r="A108" s="17"/>
      <c r="B108" s="385"/>
      <c r="C108" s="133">
        <v>2016</v>
      </c>
      <c r="D108" s="92">
        <v>3742.411364</v>
      </c>
    </row>
    <row r="109" spans="1:4" hidden="1">
      <c r="A109" s="17"/>
      <c r="B109" s="386"/>
      <c r="C109" s="133">
        <v>2015</v>
      </c>
      <c r="D109" s="117">
        <v>3610.0068040000001</v>
      </c>
    </row>
    <row r="110" spans="1:4">
      <c r="A110" s="17"/>
      <c r="B110" s="531"/>
      <c r="C110" s="374">
        <v>2022</v>
      </c>
      <c r="D110" s="212">
        <v>7151.9322259999999</v>
      </c>
    </row>
    <row r="111" spans="1:4">
      <c r="A111" s="17"/>
      <c r="B111" s="533"/>
      <c r="C111" s="133">
        <v>2021</v>
      </c>
      <c r="D111" s="212">
        <v>5145.9079499999998</v>
      </c>
    </row>
    <row r="112" spans="1:4">
      <c r="A112" s="17"/>
      <c r="B112" s="385" t="s">
        <v>36</v>
      </c>
      <c r="C112" s="95">
        <v>2020</v>
      </c>
      <c r="D112" s="92">
        <v>3856.0912429999998</v>
      </c>
    </row>
    <row r="113" spans="1:4">
      <c r="A113" s="17"/>
      <c r="B113" s="385"/>
      <c r="C113" s="375">
        <v>2019</v>
      </c>
      <c r="D113" s="92">
        <v>6780.9560709999996</v>
      </c>
    </row>
    <row r="114" spans="1:4" hidden="1">
      <c r="A114" s="17"/>
      <c r="B114" s="385"/>
      <c r="C114" s="133">
        <v>2018</v>
      </c>
      <c r="D114" s="92">
        <v>6010.1796100000001</v>
      </c>
    </row>
    <row r="115" spans="1:4" hidden="1">
      <c r="A115" s="17"/>
      <c r="B115" s="385"/>
      <c r="C115" s="133">
        <v>2017</v>
      </c>
      <c r="D115" s="92">
        <v>5945.4714979999999</v>
      </c>
    </row>
    <row r="116" spans="1:4" hidden="1">
      <c r="A116" s="17"/>
      <c r="B116" s="385"/>
      <c r="C116" s="133">
        <v>2016</v>
      </c>
      <c r="D116" s="92">
        <v>5766.6761999999999</v>
      </c>
    </row>
    <row r="117" spans="1:4" hidden="1">
      <c r="A117" s="17"/>
      <c r="B117" s="386"/>
      <c r="C117" s="375">
        <v>2015</v>
      </c>
      <c r="D117" s="177">
        <v>5390.7369390000003</v>
      </c>
    </row>
    <row r="118" spans="1:4">
      <c r="A118" s="17"/>
      <c r="B118" s="531"/>
      <c r="C118" s="133">
        <v>2022</v>
      </c>
      <c r="D118" s="229">
        <v>83.278746999999996</v>
      </c>
    </row>
    <row r="119" spans="1:4">
      <c r="A119" s="17"/>
      <c r="B119" s="533"/>
      <c r="C119" s="133">
        <v>2021</v>
      </c>
      <c r="D119" s="212">
        <v>58.560344999999998</v>
      </c>
    </row>
    <row r="120" spans="1:4">
      <c r="A120" s="17"/>
      <c r="B120" s="385" t="s">
        <v>172</v>
      </c>
      <c r="C120" s="95">
        <v>2020</v>
      </c>
      <c r="D120" s="92">
        <v>68.738856999999996</v>
      </c>
    </row>
    <row r="121" spans="1:4">
      <c r="A121" s="17"/>
      <c r="B121" s="385"/>
      <c r="C121" s="133">
        <v>2019</v>
      </c>
      <c r="D121" s="177">
        <v>13.220333999999999</v>
      </c>
    </row>
    <row r="122" spans="1:4" hidden="1">
      <c r="A122" s="17"/>
      <c r="B122" s="385"/>
      <c r="C122" s="133">
        <v>2018</v>
      </c>
      <c r="D122" s="92">
        <v>0</v>
      </c>
    </row>
    <row r="123" spans="1:4" hidden="1">
      <c r="A123" s="17"/>
      <c r="B123" s="385"/>
      <c r="C123" s="133">
        <v>2017</v>
      </c>
      <c r="D123" s="92">
        <v>0</v>
      </c>
    </row>
    <row r="124" spans="1:4" hidden="1">
      <c r="A124" s="17"/>
      <c r="B124" s="385"/>
      <c r="C124" s="133">
        <v>2016</v>
      </c>
      <c r="D124" s="92">
        <v>0</v>
      </c>
    </row>
    <row r="125" spans="1:4" hidden="1">
      <c r="A125" s="17"/>
      <c r="B125" s="385"/>
      <c r="C125" s="133">
        <v>2015</v>
      </c>
      <c r="D125" s="177">
        <v>0</v>
      </c>
    </row>
    <row r="126" spans="1:4">
      <c r="A126" s="17"/>
      <c r="B126" s="532"/>
      <c r="C126" s="374">
        <v>2022</v>
      </c>
      <c r="D126" s="212">
        <v>230.82735199999999</v>
      </c>
    </row>
    <row r="127" spans="1:4">
      <c r="A127" s="17"/>
      <c r="B127" s="533"/>
      <c r="C127" s="133">
        <v>2021</v>
      </c>
      <c r="D127" s="212">
        <v>105.988141</v>
      </c>
    </row>
    <row r="128" spans="1:4">
      <c r="A128" s="17"/>
      <c r="B128" s="385" t="s">
        <v>38</v>
      </c>
      <c r="C128" s="95">
        <v>2020</v>
      </c>
      <c r="D128" s="92">
        <v>66.127565000000004</v>
      </c>
    </row>
    <row r="129" spans="1:4">
      <c r="A129" s="17"/>
      <c r="B129" s="385"/>
      <c r="C129" s="133">
        <v>2019</v>
      </c>
      <c r="D129" s="177">
        <v>127.09721500000001</v>
      </c>
    </row>
    <row r="130" spans="1:4" hidden="1">
      <c r="A130" s="17"/>
      <c r="B130" s="385"/>
      <c r="C130" s="95">
        <v>2018</v>
      </c>
      <c r="D130" s="92">
        <v>146.016762</v>
      </c>
    </row>
    <row r="131" spans="1:4" hidden="1">
      <c r="A131" s="17"/>
      <c r="B131" s="385"/>
      <c r="C131" s="95">
        <v>2017</v>
      </c>
      <c r="D131" s="92">
        <v>150.66564600000001</v>
      </c>
    </row>
    <row r="132" spans="1:4" hidden="1">
      <c r="A132" s="17"/>
      <c r="B132" s="385"/>
      <c r="C132" s="95">
        <v>2016</v>
      </c>
      <c r="D132" s="92">
        <v>100.0562</v>
      </c>
    </row>
    <row r="133" spans="1:4" hidden="1">
      <c r="A133" s="17"/>
      <c r="B133" s="386"/>
      <c r="C133" s="375">
        <v>2015</v>
      </c>
      <c r="D133" s="177">
        <v>76.978138999999999</v>
      </c>
    </row>
    <row r="134" spans="1:4">
      <c r="A134" s="17"/>
      <c r="B134" s="531"/>
      <c r="C134" s="374">
        <v>2022</v>
      </c>
      <c r="D134" s="212">
        <v>715.11239499999999</v>
      </c>
    </row>
    <row r="135" spans="1:4">
      <c r="A135" s="17"/>
      <c r="B135" s="533"/>
      <c r="C135" s="133">
        <v>2021</v>
      </c>
      <c r="D135" s="212">
        <v>727.15185499999995</v>
      </c>
    </row>
    <row r="136" spans="1:4">
      <c r="A136" s="17"/>
      <c r="B136" s="533"/>
      <c r="C136" s="95">
        <v>2020</v>
      </c>
      <c r="D136" s="92">
        <v>570.65434900000002</v>
      </c>
    </row>
    <row r="137" spans="1:4">
      <c r="A137" s="17"/>
      <c r="B137" s="385" t="s">
        <v>39</v>
      </c>
      <c r="C137" s="133">
        <v>2019</v>
      </c>
      <c r="D137" s="177">
        <v>526.28477099999998</v>
      </c>
    </row>
    <row r="138" spans="1:4" hidden="1">
      <c r="A138" s="17"/>
      <c r="B138" s="385"/>
      <c r="C138" s="95">
        <v>2018</v>
      </c>
      <c r="D138" s="92">
        <v>465.147942</v>
      </c>
    </row>
    <row r="139" spans="1:4" hidden="1">
      <c r="A139" s="17"/>
      <c r="B139" s="385"/>
      <c r="C139" s="95">
        <v>2017</v>
      </c>
      <c r="D139" s="92">
        <v>386.75121200000001</v>
      </c>
    </row>
    <row r="140" spans="1:4" hidden="1">
      <c r="A140" s="17"/>
      <c r="B140" s="385"/>
      <c r="C140" s="95">
        <v>2016</v>
      </c>
      <c r="D140" s="92">
        <v>336.37302899999997</v>
      </c>
    </row>
    <row r="141" spans="1:4" hidden="1">
      <c r="A141" s="17"/>
      <c r="B141" s="385"/>
      <c r="C141" s="95">
        <v>2015</v>
      </c>
      <c r="D141" s="177">
        <v>242.99671799999999</v>
      </c>
    </row>
    <row r="142" spans="1:4">
      <c r="A142" s="17"/>
      <c r="B142" s="532"/>
      <c r="C142" s="99">
        <v>2022</v>
      </c>
      <c r="D142" s="212">
        <v>425.390109</v>
      </c>
    </row>
    <row r="143" spans="1:4">
      <c r="A143" s="17"/>
      <c r="B143" s="533"/>
      <c r="C143" s="95">
        <v>2021</v>
      </c>
      <c r="D143" s="212">
        <v>230.48935599999999</v>
      </c>
    </row>
    <row r="144" spans="1:4">
      <c r="A144" s="17"/>
      <c r="B144" s="533"/>
      <c r="C144" s="95">
        <v>2020</v>
      </c>
      <c r="D144" s="92">
        <v>167.893089</v>
      </c>
    </row>
    <row r="145" spans="1:5">
      <c r="A145" s="17"/>
      <c r="B145" s="385" t="s">
        <v>40</v>
      </c>
      <c r="C145" s="98">
        <v>2019</v>
      </c>
      <c r="D145" s="92">
        <v>508.59905500000002</v>
      </c>
    </row>
    <row r="146" spans="1:5" hidden="1">
      <c r="A146" s="17"/>
      <c r="B146" s="385"/>
      <c r="C146" s="95">
        <v>2018</v>
      </c>
      <c r="D146" s="92">
        <v>445.36909200000002</v>
      </c>
    </row>
    <row r="147" spans="1:5" hidden="1">
      <c r="A147" s="17"/>
      <c r="B147" s="385"/>
      <c r="C147" s="95">
        <v>2017</v>
      </c>
      <c r="D147" s="92">
        <v>496.78590500000001</v>
      </c>
    </row>
    <row r="148" spans="1:5" hidden="1">
      <c r="A148" s="17"/>
      <c r="B148" s="385"/>
      <c r="C148" s="365">
        <v>2016</v>
      </c>
      <c r="D148" s="92">
        <v>302.65822800000001</v>
      </c>
    </row>
    <row r="149" spans="1:5" hidden="1">
      <c r="A149" s="17"/>
      <c r="B149" s="385"/>
      <c r="C149" s="372">
        <v>2015</v>
      </c>
      <c r="D149" s="177">
        <v>330.876239</v>
      </c>
    </row>
    <row r="150" spans="1:5" ht="15" customHeight="1">
      <c r="A150" s="17"/>
      <c r="B150" s="614" t="s">
        <v>41</v>
      </c>
      <c r="C150" s="365">
        <v>2021</v>
      </c>
      <c r="D150" s="229">
        <v>2607.091214</v>
      </c>
    </row>
    <row r="151" spans="1:5">
      <c r="A151" s="17"/>
      <c r="B151" s="612"/>
      <c r="C151" s="365">
        <v>2021</v>
      </c>
      <c r="D151" s="212">
        <v>1945.567164</v>
      </c>
    </row>
    <row r="152" spans="1:5">
      <c r="A152" s="17"/>
      <c r="B152" s="612"/>
      <c r="C152" s="365">
        <v>2020</v>
      </c>
      <c r="D152" s="92">
        <v>1743.4039929999999</v>
      </c>
    </row>
    <row r="153" spans="1:5">
      <c r="A153" s="17"/>
      <c r="B153" s="612"/>
      <c r="C153" s="365">
        <v>2019</v>
      </c>
      <c r="D153" s="92">
        <v>2298.6996039999999</v>
      </c>
    </row>
    <row r="154" spans="1:5" hidden="1">
      <c r="A154" s="17"/>
      <c r="B154" s="612"/>
      <c r="C154" s="365">
        <v>2018</v>
      </c>
      <c r="D154" s="92">
        <v>682.93326200000001</v>
      </c>
    </row>
    <row r="155" spans="1:5" hidden="1">
      <c r="A155" s="17"/>
      <c r="B155" s="612"/>
      <c r="C155" s="365">
        <v>2017</v>
      </c>
      <c r="D155" s="92">
        <v>619.79870300000005</v>
      </c>
    </row>
    <row r="156" spans="1:5" hidden="1">
      <c r="A156" s="17"/>
      <c r="B156" s="612"/>
      <c r="C156" s="365">
        <v>2016</v>
      </c>
      <c r="D156" s="92">
        <v>537.82580199999995</v>
      </c>
    </row>
    <row r="157" spans="1:5" hidden="1">
      <c r="A157" s="17"/>
      <c r="B157" s="613"/>
      <c r="C157" s="372">
        <v>2015</v>
      </c>
      <c r="D157" s="92">
        <v>519.193803</v>
      </c>
    </row>
    <row r="158" spans="1:5" ht="14.45" customHeight="1">
      <c r="A158" s="17"/>
      <c r="B158" s="614" t="s">
        <v>177</v>
      </c>
      <c r="C158" s="99">
        <v>2022</v>
      </c>
      <c r="D158" s="530">
        <f t="shared" ref="D158:D161" si="0">+D150+D142+D134+D126+D118+D110+D102+D94+D86+D78+D70+D62+D54+D46+D38+D30+D22+D14+D6</f>
        <v>323271.19935900008</v>
      </c>
      <c r="E158" s="54"/>
    </row>
    <row r="159" spans="1:5">
      <c r="B159" s="612"/>
      <c r="C159" s="95">
        <v>2021</v>
      </c>
      <c r="D159" s="4">
        <f t="shared" si="0"/>
        <v>238590.14646900003</v>
      </c>
      <c r="E159" s="54"/>
    </row>
    <row r="160" spans="1:5">
      <c r="B160" s="612"/>
      <c r="C160" s="95">
        <v>2020</v>
      </c>
      <c r="D160" s="4">
        <f t="shared" si="0"/>
        <v>222153.321474</v>
      </c>
      <c r="E160" s="54"/>
    </row>
    <row r="161" spans="2:6">
      <c r="B161" s="612"/>
      <c r="C161" s="95">
        <v>2019</v>
      </c>
      <c r="D161" s="4">
        <f t="shared" si="0"/>
        <v>287074.58013299998</v>
      </c>
      <c r="E161" s="54"/>
    </row>
    <row r="162" spans="2:6" hidden="1">
      <c r="B162" s="139"/>
      <c r="C162" s="95">
        <v>2018</v>
      </c>
      <c r="D162" s="378">
        <v>267946.096387</v>
      </c>
      <c r="E162" s="54"/>
      <c r="F162" s="54"/>
    </row>
    <row r="163" spans="2:6" hidden="1">
      <c r="B163" s="139"/>
      <c r="C163" s="95">
        <v>2017</v>
      </c>
      <c r="D163" s="378">
        <v>246071.11437300008</v>
      </c>
      <c r="E163" s="54"/>
      <c r="F163" s="54"/>
    </row>
    <row r="164" spans="2:6" hidden="1">
      <c r="B164" s="139"/>
      <c r="C164" s="95">
        <v>2016</v>
      </c>
      <c r="D164" s="378">
        <v>226847.06604699994</v>
      </c>
      <c r="E164" s="54"/>
      <c r="F164" s="54"/>
    </row>
    <row r="165" spans="2:6" hidden="1">
      <c r="B165" s="116"/>
      <c r="C165" s="98">
        <v>2015</v>
      </c>
      <c r="D165" s="378">
        <v>215438.98794300004</v>
      </c>
      <c r="E165" s="54"/>
      <c r="F165" s="54"/>
    </row>
    <row r="166" spans="2:6">
      <c r="B166" s="566" t="s">
        <v>170</v>
      </c>
      <c r="C166" s="35"/>
      <c r="D166" s="102"/>
    </row>
    <row r="168" spans="2:6">
      <c r="B168" s="17"/>
    </row>
  </sheetData>
  <mergeCells count="5">
    <mergeCell ref="B150:B157"/>
    <mergeCell ref="B158:B161"/>
    <mergeCell ref="D4:D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9"/>
  <sheetViews>
    <sheetView showGridLines="0" workbookViewId="0"/>
  </sheetViews>
  <sheetFormatPr defaultColWidth="8.85546875" defaultRowHeight="14.25"/>
  <cols>
    <col min="1" max="1" width="1.7109375" style="17" customWidth="1"/>
    <col min="2" max="2" width="15.7109375" style="31" customWidth="1"/>
    <col min="3" max="4" width="30.7109375" style="31" customWidth="1"/>
    <col min="5" max="5" width="15.7109375" style="31" customWidth="1"/>
    <col min="6" max="6" width="8.85546875" style="17"/>
    <col min="7" max="7" width="14.140625" style="31" bestFit="1" customWidth="1"/>
    <col min="8" max="16384" width="8.85546875" style="31"/>
  </cols>
  <sheetData>
    <row r="2" spans="1:8" ht="15">
      <c r="B2" s="57" t="s">
        <v>159</v>
      </c>
    </row>
    <row r="3" spans="1:8">
      <c r="A3" s="31"/>
      <c r="B3" s="17"/>
    </row>
    <row r="4" spans="1:8" ht="4.9000000000000004" customHeight="1">
      <c r="B4" s="57"/>
    </row>
    <row r="5" spans="1:8">
      <c r="A5" s="12"/>
      <c r="B5" s="508" t="s">
        <v>2</v>
      </c>
      <c r="C5" s="511" t="s">
        <v>179</v>
      </c>
      <c r="D5" s="512" t="s">
        <v>180</v>
      </c>
      <c r="E5" s="513" t="s">
        <v>70</v>
      </c>
      <c r="F5" s="12"/>
    </row>
    <row r="6" spans="1:8" ht="14.25" customHeight="1">
      <c r="A6" s="12"/>
      <c r="B6" s="204">
        <v>2022</v>
      </c>
      <c r="C6" s="586">
        <v>17919.600847000002</v>
      </c>
      <c r="D6" s="586">
        <v>241509.27417368282</v>
      </c>
      <c r="E6" s="206">
        <f>+C6/D6</f>
        <v>7.4198396348593279E-2</v>
      </c>
      <c r="F6" s="12"/>
    </row>
    <row r="7" spans="1:8" ht="14.25" customHeight="1">
      <c r="A7" s="12"/>
      <c r="B7" s="204">
        <v>2021</v>
      </c>
      <c r="C7" s="205">
        <v>13116.553394</v>
      </c>
      <c r="D7" s="586">
        <v>192401.97127189828</v>
      </c>
      <c r="E7" s="206">
        <f t="shared" ref="E7:E13" si="0">+C7/D7</f>
        <v>6.8172655962365228E-2</v>
      </c>
      <c r="F7" s="12"/>
      <c r="G7" s="7"/>
    </row>
    <row r="8" spans="1:8" ht="14.25" customHeight="1">
      <c r="A8" s="12"/>
      <c r="B8" s="188">
        <v>2020</v>
      </c>
      <c r="C8" s="205">
        <v>13040.569837999999</v>
      </c>
      <c r="D8" s="205">
        <v>176320</v>
      </c>
      <c r="E8" s="206">
        <f t="shared" si="0"/>
        <v>7.3959674671052633E-2</v>
      </c>
      <c r="F8" s="12"/>
    </row>
    <row r="9" spans="1:8" ht="14.25" customHeight="1">
      <c r="A9" s="12"/>
      <c r="B9" s="204">
        <v>2019</v>
      </c>
      <c r="C9" s="205">
        <v>16732.387052999999</v>
      </c>
      <c r="D9" s="205">
        <v>221829</v>
      </c>
      <c r="E9" s="206">
        <f t="shared" si="0"/>
        <v>7.5429213732199116E-2</v>
      </c>
      <c r="F9" s="12"/>
    </row>
    <row r="10" spans="1:8" ht="14.25" customHeight="1">
      <c r="A10" s="12"/>
      <c r="B10" s="204">
        <v>2018</v>
      </c>
      <c r="C10" s="205">
        <v>16213.059380000001</v>
      </c>
      <c r="D10" s="205">
        <v>185560.65388299999</v>
      </c>
      <c r="E10" s="206">
        <f t="shared" si="0"/>
        <v>8.737336844168854E-2</v>
      </c>
      <c r="F10" s="12"/>
      <c r="G10" s="54"/>
      <c r="H10" s="585"/>
    </row>
    <row r="11" spans="1:8" ht="13.5" customHeight="1">
      <c r="A11" s="12"/>
      <c r="B11" s="204">
        <v>2017</v>
      </c>
      <c r="C11" s="205">
        <v>13306.236999999999</v>
      </c>
      <c r="D11" s="205">
        <v>173382.92259</v>
      </c>
      <c r="E11" s="206">
        <f t="shared" si="0"/>
        <v>7.6744795861270407E-2</v>
      </c>
      <c r="F11" s="12"/>
      <c r="H11" s="585"/>
    </row>
    <row r="12" spans="1:8" ht="14.25" customHeight="1">
      <c r="A12" s="12"/>
      <c r="B12" s="204">
        <v>2016</v>
      </c>
      <c r="C12" s="205">
        <v>11985.839663000001</v>
      </c>
      <c r="D12" s="205">
        <v>165782.17634800001</v>
      </c>
      <c r="E12" s="206">
        <f t="shared" si="0"/>
        <v>7.2298723101813095E-2</v>
      </c>
      <c r="F12" s="12"/>
    </row>
    <row r="13" spans="1:8" ht="14.25" customHeight="1">
      <c r="A13" s="12"/>
      <c r="B13" s="204">
        <v>2015</v>
      </c>
      <c r="C13" s="205">
        <v>11293.358166</v>
      </c>
      <c r="D13" s="205">
        <v>158699.11425399999</v>
      </c>
      <c r="E13" s="206">
        <f t="shared" si="0"/>
        <v>7.1162074338517317E-2</v>
      </c>
      <c r="F13" s="12"/>
    </row>
    <row r="14" spans="1:8" ht="23.25" customHeight="1">
      <c r="A14" s="12"/>
      <c r="B14" s="637" t="s">
        <v>176</v>
      </c>
      <c r="C14" s="638"/>
      <c r="D14" s="638"/>
      <c r="E14" s="638"/>
      <c r="F14" s="12"/>
    </row>
    <row r="15" spans="1:8" ht="14.25" customHeight="1">
      <c r="A15" s="12"/>
      <c r="B15" s="509">
        <v>2022</v>
      </c>
      <c r="C15" s="514">
        <f t="shared" ref="C15:D18" si="1">+C6/C7-1</f>
        <v>0.36618212946070838</v>
      </c>
      <c r="D15" s="515">
        <f>+D6/D7-1</f>
        <v>0.25523284702934346</v>
      </c>
      <c r="E15" s="516">
        <f>+E6-E7</f>
        <v>6.0257403862280512E-3</v>
      </c>
      <c r="F15" s="12"/>
    </row>
    <row r="16" spans="1:8" ht="14.25" customHeight="1">
      <c r="A16" s="12"/>
      <c r="B16" s="204">
        <v>2021</v>
      </c>
      <c r="C16" s="207">
        <f t="shared" si="1"/>
        <v>5.8267051934024483E-3</v>
      </c>
      <c r="D16" s="510">
        <f t="shared" si="1"/>
        <v>9.120900222265349E-2</v>
      </c>
      <c r="E16" s="208">
        <f>+E7-E8</f>
        <v>-5.7870187086874053E-3</v>
      </c>
      <c r="F16" s="12"/>
    </row>
    <row r="17" spans="1:6" ht="14.25" customHeight="1">
      <c r="A17" s="12"/>
      <c r="B17" s="204">
        <v>2020</v>
      </c>
      <c r="C17" s="209">
        <f t="shared" si="1"/>
        <v>-0.22063900406475967</v>
      </c>
      <c r="D17" s="209">
        <f t="shared" si="1"/>
        <v>-0.20515351915213975</v>
      </c>
      <c r="E17" s="208">
        <f>+E8-E9</f>
        <v>-1.4695390611464826E-3</v>
      </c>
      <c r="F17" s="12"/>
    </row>
    <row r="18" spans="1:6" ht="14.25" customHeight="1">
      <c r="A18" s="12"/>
      <c r="B18" s="588">
        <v>2019</v>
      </c>
      <c r="C18" s="207">
        <f t="shared" si="1"/>
        <v>3.2031442112685271E-2</v>
      </c>
      <c r="D18" s="207">
        <f t="shared" si="1"/>
        <v>0.1954527824625365</v>
      </c>
      <c r="E18" s="208">
        <v>-1.4551792076747301E-3</v>
      </c>
      <c r="F18" s="12"/>
    </row>
    <row r="19" spans="1:6" ht="14.25" customHeight="1">
      <c r="A19" s="12"/>
      <c r="B19" s="509">
        <v>2018</v>
      </c>
      <c r="C19" s="207">
        <f t="shared" ref="C19:D21" si="2">+C10/C11-1</f>
        <v>0.21845562949164377</v>
      </c>
      <c r="D19" s="207">
        <f t="shared" si="2"/>
        <v>7.0236048112978011E-2</v>
      </c>
      <c r="E19" s="210">
        <f>+E10-E11</f>
        <v>1.0628572580418133E-2</v>
      </c>
      <c r="F19" s="12"/>
    </row>
    <row r="20" spans="1:6" ht="14.25" customHeight="1">
      <c r="A20" s="12"/>
      <c r="B20" s="204">
        <v>2017</v>
      </c>
      <c r="C20" s="207">
        <f t="shared" si="2"/>
        <v>0.11016310697664622</v>
      </c>
      <c r="D20" s="207">
        <f t="shared" si="2"/>
        <v>4.5847789005043271E-2</v>
      </c>
      <c r="E20" s="210">
        <f>+E11-E12</f>
        <v>4.4460727594573118E-3</v>
      </c>
      <c r="F20" s="12"/>
    </row>
    <row r="21" spans="1:6" ht="14.25" customHeight="1">
      <c r="A21" s="12"/>
      <c r="B21" s="204">
        <v>2016</v>
      </c>
      <c r="C21" s="207">
        <f t="shared" si="2"/>
        <v>6.1317589225567959E-2</v>
      </c>
      <c r="D21" s="207">
        <f t="shared" si="2"/>
        <v>4.4632020331654143E-2</v>
      </c>
      <c r="E21" s="210">
        <f>+E12-E13</f>
        <v>1.1366487632957778E-3</v>
      </c>
      <c r="F21" s="12"/>
    </row>
    <row r="22" spans="1:6">
      <c r="B22" s="16" t="s">
        <v>197</v>
      </c>
    </row>
    <row r="24" spans="1:6">
      <c r="C24" s="61"/>
    </row>
    <row r="25" spans="1:6">
      <c r="C25" s="7"/>
      <c r="D25" s="54"/>
    </row>
    <row r="26" spans="1:6">
      <c r="C26" s="7"/>
      <c r="D26" s="178"/>
    </row>
    <row r="27" spans="1:6">
      <c r="D27" s="7"/>
    </row>
    <row r="28" spans="1:6">
      <c r="D28" s="54"/>
    </row>
    <row r="29" spans="1:6">
      <c r="D29" s="61"/>
    </row>
  </sheetData>
  <mergeCells count="1">
    <mergeCell ref="B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4"/>
  <sheetViews>
    <sheetView showGridLines="0" zoomScaleNormal="100" workbookViewId="0"/>
  </sheetViews>
  <sheetFormatPr defaultRowHeight="15"/>
  <cols>
    <col min="1" max="1" width="1.7109375" customWidth="1"/>
    <col min="2" max="3" width="25.7109375" customWidth="1"/>
    <col min="4" max="5" width="30.7109375" customWidth="1"/>
  </cols>
  <sheetData>
    <row r="2" spans="1:6">
      <c r="B2" s="32" t="s">
        <v>118</v>
      </c>
      <c r="C2" s="78"/>
      <c r="D2" s="78"/>
      <c r="E2" s="78"/>
    </row>
    <row r="3" spans="1:6" ht="14.45" customHeight="1">
      <c r="B3" s="78"/>
      <c r="C3" s="78"/>
      <c r="D3" s="78"/>
      <c r="E3" s="78"/>
    </row>
    <row r="4" spans="1:6" ht="14.45" customHeight="1">
      <c r="B4" s="589" t="s">
        <v>2</v>
      </c>
      <c r="C4" s="75" t="s">
        <v>115</v>
      </c>
      <c r="D4" s="75" t="s">
        <v>116</v>
      </c>
      <c r="E4" s="74" t="s">
        <v>117</v>
      </c>
    </row>
    <row r="5" spans="1:6" ht="14.25" customHeight="1">
      <c r="B5" s="590"/>
      <c r="C5" s="76" t="s">
        <v>45</v>
      </c>
      <c r="D5" s="76" t="s">
        <v>47</v>
      </c>
      <c r="E5" s="77" t="s">
        <v>119</v>
      </c>
    </row>
    <row r="6" spans="1:6" s="120" customFormat="1" ht="14.45" customHeight="1">
      <c r="A6" s="119"/>
      <c r="B6" s="280">
        <v>2022</v>
      </c>
      <c r="C6" s="281">
        <f>8393+5</f>
        <v>8398</v>
      </c>
      <c r="D6" s="281">
        <v>4871</v>
      </c>
      <c r="E6" s="282">
        <f t="shared" ref="E6:E13" si="0">+C6-D6</f>
        <v>3527</v>
      </c>
    </row>
    <row r="7" spans="1:6" s="120" customFormat="1" ht="14.45" customHeight="1">
      <c r="A7" s="119"/>
      <c r="B7" s="280">
        <v>2021</v>
      </c>
      <c r="C7" s="281">
        <f>7446+5</f>
        <v>7451</v>
      </c>
      <c r="D7" s="281">
        <v>4236</v>
      </c>
      <c r="E7" s="282">
        <f t="shared" si="0"/>
        <v>3215</v>
      </c>
    </row>
    <row r="8" spans="1:6" s="120" customFormat="1" ht="14.45" customHeight="1">
      <c r="A8" s="119"/>
      <c r="B8" s="280">
        <v>2020</v>
      </c>
      <c r="C8" s="281">
        <f>6679+5</f>
        <v>6684</v>
      </c>
      <c r="D8" s="281">
        <v>3940</v>
      </c>
      <c r="E8" s="282">
        <f t="shared" si="0"/>
        <v>2744</v>
      </c>
    </row>
    <row r="9" spans="1:6">
      <c r="A9" s="3"/>
      <c r="B9" s="280">
        <v>2019</v>
      </c>
      <c r="C9" s="281">
        <v>5887</v>
      </c>
      <c r="D9" s="281">
        <v>4052</v>
      </c>
      <c r="E9" s="282">
        <f t="shared" si="0"/>
        <v>1835</v>
      </c>
    </row>
    <row r="10" spans="1:6">
      <c r="A10" s="3"/>
      <c r="B10" s="280">
        <v>2018</v>
      </c>
      <c r="C10" s="281">
        <v>5571</v>
      </c>
      <c r="D10" s="281">
        <v>3630</v>
      </c>
      <c r="E10" s="282">
        <f t="shared" si="0"/>
        <v>1941</v>
      </c>
    </row>
    <row r="11" spans="1:6">
      <c r="A11" s="3"/>
      <c r="B11" s="280">
        <v>2017</v>
      </c>
      <c r="C11" s="281">
        <v>5321</v>
      </c>
      <c r="D11" s="281">
        <v>3277</v>
      </c>
      <c r="E11" s="282">
        <f t="shared" si="0"/>
        <v>2044</v>
      </c>
    </row>
    <row r="12" spans="1:6">
      <c r="A12" s="3"/>
      <c r="B12" s="280">
        <v>2016</v>
      </c>
      <c r="C12" s="281">
        <v>5179</v>
      </c>
      <c r="D12" s="281">
        <v>3228</v>
      </c>
      <c r="E12" s="282">
        <f t="shared" si="0"/>
        <v>1951</v>
      </c>
    </row>
    <row r="13" spans="1:6">
      <c r="A13" s="3"/>
      <c r="B13" s="280">
        <v>2015</v>
      </c>
      <c r="C13" s="281">
        <v>5414</v>
      </c>
      <c r="D13" s="281">
        <v>3428</v>
      </c>
      <c r="E13" s="282">
        <f t="shared" si="0"/>
        <v>1986</v>
      </c>
      <c r="F13" s="3"/>
    </row>
    <row r="14" spans="1:6">
      <c r="B14" s="591" t="s">
        <v>176</v>
      </c>
      <c r="C14" s="591"/>
      <c r="D14" s="591"/>
      <c r="E14" s="591"/>
      <c r="F14" s="3"/>
    </row>
    <row r="15" spans="1:6">
      <c r="A15" s="3"/>
      <c r="B15" s="584">
        <v>2022</v>
      </c>
      <c r="C15" s="582">
        <f>+C6/C7-1</f>
        <v>0.1270970339551738</v>
      </c>
      <c r="D15" s="582">
        <f t="shared" ref="D15:E15" si="1">+D6/D7-1</f>
        <v>0.14990557129367321</v>
      </c>
      <c r="E15" s="583">
        <f t="shared" si="1"/>
        <v>9.7045101088647057E-2</v>
      </c>
      <c r="F15" s="3"/>
    </row>
    <row r="16" spans="1:6">
      <c r="A16" s="3"/>
      <c r="B16" s="584">
        <v>2021</v>
      </c>
      <c r="C16" s="582">
        <f t="shared" ref="C16:E21" si="2">+C7/C8-1</f>
        <v>0.11475164572112506</v>
      </c>
      <c r="D16" s="582">
        <f t="shared" si="2"/>
        <v>7.512690355329954E-2</v>
      </c>
      <c r="E16" s="583">
        <f t="shared" si="2"/>
        <v>0.17164723032069973</v>
      </c>
      <c r="F16" s="3"/>
    </row>
    <row r="17" spans="1:8">
      <c r="A17" s="3"/>
      <c r="B17" s="584">
        <v>2020</v>
      </c>
      <c r="C17" s="582">
        <f t="shared" si="2"/>
        <v>0.13538304739255991</v>
      </c>
      <c r="D17" s="582">
        <f t="shared" si="2"/>
        <v>-2.7640671273445161E-2</v>
      </c>
      <c r="E17" s="583">
        <f t="shared" si="2"/>
        <v>0.49536784741144424</v>
      </c>
      <c r="F17" s="3"/>
    </row>
    <row r="18" spans="1:8">
      <c r="A18" s="3"/>
      <c r="B18" s="584">
        <v>2019</v>
      </c>
      <c r="C18" s="582">
        <f t="shared" si="2"/>
        <v>5.6722311972715822E-2</v>
      </c>
      <c r="D18" s="582">
        <f t="shared" si="2"/>
        <v>0.11625344352617084</v>
      </c>
      <c r="E18" s="583">
        <f t="shared" si="2"/>
        <v>-5.4611025244719169E-2</v>
      </c>
      <c r="F18" s="3"/>
    </row>
    <row r="19" spans="1:8">
      <c r="A19" s="3"/>
      <c r="B19" s="584">
        <v>2018</v>
      </c>
      <c r="C19" s="582">
        <f t="shared" si="2"/>
        <v>4.6983649689907869E-2</v>
      </c>
      <c r="D19" s="582">
        <f t="shared" si="2"/>
        <v>0.10772047604516333</v>
      </c>
      <c r="E19" s="583">
        <f t="shared" si="2"/>
        <v>-5.0391389432485334E-2</v>
      </c>
      <c r="F19" s="3"/>
    </row>
    <row r="20" spans="1:8">
      <c r="A20" s="3"/>
      <c r="B20" s="584">
        <v>2017</v>
      </c>
      <c r="C20" s="582">
        <f t="shared" si="2"/>
        <v>2.7418420544506716E-2</v>
      </c>
      <c r="D20" s="582">
        <f t="shared" si="2"/>
        <v>1.5179677819082915E-2</v>
      </c>
      <c r="E20" s="583">
        <f t="shared" si="2"/>
        <v>4.7667862634546365E-2</v>
      </c>
      <c r="F20" s="3"/>
    </row>
    <row r="21" spans="1:8">
      <c r="A21" s="3"/>
      <c r="B21" s="584">
        <v>2016</v>
      </c>
      <c r="C21" s="582">
        <f t="shared" si="2"/>
        <v>-4.3405984484669369E-2</v>
      </c>
      <c r="D21" s="582">
        <f t="shared" si="2"/>
        <v>-5.8343057176196034E-2</v>
      </c>
      <c r="E21" s="583">
        <f t="shared" si="2"/>
        <v>-1.7623363544813642E-2</v>
      </c>
      <c r="F21" s="3"/>
    </row>
    <row r="22" spans="1:8">
      <c r="B22" s="581" t="s">
        <v>191</v>
      </c>
      <c r="C22" s="3"/>
      <c r="D22" s="3"/>
      <c r="E22" s="3"/>
      <c r="F22" s="3"/>
    </row>
    <row r="23" spans="1:8">
      <c r="B23" s="16" t="s">
        <v>195</v>
      </c>
      <c r="F23" s="3"/>
    </row>
    <row r="24" spans="1:8">
      <c r="F24" s="3"/>
      <c r="H24" s="580"/>
    </row>
  </sheetData>
  <mergeCells count="2">
    <mergeCell ref="B4:B5"/>
    <mergeCell ref="B14:E14"/>
  </mergeCells>
  <conditionalFormatting sqref="C15:E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2"/>
  <sheetViews>
    <sheetView showGridLines="0" workbookViewId="0"/>
  </sheetViews>
  <sheetFormatPr defaultColWidth="8.85546875" defaultRowHeight="14.25"/>
  <cols>
    <col min="1" max="1" width="1.7109375" style="31" customWidth="1"/>
    <col min="2" max="2" width="20.7109375" style="31" customWidth="1"/>
    <col min="3" max="3" width="33.7109375" style="31" customWidth="1"/>
    <col min="4" max="4" width="30.7109375" style="31" customWidth="1"/>
    <col min="5" max="5" width="25.7109375" style="31" customWidth="1"/>
    <col min="6" max="16384" width="8.85546875" style="31"/>
  </cols>
  <sheetData>
    <row r="2" spans="2:7" ht="15">
      <c r="B2" s="57" t="s">
        <v>154</v>
      </c>
      <c r="C2" s="30"/>
      <c r="D2" s="30"/>
      <c r="E2" s="30"/>
    </row>
    <row r="4" spans="2:7">
      <c r="B4" s="589" t="s">
        <v>2</v>
      </c>
      <c r="C4" s="592" t="s">
        <v>162</v>
      </c>
      <c r="D4" s="592" t="s">
        <v>163</v>
      </c>
      <c r="E4" s="620" t="s">
        <v>70</v>
      </c>
    </row>
    <row r="5" spans="2:7">
      <c r="B5" s="589"/>
      <c r="C5" s="639"/>
      <c r="D5" s="592"/>
      <c r="E5" s="640"/>
    </row>
    <row r="6" spans="2:7">
      <c r="B6" s="116">
        <v>2022</v>
      </c>
      <c r="C6" s="189">
        <v>17919.600847000002</v>
      </c>
      <c r="D6" s="190">
        <v>186641.24087970931</v>
      </c>
      <c r="E6" s="433">
        <f t="shared" ref="E6:E13" si="0">+C6/D6</f>
        <v>9.601093928939973E-2</v>
      </c>
    </row>
    <row r="7" spans="2:7">
      <c r="B7" s="139">
        <v>2021</v>
      </c>
      <c r="C7" s="190">
        <v>13116.553394</v>
      </c>
      <c r="D7" s="190">
        <v>157061.07836668525</v>
      </c>
      <c r="E7" s="433">
        <f t="shared" si="0"/>
        <v>8.3512436883804025E-2</v>
      </c>
    </row>
    <row r="8" spans="2:7">
      <c r="B8" s="118">
        <v>2020</v>
      </c>
      <c r="C8" s="190">
        <v>13040.569837999999</v>
      </c>
      <c r="D8" s="190">
        <v>147802.31694614494</v>
      </c>
      <c r="E8" s="433">
        <f t="shared" si="0"/>
        <v>8.8229806591946874E-2</v>
      </c>
    </row>
    <row r="9" spans="2:7">
      <c r="B9" s="115">
        <v>2019</v>
      </c>
      <c r="C9" s="190">
        <v>16732.387052999999</v>
      </c>
      <c r="D9" s="190">
        <v>178323.0257931379</v>
      </c>
      <c r="E9" s="433">
        <f t="shared" si="0"/>
        <v>9.3831892872938694E-2</v>
      </c>
      <c r="G9" s="61"/>
    </row>
    <row r="10" spans="2:7">
      <c r="B10" s="118">
        <v>2018</v>
      </c>
      <c r="C10" s="190">
        <v>16213.059380000001</v>
      </c>
      <c r="D10" s="190">
        <v>145616.68031473571</v>
      </c>
      <c r="E10" s="192">
        <f t="shared" si="0"/>
        <v>0.1113406743304209</v>
      </c>
    </row>
    <row r="11" spans="2:7">
      <c r="B11" s="118">
        <v>2017</v>
      </c>
      <c r="C11" s="190">
        <v>13306.236999999999</v>
      </c>
      <c r="D11" s="190">
        <v>143901.43528580474</v>
      </c>
      <c r="E11" s="192">
        <f t="shared" si="0"/>
        <v>9.2467715652538751E-2</v>
      </c>
    </row>
    <row r="12" spans="2:7">
      <c r="B12" s="118">
        <v>2016</v>
      </c>
      <c r="C12" s="190">
        <v>11985.839663000001</v>
      </c>
      <c r="D12" s="190">
        <v>133414.63439770057</v>
      </c>
      <c r="E12" s="192">
        <f t="shared" si="0"/>
        <v>8.983901741446873E-2</v>
      </c>
    </row>
    <row r="13" spans="2:7">
      <c r="B13" s="118">
        <v>2015</v>
      </c>
      <c r="C13" s="190">
        <v>11293.358166</v>
      </c>
      <c r="D13" s="190">
        <v>133409.79170422463</v>
      </c>
      <c r="E13" s="192">
        <f t="shared" si="0"/>
        <v>8.4651643794166703E-2</v>
      </c>
    </row>
    <row r="14" spans="2:7">
      <c r="B14" s="641" t="s">
        <v>176</v>
      </c>
      <c r="C14" s="642"/>
      <c r="D14" s="642"/>
      <c r="E14" s="642"/>
      <c r="G14" s="61"/>
    </row>
    <row r="15" spans="2:7">
      <c r="B15" s="434">
        <v>2022</v>
      </c>
      <c r="C15" s="432">
        <f t="shared" ref="C15:D17" si="1">+C6/C7-1</f>
        <v>0.36618212946070838</v>
      </c>
      <c r="D15" s="432">
        <f t="shared" si="1"/>
        <v>0.18833540951478911</v>
      </c>
      <c r="E15" s="435">
        <f>+E6-E7</f>
        <v>1.2498502405595704E-2</v>
      </c>
      <c r="G15" s="61"/>
    </row>
    <row r="16" spans="2:7">
      <c r="B16" s="436">
        <v>2021</v>
      </c>
      <c r="C16" s="432">
        <f t="shared" si="1"/>
        <v>5.8267051934024483E-3</v>
      </c>
      <c r="D16" s="432">
        <f t="shared" si="1"/>
        <v>6.2642870638583759E-2</v>
      </c>
      <c r="E16" s="198">
        <f>+E7-E8</f>
        <v>-4.7173697081428489E-3</v>
      </c>
      <c r="G16" s="61"/>
    </row>
    <row r="17" spans="1:7">
      <c r="B17" s="437">
        <v>2020</v>
      </c>
      <c r="C17" s="199">
        <f t="shared" si="1"/>
        <v>-0.22063900406475967</v>
      </c>
      <c r="D17" s="199">
        <f t="shared" si="1"/>
        <v>-0.1711540543418002</v>
      </c>
      <c r="E17" s="198">
        <f>+E8-E9</f>
        <v>-5.6020862809918193E-3</v>
      </c>
      <c r="G17" s="61"/>
    </row>
    <row r="18" spans="1:7">
      <c r="B18" s="434">
        <v>2019</v>
      </c>
      <c r="C18" s="432">
        <f t="shared" ref="C18:D21" si="2">+C9/C10-1</f>
        <v>3.2031442112685271E-2</v>
      </c>
      <c r="D18" s="432">
        <f t="shared" si="2"/>
        <v>0.2246057622499753</v>
      </c>
      <c r="E18" s="198">
        <f>+E9-E10</f>
        <v>-1.7508781457482206E-2</v>
      </c>
    </row>
    <row r="19" spans="1:7">
      <c r="B19" s="118">
        <v>2018</v>
      </c>
      <c r="C19" s="197">
        <f t="shared" si="2"/>
        <v>0.21845562949164377</v>
      </c>
      <c r="D19" s="197">
        <f t="shared" si="2"/>
        <v>1.1919582494255954E-2</v>
      </c>
      <c r="E19" s="200">
        <f>+E10-E11</f>
        <v>1.8872958677882148E-2</v>
      </c>
    </row>
    <row r="20" spans="1:7">
      <c r="A20" s="17"/>
      <c r="B20" s="118">
        <v>2017</v>
      </c>
      <c r="C20" s="197">
        <f t="shared" si="2"/>
        <v>0.11016310697664622</v>
      </c>
      <c r="D20" s="197">
        <f t="shared" si="2"/>
        <v>7.860307780661957E-2</v>
      </c>
      <c r="E20" s="200">
        <v>2E-3</v>
      </c>
      <c r="F20" s="17"/>
    </row>
    <row r="21" spans="1:7">
      <c r="B21" s="118">
        <v>2016</v>
      </c>
      <c r="C21" s="197">
        <f t="shared" si="2"/>
        <v>6.1317589225567959E-2</v>
      </c>
      <c r="D21" s="197">
        <f t="shared" si="2"/>
        <v>3.6299385630433889E-5</v>
      </c>
      <c r="E21" s="200">
        <f>+E12-E13</f>
        <v>5.1873736203020271E-3</v>
      </c>
    </row>
    <row r="22" spans="1:7">
      <c r="B22" s="16" t="s">
        <v>198</v>
      </c>
    </row>
  </sheetData>
  <mergeCells count="5">
    <mergeCell ref="B4:B5"/>
    <mergeCell ref="D4:D5"/>
    <mergeCell ref="C4:C5"/>
    <mergeCell ref="E4:E5"/>
    <mergeCell ref="B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3"/>
  <sheetViews>
    <sheetView showGridLines="0" workbookViewId="0"/>
  </sheetViews>
  <sheetFormatPr defaultRowHeight="15"/>
  <cols>
    <col min="1" max="1" width="1.7109375" style="3" customWidth="1"/>
    <col min="2" max="2" width="20.7109375" customWidth="1"/>
    <col min="3" max="3" width="35.5703125" customWidth="1"/>
    <col min="4" max="4" width="35.42578125" customWidth="1"/>
    <col min="5" max="5" width="35.7109375" customWidth="1"/>
    <col min="6" max="6" width="8.85546875" style="3"/>
    <col min="9" max="9" width="17.28515625" customWidth="1"/>
    <col min="10" max="10" width="19.7109375" customWidth="1"/>
    <col min="11" max="11" width="15.7109375" customWidth="1"/>
    <col min="12" max="12" width="14.28515625" customWidth="1"/>
    <col min="13" max="13" width="19.28515625" customWidth="1"/>
  </cols>
  <sheetData>
    <row r="2" spans="2:5">
      <c r="B2" s="57" t="s">
        <v>155</v>
      </c>
    </row>
    <row r="4" spans="2:5">
      <c r="B4" s="589" t="s">
        <v>2</v>
      </c>
      <c r="C4" s="592" t="s">
        <v>162</v>
      </c>
      <c r="D4" s="592" t="s">
        <v>164</v>
      </c>
      <c r="E4" s="620" t="s">
        <v>70</v>
      </c>
    </row>
    <row r="5" spans="2:5">
      <c r="B5" s="590"/>
      <c r="C5" s="639"/>
      <c r="D5" s="639"/>
      <c r="E5" s="640"/>
    </row>
    <row r="6" spans="2:5">
      <c r="B6" s="118">
        <v>2022</v>
      </c>
      <c r="C6" s="189">
        <v>17919.600847000002</v>
      </c>
      <c r="D6" s="189">
        <v>44206.182975000003</v>
      </c>
      <c r="E6" s="192">
        <f t="shared" ref="E6:E13" si="0">+C6/D6</f>
        <v>0.40536412874945804</v>
      </c>
    </row>
    <row r="7" spans="2:5">
      <c r="B7" s="118">
        <v>2021</v>
      </c>
      <c r="C7" s="190">
        <v>13116.553394</v>
      </c>
      <c r="D7" s="189">
        <v>33710.088369000005</v>
      </c>
      <c r="E7" s="192">
        <f t="shared" si="0"/>
        <v>0.38909875436761121</v>
      </c>
    </row>
    <row r="8" spans="2:5">
      <c r="B8" s="118">
        <v>2020</v>
      </c>
      <c r="C8" s="190">
        <v>13040.569837999999</v>
      </c>
      <c r="D8" s="189">
        <v>32902.403748999997</v>
      </c>
      <c r="E8" s="192">
        <f t="shared" si="0"/>
        <v>0.39634094631752675</v>
      </c>
    </row>
    <row r="9" spans="2:5">
      <c r="B9" s="118">
        <v>2019</v>
      </c>
      <c r="C9" s="190">
        <v>16732.384053000002</v>
      </c>
      <c r="D9" s="189">
        <v>42141.232468000009</v>
      </c>
      <c r="E9" s="192">
        <f t="shared" si="0"/>
        <v>0.39705492870209136</v>
      </c>
    </row>
    <row r="10" spans="2:5">
      <c r="B10" s="118">
        <v>2018</v>
      </c>
      <c r="C10" s="190">
        <v>16213.059380000001</v>
      </c>
      <c r="D10" s="189">
        <v>40522.796752000002</v>
      </c>
      <c r="E10" s="192">
        <f t="shared" si="0"/>
        <v>0.40009724598289986</v>
      </c>
    </row>
    <row r="11" spans="2:5">
      <c r="B11" s="118">
        <v>2017</v>
      </c>
      <c r="C11" s="378">
        <v>13306.236999999999</v>
      </c>
      <c r="D11" s="189">
        <v>35842.192143</v>
      </c>
      <c r="E11" s="192">
        <f t="shared" si="0"/>
        <v>0.37124506634281618</v>
      </c>
    </row>
    <row r="12" spans="2:5">
      <c r="B12" s="118">
        <v>2016</v>
      </c>
      <c r="C12" s="190">
        <v>11985.839663000001</v>
      </c>
      <c r="D12" s="189">
        <v>32274.908449999999</v>
      </c>
      <c r="E12" s="192">
        <f t="shared" si="0"/>
        <v>0.37136711577566073</v>
      </c>
    </row>
    <row r="13" spans="2:5">
      <c r="B13" s="118">
        <v>2015</v>
      </c>
      <c r="C13" s="183">
        <v>11293.358166</v>
      </c>
      <c r="D13" s="189">
        <v>30516.447098000001</v>
      </c>
      <c r="E13" s="192">
        <f t="shared" si="0"/>
        <v>0.37007447589598819</v>
      </c>
    </row>
    <row r="14" spans="2:5">
      <c r="B14" s="641" t="s">
        <v>176</v>
      </c>
      <c r="C14" s="642"/>
      <c r="D14" s="642"/>
      <c r="E14" s="642"/>
    </row>
    <row r="15" spans="2:5">
      <c r="B15" s="139">
        <v>2022</v>
      </c>
      <c r="C15" s="438">
        <f t="shared" ref="C15:D17" si="1">+C6/C7-1</f>
        <v>0.36618212946070838</v>
      </c>
      <c r="D15" s="197">
        <f t="shared" si="1"/>
        <v>0.31136360400799989</v>
      </c>
      <c r="E15" s="439">
        <f>+E6-E7</f>
        <v>1.6265374381846831E-2</v>
      </c>
    </row>
    <row r="16" spans="2:5">
      <c r="B16" s="118">
        <v>2021</v>
      </c>
      <c r="C16" s="438">
        <f t="shared" si="1"/>
        <v>5.8267051934024483E-3</v>
      </c>
      <c r="D16" s="197">
        <f t="shared" si="1"/>
        <v>2.4547890973605657E-2</v>
      </c>
      <c r="E16" s="440">
        <f>+E7-E8</f>
        <v>-7.242191949915544E-3</v>
      </c>
    </row>
    <row r="17" spans="2:5">
      <c r="B17" s="116">
        <v>2020</v>
      </c>
      <c r="C17" s="441">
        <f t="shared" si="1"/>
        <v>-0.22063886433075774</v>
      </c>
      <c r="D17" s="199">
        <f t="shared" si="1"/>
        <v>-0.21923489603716562</v>
      </c>
      <c r="E17" s="440">
        <f>+E8-E9</f>
        <v>-7.1398238456460428E-4</v>
      </c>
    </row>
    <row r="18" spans="2:5">
      <c r="B18" s="116">
        <v>2019</v>
      </c>
      <c r="C18" s="442">
        <f t="shared" ref="C18:D21" si="2">+C9/C10-1</f>
        <v>3.2031257076664099E-2</v>
      </c>
      <c r="D18" s="197">
        <f t="shared" si="2"/>
        <v>3.9938894788157153E-2</v>
      </c>
      <c r="E18" s="198">
        <f>+E9-E10</f>
        <v>-3.0423172808085042E-3</v>
      </c>
    </row>
    <row r="19" spans="2:5">
      <c r="B19" s="118">
        <v>2018</v>
      </c>
      <c r="C19" s="197">
        <f t="shared" si="2"/>
        <v>0.21845562949164377</v>
      </c>
      <c r="D19" s="197">
        <f t="shared" si="2"/>
        <v>0.13058923936141342</v>
      </c>
      <c r="E19" s="200">
        <f>+E10-E11</f>
        <v>2.8852179640083686E-2</v>
      </c>
    </row>
    <row r="20" spans="2:5">
      <c r="B20" s="118">
        <v>2017</v>
      </c>
      <c r="C20" s="197">
        <f t="shared" si="2"/>
        <v>0.11016310697664622</v>
      </c>
      <c r="D20" s="197">
        <f t="shared" si="2"/>
        <v>0.11052808092473465</v>
      </c>
      <c r="E20" s="200">
        <v>2E-3</v>
      </c>
    </row>
    <row r="21" spans="2:5">
      <c r="B21" s="118">
        <v>2016</v>
      </c>
      <c r="C21" s="197">
        <f t="shared" si="2"/>
        <v>6.1317589225567959E-2</v>
      </c>
      <c r="D21" s="197">
        <f t="shared" si="2"/>
        <v>5.7623397191452375E-2</v>
      </c>
      <c r="E21" s="200">
        <f>+E12-E13</f>
        <v>1.2926398796725413E-3</v>
      </c>
    </row>
    <row r="22" spans="2:5">
      <c r="B22" s="16" t="s">
        <v>199</v>
      </c>
    </row>
    <row r="23" spans="2:5">
      <c r="D23" s="496"/>
    </row>
  </sheetData>
  <mergeCells count="5">
    <mergeCell ref="B4:B5"/>
    <mergeCell ref="D4:D5"/>
    <mergeCell ref="C4:C5"/>
    <mergeCell ref="E4:E5"/>
    <mergeCell ref="B14:E1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2"/>
  <sheetViews>
    <sheetView showGridLines="0" workbookViewId="0"/>
  </sheetViews>
  <sheetFormatPr defaultColWidth="8.85546875" defaultRowHeight="14.25"/>
  <cols>
    <col min="1" max="1" width="1.7109375" style="17" customWidth="1"/>
    <col min="2" max="2" width="20.7109375" style="31" customWidth="1"/>
    <col min="3" max="3" width="38.7109375" style="31" customWidth="1"/>
    <col min="4" max="4" width="35.7109375" style="31" customWidth="1"/>
    <col min="5" max="5" width="30.7109375" style="31" customWidth="1"/>
    <col min="6" max="6" width="8.85546875" style="17"/>
    <col min="7" max="16384" width="8.85546875" style="31"/>
  </cols>
  <sheetData>
    <row r="2" spans="2:6" ht="15">
      <c r="B2" s="57" t="s">
        <v>156</v>
      </c>
      <c r="C2" s="57"/>
      <c r="D2" s="30"/>
      <c r="E2" s="30"/>
      <c r="F2" s="58"/>
    </row>
    <row r="4" spans="2:6">
      <c r="B4" s="589" t="s">
        <v>2</v>
      </c>
      <c r="C4" s="592" t="s">
        <v>165</v>
      </c>
      <c r="D4" s="592" t="s">
        <v>166</v>
      </c>
      <c r="E4" s="620" t="s">
        <v>70</v>
      </c>
    </row>
    <row r="5" spans="2:6">
      <c r="B5" s="590"/>
      <c r="C5" s="639"/>
      <c r="D5" s="639"/>
      <c r="E5" s="640"/>
    </row>
    <row r="6" spans="2:6">
      <c r="B6" s="118">
        <v>2022</v>
      </c>
      <c r="C6" s="189">
        <v>286.67966000000001</v>
      </c>
      <c r="D6" s="189">
        <v>17919.600847000002</v>
      </c>
      <c r="E6" s="192">
        <f t="shared" ref="E6:E13" si="0">+C6/D6</f>
        <v>1.5998105228331262E-2</v>
      </c>
    </row>
    <row r="7" spans="2:6">
      <c r="B7" s="118">
        <v>2021</v>
      </c>
      <c r="C7" s="189">
        <v>332.6</v>
      </c>
      <c r="D7" s="189">
        <v>13116.553394</v>
      </c>
      <c r="E7" s="192">
        <f t="shared" si="0"/>
        <v>2.5357271076420398E-2</v>
      </c>
    </row>
    <row r="8" spans="2:6">
      <c r="B8" s="118">
        <v>2020</v>
      </c>
      <c r="C8" s="190">
        <v>453.2</v>
      </c>
      <c r="D8" s="190">
        <v>13040.569837999999</v>
      </c>
      <c r="E8" s="192">
        <f t="shared" si="0"/>
        <v>3.475308254393783E-2</v>
      </c>
    </row>
    <row r="9" spans="2:6">
      <c r="B9" s="118">
        <v>2019</v>
      </c>
      <c r="C9" s="190">
        <v>1679.033019</v>
      </c>
      <c r="D9" s="190">
        <v>16732.387052999999</v>
      </c>
      <c r="E9" s="192">
        <f t="shared" si="0"/>
        <v>0.10034629331019218</v>
      </c>
    </row>
    <row r="10" spans="2:6">
      <c r="B10" s="118">
        <v>2018</v>
      </c>
      <c r="C10" s="190">
        <v>1073.94532</v>
      </c>
      <c r="D10" s="378">
        <v>16213.059380000001</v>
      </c>
      <c r="E10" s="192">
        <f t="shared" si="0"/>
        <v>6.6239523018387911E-2</v>
      </c>
    </row>
    <row r="11" spans="2:6">
      <c r="B11" s="118">
        <v>2017</v>
      </c>
      <c r="C11" s="190">
        <v>660.66269899999998</v>
      </c>
      <c r="D11" s="190">
        <v>13306.236999999999</v>
      </c>
      <c r="E11" s="192">
        <f t="shared" si="0"/>
        <v>4.9650603622947646E-2</v>
      </c>
    </row>
    <row r="12" spans="2:6">
      <c r="B12" s="118">
        <v>2016</v>
      </c>
      <c r="C12" s="190">
        <v>968.93436299999996</v>
      </c>
      <c r="D12" s="378">
        <v>11985.839663000001</v>
      </c>
      <c r="E12" s="192">
        <f t="shared" si="0"/>
        <v>8.0839923630138075E-2</v>
      </c>
    </row>
    <row r="13" spans="2:6">
      <c r="B13" s="118">
        <v>2015</v>
      </c>
      <c r="C13" s="190">
        <v>469.08073400000001</v>
      </c>
      <c r="D13" s="190">
        <v>11293.358166</v>
      </c>
      <c r="E13" s="192">
        <f t="shared" si="0"/>
        <v>4.1535983106621328E-2</v>
      </c>
    </row>
    <row r="14" spans="2:6">
      <c r="B14" s="641" t="s">
        <v>176</v>
      </c>
      <c r="C14" s="642"/>
      <c r="D14" s="642"/>
      <c r="E14" s="642"/>
    </row>
    <row r="15" spans="2:6">
      <c r="B15" s="118">
        <v>2022</v>
      </c>
      <c r="C15" s="199">
        <f t="shared" ref="C15:D16" si="1">+C6/C7-1</f>
        <v>-0.13806476247745036</v>
      </c>
      <c r="D15" s="197">
        <f t="shared" si="1"/>
        <v>0.36618212946070838</v>
      </c>
      <c r="E15" s="198">
        <f t="shared" ref="E15:E17" si="2">+E6-E7</f>
        <v>-9.3591658480891363E-3</v>
      </c>
    </row>
    <row r="16" spans="2:6">
      <c r="B16" s="118">
        <v>2021</v>
      </c>
      <c r="C16" s="199">
        <f t="shared" si="1"/>
        <v>-0.26610767872903784</v>
      </c>
      <c r="D16" s="197">
        <f t="shared" si="1"/>
        <v>5.8267051934024483E-3</v>
      </c>
      <c r="E16" s="198">
        <f t="shared" si="2"/>
        <v>-9.3958114675174315E-3</v>
      </c>
    </row>
    <row r="17" spans="2:5">
      <c r="B17" s="118">
        <v>2020</v>
      </c>
      <c r="C17" s="199">
        <f t="shared" ref="C17:D17" si="3">+C8/C9-1</f>
        <v>-0.73008273519843148</v>
      </c>
      <c r="D17" s="199">
        <f t="shared" si="3"/>
        <v>-0.22063900406475967</v>
      </c>
      <c r="E17" s="198">
        <f t="shared" si="2"/>
        <v>-6.5593210766254351E-2</v>
      </c>
    </row>
    <row r="18" spans="2:5">
      <c r="B18" s="118">
        <v>2019</v>
      </c>
      <c r="C18" s="197">
        <f t="shared" ref="C18:D21" si="4">+C9/C10-1</f>
        <v>0.56342505314888824</v>
      </c>
      <c r="D18" s="197">
        <f t="shared" si="4"/>
        <v>3.2031442112685271E-2</v>
      </c>
      <c r="E18" s="200">
        <f>+E9-E10</f>
        <v>3.410677029180427E-2</v>
      </c>
    </row>
    <row r="19" spans="2:5">
      <c r="B19" s="118">
        <v>2018</v>
      </c>
      <c r="C19" s="197">
        <f t="shared" si="4"/>
        <v>0.62555767356861192</v>
      </c>
      <c r="D19" s="197">
        <f t="shared" si="4"/>
        <v>0.21845562949164377</v>
      </c>
      <c r="E19" s="200">
        <f>+E10-E11</f>
        <v>1.6588919395440264E-2</v>
      </c>
    </row>
    <row r="20" spans="2:5">
      <c r="B20" s="118">
        <v>2017</v>
      </c>
      <c r="C20" s="199">
        <f t="shared" si="4"/>
        <v>-0.31815536301709224</v>
      </c>
      <c r="D20" s="197">
        <f t="shared" si="4"/>
        <v>0.11016310697664622</v>
      </c>
      <c r="E20" s="200">
        <v>2E-3</v>
      </c>
    </row>
    <row r="21" spans="2:5">
      <c r="B21" s="118">
        <v>2016</v>
      </c>
      <c r="C21" s="197">
        <f t="shared" si="4"/>
        <v>1.0656025557425686</v>
      </c>
      <c r="D21" s="197">
        <f t="shared" si="4"/>
        <v>6.1317589225567959E-2</v>
      </c>
      <c r="E21" s="200">
        <f>+E12-E13</f>
        <v>3.9303940523516746E-2</v>
      </c>
    </row>
    <row r="22" spans="2:5">
      <c r="B22" s="16" t="s">
        <v>200</v>
      </c>
    </row>
  </sheetData>
  <mergeCells count="5">
    <mergeCell ref="B4:B5"/>
    <mergeCell ref="C4:C5"/>
    <mergeCell ref="D4:D5"/>
    <mergeCell ref="E4:E5"/>
    <mergeCell ref="B14:E1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2"/>
  <sheetViews>
    <sheetView showGridLines="0" workbookViewId="0"/>
  </sheetViews>
  <sheetFormatPr defaultColWidth="8.85546875" defaultRowHeight="14.25"/>
  <cols>
    <col min="1" max="1" width="1.7109375" style="17" customWidth="1"/>
    <col min="2" max="2" width="25.7109375" style="31" customWidth="1"/>
    <col min="3" max="3" width="38.28515625" style="31" customWidth="1"/>
    <col min="4" max="4" width="30.7109375" style="31" customWidth="1"/>
    <col min="5" max="5" width="30.7109375" style="17" customWidth="1"/>
    <col min="6" max="6" width="8.85546875" style="31"/>
    <col min="7" max="7" width="12.28515625" style="31" bestFit="1" customWidth="1"/>
    <col min="8" max="8" width="16.28515625" style="31" customWidth="1"/>
    <col min="9" max="9" width="18.28515625" style="31" customWidth="1"/>
    <col min="10" max="10" width="16.140625" style="31" customWidth="1"/>
    <col min="11" max="11" width="19" style="31" customWidth="1"/>
    <col min="12" max="12" width="17.140625" style="31" customWidth="1"/>
    <col min="13" max="13" width="15.28515625" style="31" customWidth="1"/>
    <col min="14" max="14" width="10.7109375" style="31" bestFit="1" customWidth="1"/>
    <col min="15" max="15" width="14.28515625" style="31" customWidth="1"/>
    <col min="16" max="16" width="9.85546875" style="31" bestFit="1" customWidth="1"/>
    <col min="17" max="16384" width="8.85546875" style="31"/>
  </cols>
  <sheetData>
    <row r="2" spans="2:6" ht="15">
      <c r="B2" s="32" t="s">
        <v>202</v>
      </c>
    </row>
    <row r="4" spans="2:6">
      <c r="B4" s="589" t="s">
        <v>2</v>
      </c>
      <c r="C4" s="592" t="s">
        <v>167</v>
      </c>
      <c r="D4" s="592" t="s">
        <v>168</v>
      </c>
      <c r="E4" s="620" t="s">
        <v>70</v>
      </c>
    </row>
    <row r="5" spans="2:6">
      <c r="B5" s="590"/>
      <c r="C5" s="639"/>
      <c r="D5" s="639"/>
      <c r="E5" s="640"/>
    </row>
    <row r="6" spans="2:6">
      <c r="B6" s="118">
        <v>2022</v>
      </c>
      <c r="C6" s="443">
        <v>6253.227648000001</v>
      </c>
      <c r="D6" s="189">
        <v>241509.27417368282</v>
      </c>
      <c r="E6" s="389">
        <f t="shared" ref="E6:E13" si="0">+C6/D6</f>
        <v>2.5892287860974462E-2</v>
      </c>
    </row>
    <row r="7" spans="2:6">
      <c r="B7" s="118">
        <v>2021</v>
      </c>
      <c r="C7" s="443">
        <v>10120.505028</v>
      </c>
      <c r="D7" s="190">
        <v>192401.97127189828</v>
      </c>
      <c r="E7" s="389">
        <f t="shared" si="0"/>
        <v>5.2600838552209643E-2</v>
      </c>
    </row>
    <row r="8" spans="2:6">
      <c r="B8" s="118">
        <v>2020</v>
      </c>
      <c r="C8" s="443">
        <v>9697.8594320000011</v>
      </c>
      <c r="D8" s="190">
        <v>176320</v>
      </c>
      <c r="E8" s="389">
        <f t="shared" si="0"/>
        <v>5.5001471370235942E-2</v>
      </c>
    </row>
    <row r="9" spans="2:6">
      <c r="B9" s="118">
        <v>2019</v>
      </c>
      <c r="C9" s="443">
        <v>8520.831814000001</v>
      </c>
      <c r="D9" s="190">
        <v>221829</v>
      </c>
      <c r="E9" s="389">
        <f t="shared" si="0"/>
        <v>3.8411712688602488E-2</v>
      </c>
    </row>
    <row r="10" spans="2:6">
      <c r="B10" s="118">
        <v>2018</v>
      </c>
      <c r="C10" s="443">
        <v>8958</v>
      </c>
      <c r="D10" s="443">
        <v>185560.65388299999</v>
      </c>
      <c r="E10" s="389">
        <f t="shared" si="0"/>
        <v>4.8275320293105953E-2</v>
      </c>
    </row>
    <row r="11" spans="2:6">
      <c r="B11" s="118">
        <v>2017</v>
      </c>
      <c r="C11" s="443">
        <v>8400</v>
      </c>
      <c r="D11" s="443">
        <v>173382.92259</v>
      </c>
      <c r="E11" s="389">
        <f t="shared" si="0"/>
        <v>4.8447677974973048E-2</v>
      </c>
    </row>
    <row r="12" spans="2:6">
      <c r="B12" s="118">
        <v>2016</v>
      </c>
      <c r="C12" s="443">
        <v>8075</v>
      </c>
      <c r="D12" s="443">
        <v>165782.17634800001</v>
      </c>
      <c r="E12" s="389">
        <f t="shared" si="0"/>
        <v>4.8708493143734849E-2</v>
      </c>
    </row>
    <row r="13" spans="2:6">
      <c r="B13" s="427">
        <v>2015</v>
      </c>
      <c r="C13" s="376">
        <v>8346</v>
      </c>
      <c r="D13" s="376">
        <v>158699.11425399999</v>
      </c>
      <c r="E13" s="389">
        <f t="shared" si="0"/>
        <v>5.2590085579445132E-2</v>
      </c>
      <c r="F13" s="61"/>
    </row>
    <row r="14" spans="2:6">
      <c r="B14" s="643" t="s">
        <v>176</v>
      </c>
      <c r="C14" s="644"/>
      <c r="D14" s="644"/>
      <c r="E14" s="645"/>
    </row>
    <row r="15" spans="2:6">
      <c r="B15" s="118">
        <v>2022</v>
      </c>
      <c r="C15" s="199">
        <f t="shared" ref="C15" si="1">+C6/C7-1</f>
        <v>-0.38212296415055924</v>
      </c>
      <c r="D15" s="197">
        <f>+D6/D7-1</f>
        <v>0.25523284702934346</v>
      </c>
      <c r="E15" s="444">
        <v>-1E-3</v>
      </c>
    </row>
    <row r="16" spans="2:6">
      <c r="B16" s="118">
        <v>2021</v>
      </c>
      <c r="C16" s="197">
        <f t="shared" ref="C16" si="2">+C7/C8-1</f>
        <v>4.3581328329568958E-2</v>
      </c>
      <c r="D16" s="197">
        <f>+D7/D8-1</f>
        <v>9.120900222265349E-2</v>
      </c>
      <c r="E16" s="444">
        <v>-1E-3</v>
      </c>
    </row>
    <row r="17" spans="2:6">
      <c r="B17" s="118">
        <v>2020</v>
      </c>
      <c r="C17" s="197">
        <f t="shared" ref="C17" si="3">+C8/C9-1</f>
        <v>0.1381352952027648</v>
      </c>
      <c r="D17" s="199">
        <f>+D8/D9-1</f>
        <v>-0.20515351915213975</v>
      </c>
      <c r="E17" s="444">
        <v>-1E-3</v>
      </c>
    </row>
    <row r="18" spans="2:6">
      <c r="B18" s="118">
        <v>2019</v>
      </c>
      <c r="C18" s="199">
        <f t="shared" ref="C18" si="4">+C9/C10-1</f>
        <v>-4.8801985487831989E-2</v>
      </c>
      <c r="D18" s="197">
        <f t="shared" ref="C18:D21" si="5">+D9/D10-1</f>
        <v>0.1954527824625365</v>
      </c>
      <c r="E18" s="444">
        <v>-1E-3</v>
      </c>
      <c r="F18" s="61"/>
    </row>
    <row r="19" spans="2:6">
      <c r="B19" s="118">
        <v>2018</v>
      </c>
      <c r="C19" s="197">
        <f t="shared" si="5"/>
        <v>6.6428571428571503E-2</v>
      </c>
      <c r="D19" s="197">
        <f t="shared" si="5"/>
        <v>7.0236048112978011E-2</v>
      </c>
      <c r="E19" s="200">
        <f>+E10-E11</f>
        <v>-1.7235768186709549E-4</v>
      </c>
      <c r="F19" s="61"/>
    </row>
    <row r="20" spans="2:6">
      <c r="B20" s="118">
        <v>2017</v>
      </c>
      <c r="C20" s="197">
        <f t="shared" si="5"/>
        <v>4.0247678018575872E-2</v>
      </c>
      <c r="D20" s="197">
        <f t="shared" si="5"/>
        <v>4.5847789005043271E-2</v>
      </c>
      <c r="E20" s="198">
        <v>-1E-3</v>
      </c>
      <c r="F20" s="61"/>
    </row>
    <row r="21" spans="2:6">
      <c r="B21" s="118">
        <v>2016</v>
      </c>
      <c r="C21" s="199">
        <f t="shared" si="5"/>
        <v>-3.2470644620177347E-2</v>
      </c>
      <c r="D21" s="197">
        <f t="shared" si="5"/>
        <v>4.4632020331654143E-2</v>
      </c>
      <c r="E21" s="198">
        <f>+E12-E13</f>
        <v>-3.8815924357102835E-3</v>
      </c>
      <c r="F21" s="61"/>
    </row>
    <row r="22" spans="2:6">
      <c r="B22" s="16" t="s">
        <v>182</v>
      </c>
      <c r="E22" s="31"/>
    </row>
  </sheetData>
  <mergeCells count="5">
    <mergeCell ref="B4:B5"/>
    <mergeCell ref="C4:C5"/>
    <mergeCell ref="D4:D5"/>
    <mergeCell ref="E4:E5"/>
    <mergeCell ref="B14:E1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22"/>
  <sheetViews>
    <sheetView showGridLines="0" workbookViewId="0"/>
  </sheetViews>
  <sheetFormatPr defaultColWidth="8.85546875" defaultRowHeight="14.25"/>
  <cols>
    <col min="1" max="1" width="1.7109375" style="31" customWidth="1"/>
    <col min="2" max="2" width="20.7109375" style="31" customWidth="1"/>
    <col min="3" max="3" width="36.7109375" style="31" customWidth="1"/>
    <col min="4" max="4" width="36.28515625" style="31" customWidth="1"/>
    <col min="5" max="5" width="30.7109375" style="31" customWidth="1"/>
    <col min="6" max="16384" width="8.85546875" style="31"/>
  </cols>
  <sheetData>
    <row r="2" spans="2:7" ht="15">
      <c r="B2" s="32" t="s">
        <v>203</v>
      </c>
    </row>
    <row r="4" spans="2:7">
      <c r="B4" s="589" t="s">
        <v>2</v>
      </c>
      <c r="C4" s="597" t="s">
        <v>167</v>
      </c>
      <c r="D4" s="592" t="s">
        <v>166</v>
      </c>
      <c r="E4" s="620" t="s">
        <v>70</v>
      </c>
    </row>
    <row r="5" spans="2:7">
      <c r="B5" s="590"/>
      <c r="C5" s="646"/>
      <c r="D5" s="639"/>
      <c r="E5" s="640"/>
    </row>
    <row r="6" spans="2:7">
      <c r="B6" s="118">
        <v>2022</v>
      </c>
      <c r="C6" s="443">
        <v>6253.227648000001</v>
      </c>
      <c r="D6" s="189">
        <v>17919.600847000002</v>
      </c>
      <c r="E6" s="433">
        <f t="shared" ref="E6:E13" si="0">+C6/D6</f>
        <v>0.34896020851083193</v>
      </c>
    </row>
    <row r="7" spans="2:7">
      <c r="B7" s="118">
        <v>2021</v>
      </c>
      <c r="C7" s="443">
        <v>10120.505028</v>
      </c>
      <c r="D7" s="190">
        <v>13116.553394</v>
      </c>
      <c r="E7" s="433">
        <f t="shared" si="0"/>
        <v>0.7715826501060481</v>
      </c>
    </row>
    <row r="8" spans="2:7">
      <c r="B8" s="118">
        <v>2020</v>
      </c>
      <c r="C8" s="443">
        <v>9697.8594320000011</v>
      </c>
      <c r="D8" s="190">
        <v>13040.569837999999</v>
      </c>
      <c r="E8" s="433">
        <f t="shared" si="0"/>
        <v>0.74366837894925442</v>
      </c>
    </row>
    <row r="9" spans="2:7">
      <c r="B9" s="118">
        <v>2019</v>
      </c>
      <c r="C9" s="443">
        <v>8520.831814000001</v>
      </c>
      <c r="D9" s="190">
        <v>16732.387052999999</v>
      </c>
      <c r="E9" s="433">
        <f t="shared" si="0"/>
        <v>0.50924185455489301</v>
      </c>
      <c r="F9" s="7"/>
    </row>
    <row r="10" spans="2:7">
      <c r="B10" s="118">
        <v>2018</v>
      </c>
      <c r="C10" s="443">
        <v>11890.14632941522</v>
      </c>
      <c r="D10" s="443">
        <v>16213.059380000001</v>
      </c>
      <c r="E10" s="433">
        <f t="shared" si="0"/>
        <v>0.73336845630027048</v>
      </c>
      <c r="F10" s="7"/>
    </row>
    <row r="11" spans="2:7">
      <c r="B11" s="118">
        <v>2017</v>
      </c>
      <c r="C11" s="443">
        <v>11475.983247628259</v>
      </c>
      <c r="D11" s="443">
        <v>13306.236999999999</v>
      </c>
      <c r="E11" s="433">
        <f t="shared" si="0"/>
        <v>0.86245143894763487</v>
      </c>
      <c r="F11" s="7"/>
    </row>
    <row r="12" spans="2:7">
      <c r="B12" s="118">
        <v>2016</v>
      </c>
      <c r="C12" s="443">
        <v>10375.821789563041</v>
      </c>
      <c r="D12" s="443">
        <v>11985.839663000001</v>
      </c>
      <c r="E12" s="433">
        <f t="shared" si="0"/>
        <v>0.86567333464279128</v>
      </c>
      <c r="F12" s="7"/>
    </row>
    <row r="13" spans="2:7">
      <c r="B13" s="118">
        <v>2015</v>
      </c>
      <c r="C13" s="443">
        <v>10109.983562213039</v>
      </c>
      <c r="D13" s="443">
        <v>11293.358166</v>
      </c>
      <c r="E13" s="382">
        <f t="shared" si="0"/>
        <v>0.89521499394664994</v>
      </c>
      <c r="F13" s="61"/>
      <c r="G13" s="7"/>
    </row>
    <row r="14" spans="2:7">
      <c r="B14" s="641" t="s">
        <v>176</v>
      </c>
      <c r="C14" s="642"/>
      <c r="D14" s="642"/>
      <c r="E14" s="642"/>
    </row>
    <row r="15" spans="2:7">
      <c r="B15" s="139">
        <v>2022</v>
      </c>
      <c r="C15" s="199">
        <f t="shared" ref="C15:D17" si="1">+C6/C7-1</f>
        <v>-0.38212296415055924</v>
      </c>
      <c r="D15" s="442">
        <f t="shared" si="1"/>
        <v>0.36618212946070838</v>
      </c>
      <c r="E15" s="198">
        <f>+E6-E7</f>
        <v>-0.42262244159521617</v>
      </c>
    </row>
    <row r="16" spans="2:7">
      <c r="B16" s="118">
        <v>2021</v>
      </c>
      <c r="C16" s="197">
        <f t="shared" si="1"/>
        <v>4.3581328329568958E-2</v>
      </c>
      <c r="D16" s="442">
        <f t="shared" si="1"/>
        <v>5.8267051934024483E-3</v>
      </c>
      <c r="E16" s="200">
        <f>+E7-E8</f>
        <v>2.791427115679368E-2</v>
      </c>
    </row>
    <row r="17" spans="2:5">
      <c r="B17" s="118">
        <v>2020</v>
      </c>
      <c r="C17" s="197">
        <f t="shared" si="1"/>
        <v>0.1381352952027648</v>
      </c>
      <c r="D17" s="445">
        <f t="shared" si="1"/>
        <v>-0.22063900406475967</v>
      </c>
      <c r="E17" s="200">
        <f>+E8-E9</f>
        <v>0.2344265243943614</v>
      </c>
    </row>
    <row r="18" spans="2:5">
      <c r="B18" s="118">
        <v>2019</v>
      </c>
      <c r="C18" s="199">
        <f t="shared" ref="C18:D21" si="2">+C9/C10-1</f>
        <v>-0.28337031539131008</v>
      </c>
      <c r="D18" s="442">
        <f t="shared" si="2"/>
        <v>3.2031442112685271E-2</v>
      </c>
      <c r="E18" s="198">
        <f>+E9-E10</f>
        <v>-0.22412660174537746</v>
      </c>
    </row>
    <row r="19" spans="2:5">
      <c r="B19" s="118">
        <v>2018</v>
      </c>
      <c r="C19" s="197">
        <f t="shared" si="2"/>
        <v>3.6089550921273528E-2</v>
      </c>
      <c r="D19" s="197">
        <f t="shared" si="2"/>
        <v>0.21845562949164377</v>
      </c>
      <c r="E19" s="198">
        <f>+E10-E11</f>
        <v>-0.1290829826473644</v>
      </c>
    </row>
    <row r="20" spans="2:5">
      <c r="B20" s="118">
        <v>2017</v>
      </c>
      <c r="C20" s="197">
        <f t="shared" si="2"/>
        <v>0.10603126001757879</v>
      </c>
      <c r="D20" s="197">
        <f t="shared" si="2"/>
        <v>0.11016310697664622</v>
      </c>
      <c r="E20" s="200">
        <v>3.0000000000000001E-3</v>
      </c>
    </row>
    <row r="21" spans="2:5">
      <c r="B21" s="118">
        <v>2016</v>
      </c>
      <c r="C21" s="197">
        <f t="shared" si="2"/>
        <v>2.6294625081646483E-2</v>
      </c>
      <c r="D21" s="197">
        <f t="shared" si="2"/>
        <v>6.1317589225567959E-2</v>
      </c>
      <c r="E21" s="198">
        <f>+E12-E13</f>
        <v>-2.9541659303858658E-2</v>
      </c>
    </row>
    <row r="22" spans="2:5">
      <c r="B22" s="16" t="s">
        <v>183</v>
      </c>
    </row>
  </sheetData>
  <mergeCells count="5">
    <mergeCell ref="B14:E14"/>
    <mergeCell ref="C4:C5"/>
    <mergeCell ref="B4:B5"/>
    <mergeCell ref="E4:E5"/>
    <mergeCell ref="D4:D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22"/>
  <sheetViews>
    <sheetView showGridLines="0" workbookViewId="0"/>
  </sheetViews>
  <sheetFormatPr defaultColWidth="8.85546875" defaultRowHeight="14.25"/>
  <cols>
    <col min="1" max="1" width="1.7109375" style="31" customWidth="1"/>
    <col min="2" max="3" width="40.7109375" style="31" customWidth="1"/>
    <col min="4" max="4" width="8.85546875" style="17"/>
    <col min="5" max="16384" width="8.85546875" style="31"/>
  </cols>
  <sheetData>
    <row r="2" spans="2:6" ht="15">
      <c r="B2" s="57" t="s">
        <v>204</v>
      </c>
    </row>
    <row r="3" spans="2:6" ht="15">
      <c r="B3" s="37"/>
    </row>
    <row r="4" spans="2:6" ht="14.25" customHeight="1">
      <c r="B4" s="589" t="s">
        <v>2</v>
      </c>
      <c r="C4" s="620" t="s">
        <v>107</v>
      </c>
    </row>
    <row r="5" spans="2:6" ht="14.25" customHeight="1">
      <c r="B5" s="589"/>
      <c r="C5" s="620"/>
    </row>
    <row r="6" spans="2:6">
      <c r="B6" s="446">
        <v>2022</v>
      </c>
      <c r="C6" s="447">
        <v>8.8999999999999996E-2</v>
      </c>
    </row>
    <row r="7" spans="2:6">
      <c r="B7" s="448">
        <v>2021</v>
      </c>
      <c r="C7" s="447">
        <v>9.6485471485609473E-2</v>
      </c>
    </row>
    <row r="8" spans="2:6" s="121" customFormat="1">
      <c r="B8" s="448">
        <v>2020</v>
      </c>
      <c r="C8" s="447">
        <v>9.3292846683571851E-2</v>
      </c>
      <c r="D8" s="55"/>
    </row>
    <row r="9" spans="2:6">
      <c r="B9" s="449">
        <v>2019</v>
      </c>
      <c r="C9" s="447">
        <v>0.1</v>
      </c>
    </row>
    <row r="10" spans="2:6">
      <c r="B10" s="450">
        <v>2018</v>
      </c>
      <c r="C10" s="451">
        <v>0.1021</v>
      </c>
    </row>
    <row r="11" spans="2:6">
      <c r="B11" s="452">
        <v>2017</v>
      </c>
      <c r="C11" s="451">
        <v>0.104</v>
      </c>
    </row>
    <row r="12" spans="2:6">
      <c r="B12" s="452">
        <v>2016</v>
      </c>
      <c r="C12" s="451">
        <v>0.10299999999999999</v>
      </c>
    </row>
    <row r="13" spans="2:6">
      <c r="B13" s="453">
        <v>2015</v>
      </c>
      <c r="C13" s="454">
        <v>0.10199999999999999</v>
      </c>
      <c r="F13" s="61"/>
    </row>
    <row r="14" spans="2:6">
      <c r="B14" s="647" t="s">
        <v>176</v>
      </c>
      <c r="C14" s="648"/>
    </row>
    <row r="15" spans="2:6">
      <c r="B15" s="455">
        <v>2022</v>
      </c>
      <c r="C15" s="456">
        <v>-0.2</v>
      </c>
    </row>
    <row r="16" spans="2:6">
      <c r="B16" s="457">
        <v>2021</v>
      </c>
      <c r="C16" s="456">
        <v>-0.2</v>
      </c>
    </row>
    <row r="17" spans="2:4" s="121" customFormat="1">
      <c r="B17" s="458">
        <v>2020</v>
      </c>
      <c r="C17" s="456">
        <v>-0.2</v>
      </c>
      <c r="D17" s="55"/>
    </row>
    <row r="18" spans="2:4">
      <c r="B18" s="118">
        <v>2019</v>
      </c>
      <c r="C18" s="456">
        <v>-0.2</v>
      </c>
    </row>
    <row r="19" spans="2:4">
      <c r="B19" s="118">
        <v>2018</v>
      </c>
      <c r="C19" s="459">
        <v>-0.2</v>
      </c>
    </row>
    <row r="20" spans="2:4">
      <c r="B20" s="118">
        <v>2017</v>
      </c>
      <c r="C20" s="460">
        <v>0.1</v>
      </c>
    </row>
    <row r="21" spans="2:4">
      <c r="B21" s="118">
        <v>2016</v>
      </c>
      <c r="C21" s="460">
        <v>0.1</v>
      </c>
    </row>
    <row r="22" spans="2:4">
      <c r="B22" s="16" t="s">
        <v>193</v>
      </c>
    </row>
  </sheetData>
  <mergeCells count="3">
    <mergeCell ref="B4:B5"/>
    <mergeCell ref="C4:C5"/>
    <mergeCell ref="B14:C1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35"/>
  <sheetViews>
    <sheetView showGridLines="0" workbookViewId="0"/>
  </sheetViews>
  <sheetFormatPr defaultColWidth="8.85546875" defaultRowHeight="14.25"/>
  <cols>
    <col min="1" max="1" width="1.7109375" style="31" customWidth="1"/>
    <col min="2" max="4" width="25.7109375" style="31" customWidth="1"/>
    <col min="5" max="5" width="4.28515625" style="31" customWidth="1"/>
    <col min="6" max="16384" width="8.85546875" style="31"/>
  </cols>
  <sheetData>
    <row r="2" spans="1:5" ht="17.45" customHeight="1">
      <c r="B2" s="57" t="s">
        <v>205</v>
      </c>
    </row>
    <row r="3" spans="1:5" ht="14.45" customHeight="1">
      <c r="C3" s="57"/>
      <c r="D3" s="32"/>
      <c r="E3" s="32"/>
    </row>
    <row r="4" spans="1:5" ht="15">
      <c r="B4" s="589" t="s">
        <v>98</v>
      </c>
      <c r="C4" s="592" t="s">
        <v>2</v>
      </c>
      <c r="D4" s="650" t="s">
        <v>107</v>
      </c>
      <c r="E4" s="32"/>
    </row>
    <row r="5" spans="1:5">
      <c r="B5" s="589"/>
      <c r="C5" s="592"/>
      <c r="D5" s="650"/>
    </row>
    <row r="6" spans="1:5">
      <c r="B6" s="612" t="s">
        <v>6</v>
      </c>
      <c r="C6" s="122">
        <v>2022</v>
      </c>
      <c r="D6" s="7">
        <v>8.8999999999999996E-2</v>
      </c>
    </row>
    <row r="7" spans="1:5">
      <c r="B7" s="612"/>
      <c r="C7" s="34">
        <v>2021</v>
      </c>
      <c r="D7" s="7">
        <v>9.8234033169750087E-2</v>
      </c>
    </row>
    <row r="8" spans="1:5" s="121" customFormat="1" ht="15" customHeight="1">
      <c r="A8" s="55"/>
      <c r="B8" s="612"/>
      <c r="C8" s="147">
        <v>2020</v>
      </c>
      <c r="D8" s="7">
        <v>0.10296745173236002</v>
      </c>
      <c r="E8" s="55"/>
    </row>
    <row r="9" spans="1:5">
      <c r="B9" s="612"/>
      <c r="C9" s="567">
        <v>2019</v>
      </c>
      <c r="D9" s="100">
        <v>0.10129445979461296</v>
      </c>
      <c r="E9" s="611"/>
    </row>
    <row r="10" spans="1:5" hidden="1">
      <c r="B10" s="612"/>
      <c r="C10" s="95">
        <v>2018</v>
      </c>
      <c r="D10" s="63">
        <v>0.1041299</v>
      </c>
      <c r="E10" s="611"/>
    </row>
    <row r="11" spans="1:5" hidden="1">
      <c r="B11" s="612"/>
      <c r="C11" s="95">
        <v>2017</v>
      </c>
      <c r="D11" s="63">
        <v>0.1045286</v>
      </c>
      <c r="E11" s="611"/>
    </row>
    <row r="12" spans="1:5" hidden="1">
      <c r="B12" s="612"/>
      <c r="C12" s="95">
        <v>2016</v>
      </c>
      <c r="D12" s="29">
        <v>0.1046475</v>
      </c>
      <c r="E12" s="12"/>
    </row>
    <row r="13" spans="1:5" hidden="1">
      <c r="B13" s="627"/>
      <c r="C13" s="98">
        <v>2015</v>
      </c>
      <c r="D13" s="96">
        <v>0.1015881</v>
      </c>
      <c r="E13" s="12"/>
    </row>
    <row r="14" spans="1:5" ht="15" customHeight="1">
      <c r="B14" s="649" t="s">
        <v>7</v>
      </c>
      <c r="C14" s="95">
        <v>2022</v>
      </c>
      <c r="D14" s="568">
        <v>8.2068788813639743E-2</v>
      </c>
      <c r="E14" s="12"/>
    </row>
    <row r="15" spans="1:5">
      <c r="B15" s="612"/>
      <c r="C15" s="95">
        <v>2021</v>
      </c>
      <c r="D15" s="7">
        <v>8.9686114017141258E-2</v>
      </c>
      <c r="E15" s="12"/>
    </row>
    <row r="16" spans="1:5">
      <c r="B16" s="612"/>
      <c r="C16" s="95">
        <v>2020</v>
      </c>
      <c r="D16" s="7">
        <v>9.1112001606221113E-2</v>
      </c>
      <c r="E16" s="12"/>
    </row>
    <row r="17" spans="2:5">
      <c r="B17" s="612"/>
      <c r="C17" s="98">
        <v>2019</v>
      </c>
      <c r="D17" s="7">
        <v>9.6762651127473662E-2</v>
      </c>
      <c r="E17" s="12"/>
    </row>
    <row r="18" spans="2:5" hidden="1">
      <c r="B18" s="612"/>
      <c r="C18" s="95">
        <v>2018</v>
      </c>
      <c r="D18" s="29">
        <v>0.1024277</v>
      </c>
      <c r="E18" s="12"/>
    </row>
    <row r="19" spans="2:5" hidden="1">
      <c r="B19" s="612"/>
      <c r="C19" s="95">
        <v>2017</v>
      </c>
      <c r="D19" s="29">
        <v>0.106308</v>
      </c>
      <c r="E19" s="12"/>
    </row>
    <row r="20" spans="2:5" hidden="1">
      <c r="B20" s="612"/>
      <c r="C20" s="95">
        <v>2016</v>
      </c>
      <c r="D20" s="29">
        <v>0.10182049999999999</v>
      </c>
    </row>
    <row r="21" spans="2:5" hidden="1">
      <c r="B21" s="627"/>
      <c r="C21" s="98">
        <v>2015</v>
      </c>
      <c r="D21" s="106">
        <v>0.1000321</v>
      </c>
    </row>
    <row r="22" spans="2:5" ht="15" customHeight="1">
      <c r="B22" s="649" t="s">
        <v>9</v>
      </c>
      <c r="C22" s="95">
        <v>2022</v>
      </c>
      <c r="D22" s="568">
        <v>0.10701352814154193</v>
      </c>
    </row>
    <row r="23" spans="2:5">
      <c r="B23" s="612"/>
      <c r="C23" s="95">
        <v>2021</v>
      </c>
      <c r="D23" s="7">
        <v>9.8594563050917766E-2</v>
      </c>
    </row>
    <row r="24" spans="2:5">
      <c r="B24" s="612"/>
      <c r="C24" s="95">
        <v>2020</v>
      </c>
      <c r="D24" s="7">
        <v>0.10736707299881515</v>
      </c>
    </row>
    <row r="25" spans="2:5">
      <c r="B25" s="612"/>
      <c r="C25" s="98">
        <v>2019</v>
      </c>
      <c r="D25" s="100">
        <v>0.11318847026891442</v>
      </c>
    </row>
    <row r="26" spans="2:5" hidden="1">
      <c r="B26" s="612"/>
      <c r="C26" s="95">
        <v>2018</v>
      </c>
      <c r="D26" s="29">
        <v>0.1024277</v>
      </c>
    </row>
    <row r="27" spans="2:5" hidden="1">
      <c r="B27" s="612"/>
      <c r="C27" s="95">
        <v>2017</v>
      </c>
      <c r="D27" s="29">
        <v>0.106308</v>
      </c>
    </row>
    <row r="28" spans="2:5" hidden="1">
      <c r="B28" s="612"/>
      <c r="C28" s="95">
        <v>2016</v>
      </c>
      <c r="D28" s="29">
        <v>0.1081273</v>
      </c>
    </row>
    <row r="29" spans="2:5" hidden="1">
      <c r="B29" s="627"/>
      <c r="C29" s="98">
        <v>2015</v>
      </c>
      <c r="D29" s="106">
        <v>0.113771</v>
      </c>
    </row>
    <row r="30" spans="2:5" ht="15" customHeight="1">
      <c r="B30" s="649" t="s">
        <v>8</v>
      </c>
      <c r="C30" s="95">
        <v>2022</v>
      </c>
      <c r="D30" s="568">
        <v>8.2152984088584291E-2</v>
      </c>
    </row>
    <row r="31" spans="2:5">
      <c r="B31" s="612"/>
      <c r="C31" s="95">
        <v>2021</v>
      </c>
      <c r="D31" s="7">
        <v>9.0182658132847274E-2</v>
      </c>
    </row>
    <row r="32" spans="2:5">
      <c r="B32" s="612"/>
      <c r="C32" s="95">
        <v>2020</v>
      </c>
      <c r="D32" s="7">
        <v>8.4371130800565394E-2</v>
      </c>
    </row>
    <row r="33" spans="2:4">
      <c r="B33" s="612"/>
      <c r="C33" s="98">
        <v>2019</v>
      </c>
      <c r="D33" s="569">
        <v>8.9466142409671157E-2</v>
      </c>
    </row>
    <row r="34" spans="2:4" hidden="1">
      <c r="B34" s="612"/>
      <c r="C34" s="95">
        <v>2018</v>
      </c>
      <c r="D34" s="29">
        <v>8.9461899999999997E-2</v>
      </c>
    </row>
    <row r="35" spans="2:4" hidden="1">
      <c r="B35" s="612"/>
      <c r="C35" s="95">
        <v>2017</v>
      </c>
      <c r="D35" s="29">
        <v>8.7987800000000005E-2</v>
      </c>
    </row>
    <row r="36" spans="2:4" hidden="1">
      <c r="B36" s="612"/>
      <c r="C36" s="95">
        <v>2016</v>
      </c>
      <c r="D36" s="29">
        <v>8.7468000000000004E-2</v>
      </c>
    </row>
    <row r="37" spans="2:4" hidden="1">
      <c r="B37" s="627"/>
      <c r="C37" s="98">
        <v>2015</v>
      </c>
      <c r="D37" s="106">
        <v>8.8708099999999998E-2</v>
      </c>
    </row>
    <row r="38" spans="2:4" ht="15" customHeight="1">
      <c r="B38" s="649" t="s">
        <v>10</v>
      </c>
      <c r="C38" s="95">
        <v>2022</v>
      </c>
      <c r="D38" s="7">
        <v>0.11183819117781288</v>
      </c>
    </row>
    <row r="39" spans="2:4">
      <c r="B39" s="612"/>
      <c r="C39" s="95">
        <v>2021</v>
      </c>
      <c r="D39" s="7">
        <v>0.11142904073449142</v>
      </c>
    </row>
    <row r="40" spans="2:4">
      <c r="B40" s="612"/>
      <c r="C40" s="95">
        <v>2020</v>
      </c>
      <c r="D40" s="7">
        <v>0.1209758924404513</v>
      </c>
    </row>
    <row r="41" spans="2:4">
      <c r="B41" s="612"/>
      <c r="C41" s="95">
        <v>2019</v>
      </c>
      <c r="D41" s="100">
        <v>9.0664447697376471E-2</v>
      </c>
    </row>
    <row r="42" spans="2:4" hidden="1">
      <c r="B42" s="612"/>
      <c r="C42" s="95">
        <v>2018</v>
      </c>
      <c r="D42" s="29">
        <v>0.1013466</v>
      </c>
    </row>
    <row r="43" spans="2:4" hidden="1">
      <c r="B43" s="612"/>
      <c r="C43" s="95">
        <v>2017</v>
      </c>
      <c r="D43" s="29">
        <v>0.11907769999999999</v>
      </c>
    </row>
    <row r="44" spans="2:4" hidden="1">
      <c r="B44" s="612"/>
      <c r="C44" s="95">
        <v>2016</v>
      </c>
      <c r="D44" s="29">
        <v>0.1207207</v>
      </c>
    </row>
    <row r="45" spans="2:4" ht="14.45" hidden="1" customHeight="1">
      <c r="B45" s="627"/>
      <c r="C45" s="98">
        <v>2015</v>
      </c>
      <c r="D45" s="97">
        <v>0.12811310000000001</v>
      </c>
    </row>
    <row r="46" spans="2:4" ht="14.45" customHeight="1">
      <c r="B46" s="649" t="s">
        <v>11</v>
      </c>
      <c r="C46" s="99">
        <v>2022</v>
      </c>
      <c r="D46" s="568">
        <v>8.7388362708424774E-2</v>
      </c>
    </row>
    <row r="47" spans="2:4" ht="14.45" customHeight="1">
      <c r="B47" s="612"/>
      <c r="C47" s="95">
        <v>2021</v>
      </c>
      <c r="D47" s="7">
        <v>0.11123588714442142</v>
      </c>
    </row>
    <row r="48" spans="2:4" ht="14.45" customHeight="1">
      <c r="B48" s="612"/>
      <c r="C48" s="95">
        <v>2020</v>
      </c>
      <c r="D48" s="7">
        <v>0.10834044467765656</v>
      </c>
    </row>
    <row r="49" spans="2:5" ht="14.45" customHeight="1">
      <c r="B49" s="612"/>
      <c r="C49" s="98">
        <v>2019</v>
      </c>
      <c r="D49" s="569">
        <v>9.175083021283946E-2</v>
      </c>
    </row>
    <row r="50" spans="2:5" hidden="1">
      <c r="B50" s="612"/>
      <c r="C50" s="95">
        <v>2018</v>
      </c>
      <c r="D50" s="29">
        <v>0.10934140000000001</v>
      </c>
    </row>
    <row r="51" spans="2:5" hidden="1">
      <c r="B51" s="612"/>
      <c r="C51" s="95">
        <v>2017</v>
      </c>
      <c r="D51" s="29">
        <v>0.11260779999999999</v>
      </c>
      <c r="E51" s="12"/>
    </row>
    <row r="52" spans="2:5" hidden="1">
      <c r="B52" s="612"/>
      <c r="C52" s="95">
        <v>2016</v>
      </c>
      <c r="D52" s="29">
        <v>0.123877</v>
      </c>
      <c r="E52" s="12"/>
    </row>
    <row r="53" spans="2:5" hidden="1">
      <c r="B53" s="627"/>
      <c r="C53" s="98">
        <v>2015</v>
      </c>
      <c r="D53" s="96">
        <v>0.1197566</v>
      </c>
      <c r="E53" s="12"/>
    </row>
    <row r="54" spans="2:5" ht="15" customHeight="1">
      <c r="B54" s="649" t="s">
        <v>12</v>
      </c>
      <c r="C54" s="95">
        <v>2022</v>
      </c>
      <c r="D54" s="7">
        <v>7.5293477053462413E-2</v>
      </c>
      <c r="E54" s="12"/>
    </row>
    <row r="55" spans="2:5">
      <c r="B55" s="612"/>
      <c r="C55" s="95">
        <v>2021</v>
      </c>
      <c r="D55" s="146">
        <v>6.7251442600193057E-2</v>
      </c>
      <c r="E55" s="12"/>
    </row>
    <row r="56" spans="2:5">
      <c r="B56" s="612"/>
      <c r="C56" s="95">
        <v>2020</v>
      </c>
      <c r="D56" s="146">
        <v>7.0992997634950983E-2</v>
      </c>
      <c r="E56" s="12"/>
    </row>
    <row r="57" spans="2:5">
      <c r="B57" s="612"/>
      <c r="C57" s="95">
        <v>2019</v>
      </c>
      <c r="D57" s="7">
        <v>8.4803578404822264E-2</v>
      </c>
      <c r="E57" s="12"/>
    </row>
    <row r="58" spans="2:5" hidden="1">
      <c r="B58" s="612"/>
      <c r="C58" s="95">
        <v>2018</v>
      </c>
      <c r="D58" s="29">
        <v>7.4921100000000004E-2</v>
      </c>
      <c r="E58" s="12"/>
    </row>
    <row r="59" spans="2:5" hidden="1">
      <c r="B59" s="612"/>
      <c r="C59" s="95">
        <v>2017</v>
      </c>
      <c r="D59" s="29">
        <v>7.1070560000000005E-2</v>
      </c>
      <c r="E59" s="12"/>
    </row>
    <row r="60" spans="2:5" hidden="1">
      <c r="B60" s="612"/>
      <c r="C60" s="95">
        <v>2016</v>
      </c>
      <c r="D60" s="29">
        <v>8.5460800000000003E-2</v>
      </c>
      <c r="E60" s="12"/>
    </row>
    <row r="61" spans="2:5" hidden="1">
      <c r="B61" s="627"/>
      <c r="C61" s="98">
        <v>2015</v>
      </c>
      <c r="D61" s="106">
        <v>8.2928699999999994E-2</v>
      </c>
      <c r="E61" s="12"/>
    </row>
    <row r="62" spans="2:5" ht="15" customHeight="1">
      <c r="B62" s="649" t="s">
        <v>13</v>
      </c>
      <c r="C62" s="99">
        <v>2022</v>
      </c>
      <c r="D62" s="568">
        <v>8.7917409103072192E-2</v>
      </c>
      <c r="E62" s="12"/>
    </row>
    <row r="63" spans="2:5">
      <c r="B63" s="612"/>
      <c r="C63" s="95">
        <v>2021</v>
      </c>
      <c r="D63" s="7">
        <v>0.10640260996775874</v>
      </c>
      <c r="E63" s="12"/>
    </row>
    <row r="64" spans="2:5">
      <c r="B64" s="612"/>
      <c r="C64" s="95">
        <v>2020</v>
      </c>
      <c r="D64" s="7">
        <v>0.10659563930818863</v>
      </c>
      <c r="E64" s="12"/>
    </row>
    <row r="65" spans="2:5">
      <c r="B65" s="612"/>
      <c r="C65" s="95">
        <v>2019</v>
      </c>
      <c r="D65" s="7">
        <v>0.11185056798814397</v>
      </c>
      <c r="E65" s="12"/>
    </row>
    <row r="66" spans="2:5" hidden="1">
      <c r="B66" s="612"/>
      <c r="C66" s="95">
        <v>2018</v>
      </c>
      <c r="D66" s="29">
        <v>0.1004708</v>
      </c>
      <c r="E66" s="12"/>
    </row>
    <row r="67" spans="2:5" hidden="1">
      <c r="B67" s="612"/>
      <c r="C67" s="95">
        <v>2017</v>
      </c>
      <c r="D67" s="29">
        <v>0.11498410000000001</v>
      </c>
      <c r="E67" s="12"/>
    </row>
    <row r="68" spans="2:5" hidden="1">
      <c r="B68" s="612"/>
      <c r="C68" s="95">
        <v>2016</v>
      </c>
      <c r="D68" s="29">
        <v>0.1378278</v>
      </c>
      <c r="E68" s="12"/>
    </row>
    <row r="69" spans="2:5" hidden="1">
      <c r="B69" s="627"/>
      <c r="C69" s="98">
        <v>2015</v>
      </c>
      <c r="D69" s="106">
        <v>0.1353055</v>
      </c>
      <c r="E69" s="12"/>
    </row>
    <row r="70" spans="2:5" ht="15" customHeight="1">
      <c r="B70" s="649" t="s">
        <v>14</v>
      </c>
      <c r="C70" s="99">
        <v>2022</v>
      </c>
      <c r="D70" s="568">
        <v>8.7433493801371595E-2</v>
      </c>
      <c r="E70" s="12"/>
    </row>
    <row r="71" spans="2:5">
      <c r="B71" s="612"/>
      <c r="C71" s="95">
        <v>2021</v>
      </c>
      <c r="D71" s="7">
        <v>9.1317561421805638E-2</v>
      </c>
      <c r="E71" s="12"/>
    </row>
    <row r="72" spans="2:5">
      <c r="B72" s="612"/>
      <c r="C72" s="13">
        <v>2020</v>
      </c>
      <c r="D72" s="100">
        <v>8.9999138839346793E-2</v>
      </c>
      <c r="E72" s="12"/>
    </row>
    <row r="73" spans="2:5">
      <c r="B73" s="612"/>
      <c r="C73" s="98">
        <v>2019</v>
      </c>
      <c r="D73" s="569">
        <v>0.10218555136802807</v>
      </c>
      <c r="E73" s="12"/>
    </row>
    <row r="74" spans="2:5" hidden="1">
      <c r="B74" s="612"/>
      <c r="C74" s="95">
        <v>2018</v>
      </c>
      <c r="D74" s="146">
        <v>0.10592989999999999</v>
      </c>
      <c r="E74" s="12"/>
    </row>
    <row r="75" spans="2:5" hidden="1">
      <c r="B75" s="612"/>
      <c r="C75" s="95">
        <v>2017</v>
      </c>
      <c r="D75" s="146">
        <v>0.1045949</v>
      </c>
      <c r="E75" s="12"/>
    </row>
    <row r="76" spans="2:5" hidden="1">
      <c r="B76" s="612"/>
      <c r="C76" s="95">
        <v>2016</v>
      </c>
      <c r="D76" s="146">
        <v>0.1108299</v>
      </c>
    </row>
    <row r="77" spans="2:5" hidden="1">
      <c r="B77" s="627"/>
      <c r="C77" s="98">
        <v>2015</v>
      </c>
      <c r="D77" s="180">
        <v>9.7832600000000006E-2</v>
      </c>
    </row>
    <row r="78" spans="2:5" ht="15" customHeight="1">
      <c r="B78" s="649" t="s">
        <v>15</v>
      </c>
      <c r="C78" s="95">
        <v>2022</v>
      </c>
      <c r="D78" s="146">
        <v>9.1676566339871743E-2</v>
      </c>
    </row>
    <row r="79" spans="2:5">
      <c r="B79" s="612"/>
      <c r="C79" s="95">
        <v>2021</v>
      </c>
      <c r="D79" s="7">
        <v>9.385677862037585E-2</v>
      </c>
    </row>
    <row r="80" spans="2:5">
      <c r="B80" s="612"/>
      <c r="C80" s="95">
        <v>2020</v>
      </c>
      <c r="D80" s="7">
        <v>9.7289021551547103E-2</v>
      </c>
    </row>
    <row r="81" spans="2:4">
      <c r="B81" s="612"/>
      <c r="C81" s="98">
        <v>2019</v>
      </c>
      <c r="D81" s="100">
        <v>0.10063737617411965</v>
      </c>
    </row>
    <row r="82" spans="2:4" ht="15" hidden="1" customHeight="1">
      <c r="B82" s="612"/>
      <c r="C82" s="95">
        <v>2018</v>
      </c>
      <c r="D82" s="64">
        <v>0.10957119999999999</v>
      </c>
    </row>
    <row r="83" spans="2:4" hidden="1">
      <c r="B83" s="612"/>
      <c r="C83" s="95">
        <v>2017</v>
      </c>
      <c r="D83" s="29">
        <v>0.1019784</v>
      </c>
    </row>
    <row r="84" spans="2:4" hidden="1">
      <c r="B84" s="612"/>
      <c r="C84" s="95">
        <v>2016</v>
      </c>
      <c r="D84" s="29">
        <v>0.1068042</v>
      </c>
    </row>
    <row r="85" spans="2:4" hidden="1">
      <c r="B85" s="627"/>
      <c r="C85" s="98">
        <v>2015</v>
      </c>
      <c r="D85" s="96">
        <v>0.10195319999999999</v>
      </c>
    </row>
    <row r="86" spans="2:4" ht="15" customHeight="1">
      <c r="B86" s="649" t="s">
        <v>16</v>
      </c>
      <c r="C86" s="95">
        <v>2022</v>
      </c>
      <c r="D86" s="568">
        <v>0.114752561835887</v>
      </c>
    </row>
    <row r="87" spans="2:4">
      <c r="B87" s="612"/>
      <c r="C87" s="95">
        <v>2021</v>
      </c>
      <c r="D87" s="7">
        <v>0.12174749256489081</v>
      </c>
    </row>
    <row r="88" spans="2:4">
      <c r="B88" s="612"/>
      <c r="C88" s="95">
        <v>2020</v>
      </c>
      <c r="D88" s="7">
        <v>0.12275648347915695</v>
      </c>
    </row>
    <row r="89" spans="2:4">
      <c r="B89" s="612"/>
      <c r="C89" s="95">
        <v>2019</v>
      </c>
      <c r="D89" s="7">
        <v>0.12580796442597605</v>
      </c>
    </row>
    <row r="90" spans="2:4" hidden="1">
      <c r="B90" s="612"/>
      <c r="C90" s="95">
        <v>2018</v>
      </c>
      <c r="D90" s="29">
        <v>0.1257749</v>
      </c>
    </row>
    <row r="91" spans="2:4" hidden="1">
      <c r="B91" s="612"/>
      <c r="C91" s="95">
        <v>2017</v>
      </c>
      <c r="D91" s="29">
        <v>0.12931490000000001</v>
      </c>
    </row>
    <row r="92" spans="2:4" hidden="1">
      <c r="B92" s="612"/>
      <c r="C92" s="95">
        <v>2016</v>
      </c>
      <c r="D92" s="29">
        <v>0.1310866</v>
      </c>
    </row>
    <row r="93" spans="2:4" hidden="1">
      <c r="B93" s="627"/>
      <c r="C93" s="98">
        <v>2015</v>
      </c>
      <c r="D93" s="106">
        <v>0.1285858</v>
      </c>
    </row>
    <row r="94" spans="2:4" ht="15" customHeight="1">
      <c r="B94" s="649" t="s">
        <v>17</v>
      </c>
      <c r="C94" s="99">
        <v>2022</v>
      </c>
      <c r="D94" s="568">
        <v>8.202157435963485E-2</v>
      </c>
    </row>
    <row r="95" spans="2:4">
      <c r="B95" s="612"/>
      <c r="C95" s="95">
        <v>2021</v>
      </c>
      <c r="D95" s="7">
        <v>8.3065311158505212E-2</v>
      </c>
    </row>
    <row r="96" spans="2:4">
      <c r="B96" s="612"/>
      <c r="C96" s="95">
        <v>2020</v>
      </c>
      <c r="D96" s="7">
        <v>8.8664120703592711E-2</v>
      </c>
    </row>
    <row r="97" spans="2:5">
      <c r="B97" s="612"/>
      <c r="C97" s="95">
        <v>2019</v>
      </c>
      <c r="D97" s="7">
        <v>9.2517561954837318E-2</v>
      </c>
    </row>
    <row r="98" spans="2:5" hidden="1">
      <c r="B98" s="612"/>
      <c r="C98" s="95">
        <v>2018</v>
      </c>
      <c r="D98" s="29">
        <v>8.9507500000000004E-2</v>
      </c>
    </row>
    <row r="99" spans="2:5" hidden="1">
      <c r="B99" s="612"/>
      <c r="C99" s="95">
        <v>2017</v>
      </c>
      <c r="D99" s="29">
        <v>8.3273299999999995E-2</v>
      </c>
      <c r="E99" s="12"/>
    </row>
    <row r="100" spans="2:5" hidden="1">
      <c r="B100" s="612"/>
      <c r="C100" s="95">
        <v>2016</v>
      </c>
      <c r="D100" s="29">
        <v>8.2098500000000005E-2</v>
      </c>
      <c r="E100" s="12"/>
    </row>
    <row r="101" spans="2:5" hidden="1">
      <c r="B101" s="627"/>
      <c r="C101" s="98">
        <v>2015</v>
      </c>
      <c r="D101" s="106">
        <v>8.8028899999999993E-2</v>
      </c>
      <c r="E101" s="12"/>
    </row>
    <row r="102" spans="2:5" ht="15" customHeight="1">
      <c r="B102" s="649" t="s">
        <v>18</v>
      </c>
      <c r="C102" s="99">
        <v>2022</v>
      </c>
      <c r="D102" s="568">
        <v>9.9311463657449417E-2</v>
      </c>
      <c r="E102" s="12"/>
    </row>
    <row r="103" spans="2:5">
      <c r="B103" s="612"/>
      <c r="C103" s="95">
        <v>2021</v>
      </c>
      <c r="D103" s="7">
        <v>7.4871455754566468E-2</v>
      </c>
      <c r="E103" s="12"/>
    </row>
    <row r="104" spans="2:5">
      <c r="B104" s="612"/>
      <c r="C104" s="95">
        <v>2020</v>
      </c>
      <c r="D104" s="7">
        <v>6.8536724563474233E-2</v>
      </c>
      <c r="E104" s="12"/>
    </row>
    <row r="105" spans="2:5">
      <c r="B105" s="612"/>
      <c r="C105" s="95">
        <v>2019</v>
      </c>
      <c r="D105" s="7">
        <v>7.2566391165748617E-2</v>
      </c>
      <c r="E105" s="12"/>
    </row>
    <row r="106" spans="2:5" hidden="1">
      <c r="B106" s="612"/>
      <c r="C106" s="95">
        <v>2018</v>
      </c>
      <c r="D106" s="29">
        <v>8.1909800000000005E-2</v>
      </c>
      <c r="E106" s="12"/>
    </row>
    <row r="107" spans="2:5" hidden="1">
      <c r="B107" s="612"/>
      <c r="C107" s="95">
        <v>2017</v>
      </c>
      <c r="D107" s="64">
        <v>7.3225299999999993E-2</v>
      </c>
      <c r="E107" s="12"/>
    </row>
    <row r="108" spans="2:5" hidden="1">
      <c r="B108" s="612"/>
      <c r="C108" s="95">
        <v>2016</v>
      </c>
      <c r="D108" s="29">
        <v>0.10206800000000001</v>
      </c>
      <c r="E108" s="12"/>
    </row>
    <row r="109" spans="2:5" hidden="1">
      <c r="B109" s="627"/>
      <c r="C109" s="98">
        <v>2015</v>
      </c>
      <c r="D109" s="106">
        <v>8.8310899999999998E-2</v>
      </c>
      <c r="E109" s="12"/>
    </row>
    <row r="110" spans="2:5" ht="15" customHeight="1">
      <c r="B110" s="649" t="s">
        <v>19</v>
      </c>
      <c r="C110" s="99">
        <v>2022</v>
      </c>
      <c r="D110" s="568">
        <v>0.10563607041298892</v>
      </c>
      <c r="E110" s="12"/>
    </row>
    <row r="111" spans="2:5">
      <c r="B111" s="612"/>
      <c r="C111" s="95">
        <v>2021</v>
      </c>
      <c r="D111" s="7">
        <v>0.10641432315736618</v>
      </c>
      <c r="E111" s="12"/>
    </row>
    <row r="112" spans="2:5">
      <c r="B112" s="612"/>
      <c r="C112" s="94">
        <v>2020</v>
      </c>
      <c r="D112" s="100">
        <v>0.10715697739260968</v>
      </c>
      <c r="E112" s="12"/>
    </row>
    <row r="113" spans="2:5">
      <c r="B113" s="612"/>
      <c r="C113" s="98">
        <v>2019</v>
      </c>
      <c r="D113" s="100">
        <v>0.10878237479709493</v>
      </c>
      <c r="E113" s="12"/>
    </row>
    <row r="114" spans="2:5" hidden="1">
      <c r="B114" s="612"/>
      <c r="C114" s="95">
        <v>2018</v>
      </c>
      <c r="D114" s="29">
        <v>8.7533700000000006E-2</v>
      </c>
      <c r="E114" s="12"/>
    </row>
    <row r="115" spans="2:5" hidden="1">
      <c r="B115" s="612"/>
      <c r="C115" s="95">
        <v>2017</v>
      </c>
      <c r="D115" s="29">
        <v>9.6942299999999995E-2</v>
      </c>
      <c r="E115" s="12"/>
    </row>
    <row r="116" spans="2:5" hidden="1">
      <c r="B116" s="612"/>
      <c r="C116" s="95">
        <v>2016</v>
      </c>
      <c r="D116" s="29">
        <v>9.4046900000000003E-2</v>
      </c>
      <c r="E116" s="12"/>
    </row>
    <row r="117" spans="2:5" hidden="1">
      <c r="B117" s="627"/>
      <c r="C117" s="98">
        <v>2015</v>
      </c>
      <c r="D117" s="106">
        <v>8.61098E-2</v>
      </c>
      <c r="E117" s="12"/>
    </row>
    <row r="118" spans="2:5" ht="15" customHeight="1">
      <c r="B118" s="649" t="s">
        <v>43</v>
      </c>
      <c r="C118" s="95">
        <v>2022</v>
      </c>
      <c r="D118" s="568">
        <v>8.5177092824795839E-2</v>
      </c>
      <c r="E118" s="12"/>
    </row>
    <row r="119" spans="2:5">
      <c r="B119" s="612"/>
      <c r="C119" s="95">
        <v>2021</v>
      </c>
      <c r="D119" s="7">
        <v>8.9342651532534179E-2</v>
      </c>
      <c r="E119" s="12"/>
    </row>
    <row r="120" spans="2:5">
      <c r="B120" s="612"/>
      <c r="C120" s="95">
        <v>2020</v>
      </c>
      <c r="D120" s="7">
        <v>9.0979418289198241E-2</v>
      </c>
      <c r="E120" s="12"/>
    </row>
    <row r="121" spans="2:5">
      <c r="B121" s="612"/>
      <c r="C121" s="95">
        <v>2019</v>
      </c>
      <c r="D121" s="100">
        <v>0.10189420083190848</v>
      </c>
      <c r="E121" s="12"/>
    </row>
    <row r="122" spans="2:5" hidden="1">
      <c r="B122" s="612"/>
      <c r="C122" s="95">
        <v>2018</v>
      </c>
      <c r="D122" s="29">
        <v>8.9673799999999998E-2</v>
      </c>
      <c r="E122" s="12"/>
    </row>
    <row r="123" spans="2:5" hidden="1">
      <c r="B123" s="612"/>
      <c r="C123" s="95">
        <v>2017</v>
      </c>
      <c r="D123" s="29">
        <v>8.8896100000000006E-2</v>
      </c>
      <c r="E123" s="12"/>
    </row>
    <row r="124" spans="2:5" hidden="1">
      <c r="B124" s="612"/>
      <c r="C124" s="95">
        <v>2016</v>
      </c>
      <c r="D124" s="29">
        <v>0.11264250000000001</v>
      </c>
      <c r="E124" s="12"/>
    </row>
    <row r="125" spans="2:5" hidden="1">
      <c r="B125" s="627"/>
      <c r="C125" s="98">
        <v>2015</v>
      </c>
      <c r="D125" s="96">
        <v>0.1090932</v>
      </c>
      <c r="E125" s="12"/>
    </row>
    <row r="126" spans="2:5" ht="15" customHeight="1">
      <c r="B126" s="649" t="s">
        <v>20</v>
      </c>
      <c r="C126" s="99">
        <v>2022</v>
      </c>
      <c r="D126" s="568">
        <v>7.965866405619651E-2</v>
      </c>
      <c r="E126" s="12"/>
    </row>
    <row r="127" spans="2:5">
      <c r="B127" s="612"/>
      <c r="C127" s="95">
        <v>2021</v>
      </c>
      <c r="D127" s="7">
        <v>0.10098949577338769</v>
      </c>
      <c r="E127" s="12"/>
    </row>
    <row r="128" spans="2:5">
      <c r="B128" s="612"/>
      <c r="C128" s="95">
        <v>2020</v>
      </c>
      <c r="D128" s="7">
        <v>8.6887311599809086E-2</v>
      </c>
      <c r="E128" s="12"/>
    </row>
    <row r="129" spans="2:5">
      <c r="B129" s="612"/>
      <c r="C129" s="98">
        <v>2019</v>
      </c>
      <c r="D129" s="7">
        <v>0.12742241249031508</v>
      </c>
      <c r="E129" s="12"/>
    </row>
    <row r="130" spans="2:5" hidden="1">
      <c r="B130" s="612"/>
      <c r="C130" s="95">
        <v>2018</v>
      </c>
      <c r="D130" s="29">
        <v>4.16341E-2</v>
      </c>
      <c r="E130" s="12"/>
    </row>
    <row r="131" spans="2:5" hidden="1">
      <c r="B131" s="612"/>
      <c r="C131" s="95">
        <v>2017</v>
      </c>
      <c r="D131" s="29">
        <v>8.9932399999999996E-2</v>
      </c>
      <c r="E131" s="12"/>
    </row>
    <row r="132" spans="2:5" hidden="1">
      <c r="B132" s="612"/>
      <c r="C132" s="95">
        <v>2016</v>
      </c>
      <c r="D132" s="29">
        <v>7.3539999999999994E-2</v>
      </c>
      <c r="E132" s="12"/>
    </row>
    <row r="133" spans="2:5" hidden="1">
      <c r="B133" s="612"/>
      <c r="C133" s="98">
        <v>2015</v>
      </c>
      <c r="D133" s="96">
        <v>4.9973999999999998E-2</v>
      </c>
      <c r="E133" s="12"/>
    </row>
    <row r="134" spans="2:5">
      <c r="B134" s="571" t="s">
        <v>184</v>
      </c>
      <c r="C134" s="49"/>
      <c r="D134" s="570"/>
      <c r="E134" s="12"/>
    </row>
    <row r="135" spans="2:5">
      <c r="B135" s="65"/>
      <c r="C135" s="49"/>
      <c r="D135" s="13"/>
      <c r="E135" s="12"/>
    </row>
  </sheetData>
  <mergeCells count="20">
    <mergeCell ref="B102:B109"/>
    <mergeCell ref="B110:B117"/>
    <mergeCell ref="B118:B125"/>
    <mergeCell ref="B126:B133"/>
    <mergeCell ref="B62:B69"/>
    <mergeCell ref="B70:B77"/>
    <mergeCell ref="B78:B85"/>
    <mergeCell ref="B86:B93"/>
    <mergeCell ref="B94:B101"/>
    <mergeCell ref="B22:B29"/>
    <mergeCell ref="B30:B37"/>
    <mergeCell ref="B38:B45"/>
    <mergeCell ref="B46:B53"/>
    <mergeCell ref="B54:B61"/>
    <mergeCell ref="B14:B21"/>
    <mergeCell ref="E9:E11"/>
    <mergeCell ref="B4:B5"/>
    <mergeCell ref="D4:D5"/>
    <mergeCell ref="C4:C5"/>
    <mergeCell ref="B6:B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38"/>
  <sheetViews>
    <sheetView showGridLines="0" workbookViewId="0"/>
  </sheetViews>
  <sheetFormatPr defaultColWidth="9.140625" defaultRowHeight="15"/>
  <cols>
    <col min="1" max="1" width="1.7109375" style="31" customWidth="1"/>
    <col min="2" max="2" width="103" style="31" customWidth="1"/>
    <col min="3" max="6" width="15.7109375" style="31" customWidth="1"/>
    <col min="7" max="7" width="15.7109375" style="3" customWidth="1"/>
    <col min="8" max="9" width="15.7109375" customWidth="1"/>
    <col min="10" max="10" width="15.7109375" style="31" customWidth="1"/>
    <col min="11" max="16384" width="9.140625" style="31"/>
  </cols>
  <sheetData>
    <row r="2" spans="2:10">
      <c r="B2" s="57" t="s">
        <v>206</v>
      </c>
      <c r="C2" s="57"/>
      <c r="D2" s="57"/>
      <c r="G2" s="17"/>
      <c r="H2" s="31"/>
      <c r="I2" s="31"/>
    </row>
    <row r="3" spans="2:10" ht="14.25">
      <c r="B3" s="66"/>
      <c r="C3" s="66"/>
      <c r="D3" s="66"/>
      <c r="G3" s="17"/>
      <c r="H3" s="31"/>
      <c r="I3" s="31"/>
    </row>
    <row r="4" spans="2:10">
      <c r="B4" s="589" t="s">
        <v>133</v>
      </c>
      <c r="C4" s="651" t="s">
        <v>2</v>
      </c>
      <c r="D4" s="652"/>
      <c r="E4" s="652"/>
      <c r="F4" s="652"/>
      <c r="G4" s="652"/>
      <c r="H4" s="652"/>
      <c r="I4" s="652"/>
      <c r="J4" s="652"/>
    </row>
    <row r="5" spans="2:10">
      <c r="B5" s="589"/>
      <c r="C5" s="91">
        <v>2015</v>
      </c>
      <c r="D5" s="5">
        <v>2016</v>
      </c>
      <c r="E5" s="91">
        <v>2017</v>
      </c>
      <c r="F5" s="91">
        <v>2018</v>
      </c>
      <c r="G5" s="90">
        <v>2019</v>
      </c>
      <c r="H5" s="124">
        <v>2020</v>
      </c>
      <c r="I5" s="124">
        <v>2021</v>
      </c>
      <c r="J5" s="124">
        <v>2022</v>
      </c>
    </row>
    <row r="6" spans="2:10" ht="14.25">
      <c r="B6" s="139" t="s">
        <v>23</v>
      </c>
      <c r="C6" s="215">
        <v>2.8135999999999999E-3</v>
      </c>
      <c r="D6" s="264">
        <v>4.4535E-3</v>
      </c>
      <c r="E6" s="264">
        <v>7.8253000000000003E-3</v>
      </c>
      <c r="F6" s="264">
        <v>1.2409099999999999E-2</v>
      </c>
      <c r="G6" s="461">
        <v>1.0665179143085089E-2</v>
      </c>
      <c r="H6" s="462">
        <v>1.683673206423781E-2</v>
      </c>
      <c r="I6" s="462">
        <v>2.0878337362786246E-2</v>
      </c>
      <c r="J6" s="357">
        <v>1.0142425031282919E-2</v>
      </c>
    </row>
    <row r="7" spans="2:10" ht="14.25">
      <c r="B7" s="139" t="s">
        <v>24</v>
      </c>
      <c r="C7" s="215">
        <v>9.1930100000000001E-2</v>
      </c>
      <c r="D7" s="264">
        <v>7.8482800000000005E-2</v>
      </c>
      <c r="E7" s="264">
        <v>9.3096100000000001E-2</v>
      </c>
      <c r="F7" s="264">
        <v>7.6437000000000005E-2</v>
      </c>
      <c r="G7" s="461">
        <v>7.1047843309010525E-2</v>
      </c>
      <c r="H7" s="462">
        <v>3.7746452077208531E-2</v>
      </c>
      <c r="I7" s="462">
        <v>6.6334908888181165E-2</v>
      </c>
      <c r="J7" s="357">
        <v>7.6641328754701893E-2</v>
      </c>
    </row>
    <row r="8" spans="2:10" ht="14.25">
      <c r="B8" s="139" t="s">
        <v>25</v>
      </c>
      <c r="C8" s="215">
        <v>6.8041900000000002E-2</v>
      </c>
      <c r="D8" s="264">
        <v>7.4011999999999994E-2</v>
      </c>
      <c r="E8" s="264">
        <v>8.7561600000000003E-2</v>
      </c>
      <c r="F8" s="264">
        <v>7.2202699999999995E-2</v>
      </c>
      <c r="G8" s="461">
        <v>7.4183347924632714E-2</v>
      </c>
      <c r="H8" s="462">
        <v>6.7840316373736748E-2</v>
      </c>
      <c r="I8" s="462">
        <v>6.9198274379899755E-2</v>
      </c>
      <c r="J8" s="357">
        <v>7.2796682230598722E-2</v>
      </c>
    </row>
    <row r="9" spans="2:10" ht="14.25">
      <c r="B9" s="139" t="s">
        <v>26</v>
      </c>
      <c r="C9" s="243">
        <v>0.15301049999999999</v>
      </c>
      <c r="D9" s="463">
        <v>0.14998259999999999</v>
      </c>
      <c r="E9" s="463">
        <v>0.149675</v>
      </c>
      <c r="F9" s="463">
        <v>0.149951</v>
      </c>
      <c r="G9" s="461">
        <v>0.14985168371512894</v>
      </c>
      <c r="H9" s="462">
        <v>0.14975481194259338</v>
      </c>
      <c r="I9" s="462">
        <v>0.14936418228374762</v>
      </c>
      <c r="J9" s="357">
        <v>9.1999999999999998E-2</v>
      </c>
    </row>
    <row r="10" spans="2:10" ht="14.25">
      <c r="B10" s="139" t="s">
        <v>27</v>
      </c>
      <c r="C10" s="215">
        <v>8.8291099999999997E-2</v>
      </c>
      <c r="D10" s="264">
        <v>0.13195999999999999</v>
      </c>
      <c r="E10" s="264">
        <v>0.13520689999999999</v>
      </c>
      <c r="F10" s="264">
        <v>0.14080699999999999</v>
      </c>
      <c r="G10" s="461">
        <v>0.14191414918081388</v>
      </c>
      <c r="H10" s="462">
        <v>0.14493530238459507</v>
      </c>
      <c r="I10" s="462">
        <v>0.14265500043332849</v>
      </c>
      <c r="J10" s="357">
        <v>0.11131583659338667</v>
      </c>
    </row>
    <row r="11" spans="2:10" ht="14.25">
      <c r="B11" s="139" t="s">
        <v>28</v>
      </c>
      <c r="C11" s="215">
        <v>0.1017402</v>
      </c>
      <c r="D11" s="264">
        <v>0.106128</v>
      </c>
      <c r="E11" s="264">
        <v>0.1001046</v>
      </c>
      <c r="F11" s="264">
        <v>0.1195784</v>
      </c>
      <c r="G11" s="461">
        <v>0.12302671442398079</v>
      </c>
      <c r="H11" s="462">
        <v>0.10708223135447434</v>
      </c>
      <c r="I11" s="462">
        <v>9.9851856869618588E-2</v>
      </c>
      <c r="J11" s="357">
        <v>7.4578890315326121E-2</v>
      </c>
    </row>
    <row r="12" spans="2:10" ht="14.25">
      <c r="B12" s="139" t="s">
        <v>29</v>
      </c>
      <c r="C12" s="215">
        <v>9.0510499999999994E-2</v>
      </c>
      <c r="D12" s="264">
        <v>9.2413499999999996E-2</v>
      </c>
      <c r="E12" s="264">
        <v>9.0127899999999997E-2</v>
      </c>
      <c r="F12" s="264">
        <v>8.7874300000000002E-2</v>
      </c>
      <c r="G12" s="461">
        <v>8.9183046158987561E-2</v>
      </c>
      <c r="H12" s="462">
        <v>9.4110599079126583E-2</v>
      </c>
      <c r="I12" s="462">
        <v>9.5830527808437788E-2</v>
      </c>
      <c r="J12" s="357">
        <v>8.8430302857834611E-2</v>
      </c>
    </row>
    <row r="13" spans="2:10" ht="14.25">
      <c r="B13" s="139" t="s">
        <v>30</v>
      </c>
      <c r="C13" s="215">
        <v>4.70222E-2</v>
      </c>
      <c r="D13" s="264">
        <v>4.8652899999999999E-2</v>
      </c>
      <c r="E13" s="264">
        <v>5.0064600000000001E-2</v>
      </c>
      <c r="F13" s="264">
        <v>4.3105699999999997E-2</v>
      </c>
      <c r="G13" s="461">
        <v>3.9672622769008077E-2</v>
      </c>
      <c r="H13" s="462">
        <v>4.0835941803648496E-2</v>
      </c>
      <c r="I13" s="462">
        <v>4.2130335046450577E-2</v>
      </c>
      <c r="J13" s="357">
        <v>3.6088732679141075E-2</v>
      </c>
    </row>
    <row r="14" spans="2:10" ht="14.25">
      <c r="B14" s="139" t="s">
        <v>31</v>
      </c>
      <c r="C14" s="243">
        <v>0.1480988</v>
      </c>
      <c r="D14" s="463">
        <v>0.14268410000000001</v>
      </c>
      <c r="E14" s="463">
        <v>0.14328769999999999</v>
      </c>
      <c r="F14" s="463">
        <v>0.1452532</v>
      </c>
      <c r="G14" s="461">
        <v>0.14451745961147441</v>
      </c>
      <c r="H14" s="462">
        <v>0.14343783489266729</v>
      </c>
      <c r="I14" s="462">
        <v>0.10418605199752623</v>
      </c>
      <c r="J14" s="357">
        <v>0.11654101245256757</v>
      </c>
    </row>
    <row r="15" spans="2:10" ht="14.25">
      <c r="B15" s="139" t="s">
        <v>32</v>
      </c>
      <c r="C15" s="215">
        <v>0.13882130000000001</v>
      </c>
      <c r="D15" s="264">
        <v>0.1274083</v>
      </c>
      <c r="E15" s="264">
        <v>0.12519269999999999</v>
      </c>
      <c r="F15" s="264">
        <v>0.13264490000000001</v>
      </c>
      <c r="G15" s="461">
        <v>0.13680029898229801</v>
      </c>
      <c r="H15" s="462">
        <v>0.11992057705195122</v>
      </c>
      <c r="I15" s="462">
        <v>0.13280536435481768</v>
      </c>
      <c r="J15" s="357">
        <v>0.12572797737471841</v>
      </c>
    </row>
    <row r="16" spans="2:10" ht="14.25">
      <c r="B16" s="139" t="s">
        <v>178</v>
      </c>
      <c r="C16" s="390" t="s">
        <v>77</v>
      </c>
      <c r="D16" s="464" t="s">
        <v>77</v>
      </c>
      <c r="E16" s="464" t="s">
        <v>77</v>
      </c>
      <c r="F16" s="464" t="s">
        <v>77</v>
      </c>
      <c r="G16" s="465" t="s">
        <v>77</v>
      </c>
      <c r="H16" s="466" t="s">
        <v>77</v>
      </c>
      <c r="I16" s="466" t="s">
        <v>77</v>
      </c>
      <c r="J16" s="467" t="s">
        <v>77</v>
      </c>
    </row>
    <row r="17" spans="2:10" ht="14.25">
      <c r="B17" s="139" t="s">
        <v>34</v>
      </c>
      <c r="C17" s="215">
        <v>9.4412599999999999E-2</v>
      </c>
      <c r="D17" s="264">
        <v>7.3396699999999995E-2</v>
      </c>
      <c r="E17" s="264">
        <v>0.1036401</v>
      </c>
      <c r="F17" s="264">
        <v>0.1098739</v>
      </c>
      <c r="G17" s="461">
        <v>0.10605828167647013</v>
      </c>
      <c r="H17" s="462">
        <v>7.9594899113563669E-2</v>
      </c>
      <c r="I17" s="462">
        <v>7.7603186146091269E-2</v>
      </c>
      <c r="J17" s="357">
        <v>7.7571466806348799E-2</v>
      </c>
    </row>
    <row r="18" spans="2:10" ht="14.25">
      <c r="B18" s="139" t="s">
        <v>35</v>
      </c>
      <c r="C18" s="215">
        <v>8.7721300000000002E-2</v>
      </c>
      <c r="D18" s="264">
        <v>0.1046377</v>
      </c>
      <c r="E18" s="264">
        <v>0.10987669999999999</v>
      </c>
      <c r="F18" s="264">
        <v>0.1239749</v>
      </c>
      <c r="G18" s="461">
        <v>8.0962580892031996E-2</v>
      </c>
      <c r="H18" s="462">
        <v>0.11920036357710154</v>
      </c>
      <c r="I18" s="462">
        <v>0.11882506801192912</v>
      </c>
      <c r="J18" s="357">
        <v>0.12895908580977664</v>
      </c>
    </row>
    <row r="19" spans="2:10" ht="14.25">
      <c r="B19" s="139" t="s">
        <v>36</v>
      </c>
      <c r="C19" s="215">
        <v>0.1198129</v>
      </c>
      <c r="D19" s="264">
        <v>0.11713759999999999</v>
      </c>
      <c r="E19" s="264">
        <v>0.1197223</v>
      </c>
      <c r="F19" s="264">
        <v>0.12036479999999999</v>
      </c>
      <c r="G19" s="461">
        <v>0.11797234144093302</v>
      </c>
      <c r="H19" s="462">
        <v>0.12896643836344776</v>
      </c>
      <c r="I19" s="462">
        <v>9.6064855674841493E-2</v>
      </c>
      <c r="J19" s="357">
        <v>0.11118539240218198</v>
      </c>
    </row>
    <row r="20" spans="2:10" ht="14.25">
      <c r="B20" s="139" t="s">
        <v>37</v>
      </c>
      <c r="C20" s="390" t="s">
        <v>77</v>
      </c>
      <c r="D20" s="464" t="s">
        <v>77</v>
      </c>
      <c r="E20" s="464" t="s">
        <v>77</v>
      </c>
      <c r="F20" s="464" t="s">
        <v>77</v>
      </c>
      <c r="G20" s="465" t="s">
        <v>77</v>
      </c>
      <c r="H20" s="462">
        <v>0.14999996504669857</v>
      </c>
      <c r="I20" s="462">
        <v>0.14999998606521181</v>
      </c>
      <c r="J20" s="357">
        <v>0.14953366493965317</v>
      </c>
    </row>
    <row r="21" spans="2:10" ht="14.25">
      <c r="B21" s="139" t="s">
        <v>38</v>
      </c>
      <c r="C21" s="215">
        <v>3.3607699999999997E-2</v>
      </c>
      <c r="D21" s="264">
        <v>7.0924000000000001E-2</v>
      </c>
      <c r="E21" s="264">
        <v>7.1881600000000004E-2</v>
      </c>
      <c r="F21" s="264">
        <v>5.39421E-2</v>
      </c>
      <c r="G21" s="461">
        <v>4.9894544793855938E-2</v>
      </c>
      <c r="H21" s="462">
        <v>6.1273184176930069E-2</v>
      </c>
      <c r="I21" s="462">
        <v>8.2970565473606248E-2</v>
      </c>
      <c r="J21" s="357">
        <v>4.306244696050579E-2</v>
      </c>
    </row>
    <row r="22" spans="2:10" ht="14.25">
      <c r="B22" s="139" t="s">
        <v>39</v>
      </c>
      <c r="C22" s="243">
        <v>3.594E-2</v>
      </c>
      <c r="D22" s="463">
        <v>2.9962599999999999E-2</v>
      </c>
      <c r="E22" s="463">
        <v>3.1707699999999998E-2</v>
      </c>
      <c r="F22" s="463">
        <v>2.5971600000000001E-2</v>
      </c>
      <c r="G22" s="461">
        <v>2.276446413822137E-2</v>
      </c>
      <c r="H22" s="462">
        <v>2.1810942400456539E-2</v>
      </c>
      <c r="I22" s="462">
        <v>2.4077261744796668E-2</v>
      </c>
      <c r="J22" s="357">
        <v>2.7789153984223006E-2</v>
      </c>
    </row>
    <row r="23" spans="2:10" ht="14.25">
      <c r="B23" s="139" t="s">
        <v>40</v>
      </c>
      <c r="C23" s="215">
        <v>0.14368929999999999</v>
      </c>
      <c r="D23" s="264">
        <v>0.14574970000000001</v>
      </c>
      <c r="E23" s="264">
        <v>0.10625950000000001</v>
      </c>
      <c r="F23" s="264">
        <v>0.1032105</v>
      </c>
      <c r="G23" s="461">
        <v>9.688197433814659E-2</v>
      </c>
      <c r="H23" s="462">
        <v>9.791734824448009E-2</v>
      </c>
      <c r="I23" s="462">
        <v>7.5156647938138643E-2</v>
      </c>
      <c r="J23" s="357">
        <v>0.13069590512334217</v>
      </c>
    </row>
    <row r="24" spans="2:10" ht="14.25">
      <c r="B24" s="139" t="s">
        <v>196</v>
      </c>
      <c r="C24" s="390" t="s">
        <v>77</v>
      </c>
      <c r="D24" s="464" t="s">
        <v>77</v>
      </c>
      <c r="E24" s="464" t="s">
        <v>77</v>
      </c>
      <c r="F24" s="464" t="s">
        <v>77</v>
      </c>
      <c r="G24" s="465" t="s">
        <v>77</v>
      </c>
      <c r="H24" s="462">
        <v>0.13247337413567975</v>
      </c>
      <c r="I24" s="462">
        <v>0.12114955877317962</v>
      </c>
      <c r="J24" s="357">
        <v>0.12386738840567263</v>
      </c>
    </row>
    <row r="25" spans="2:10" ht="14.25">
      <c r="B25" s="139" t="s">
        <v>42</v>
      </c>
      <c r="C25" s="382">
        <v>9.1598200000000005E-2</v>
      </c>
      <c r="D25" s="468">
        <v>0.14574970000000001</v>
      </c>
      <c r="E25" s="468">
        <v>0.10625950000000001</v>
      </c>
      <c r="F25" s="468">
        <v>0.1120216</v>
      </c>
      <c r="G25" s="469">
        <v>0.13556569673656374</v>
      </c>
      <c r="H25" s="470">
        <v>0.13519678666861312</v>
      </c>
      <c r="I25" s="462">
        <v>0.11157304919872033</v>
      </c>
      <c r="J25" s="428" t="s">
        <v>77</v>
      </c>
    </row>
    <row r="26" spans="2:10">
      <c r="B26" s="35" t="s">
        <v>185</v>
      </c>
      <c r="I26" s="152"/>
      <c r="J26" s="35"/>
    </row>
    <row r="29" spans="2:10">
      <c r="C29" s="73"/>
    </row>
    <row r="33" spans="3:3">
      <c r="C33" s="73"/>
    </row>
    <row r="38" spans="3:3">
      <c r="C38" s="73"/>
    </row>
  </sheetData>
  <mergeCells count="2">
    <mergeCell ref="B4:B5"/>
    <mergeCell ref="C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23"/>
  <sheetViews>
    <sheetView showGridLines="0" workbookViewId="0"/>
  </sheetViews>
  <sheetFormatPr defaultColWidth="8.85546875" defaultRowHeight="14.25"/>
  <cols>
    <col min="1" max="1" width="1.7109375" style="31" customWidth="1"/>
    <col min="2" max="2" width="62.85546875" style="31" bestFit="1" customWidth="1"/>
    <col min="3" max="6" width="15.7109375" style="31" customWidth="1"/>
    <col min="7" max="7" width="15.7109375" style="17" customWidth="1"/>
    <col min="8" max="10" width="15.7109375" style="31" customWidth="1"/>
    <col min="11" max="11" width="38.85546875" style="31" customWidth="1"/>
    <col min="12" max="12" width="12.85546875" style="31" customWidth="1"/>
    <col min="13" max="16384" width="8.85546875" style="31"/>
  </cols>
  <sheetData>
    <row r="2" spans="1:12" ht="15">
      <c r="B2" s="57" t="s">
        <v>207</v>
      </c>
      <c r="C2" s="57"/>
      <c r="D2" s="57"/>
      <c r="E2" s="30"/>
      <c r="F2" s="30"/>
    </row>
    <row r="4" spans="1:12" ht="15">
      <c r="B4" s="589" t="s">
        <v>108</v>
      </c>
      <c r="C4" s="651" t="s">
        <v>2</v>
      </c>
      <c r="D4" s="652"/>
      <c r="E4" s="652"/>
      <c r="F4" s="652"/>
      <c r="G4" s="652"/>
      <c r="H4" s="652"/>
      <c r="I4" s="652"/>
      <c r="J4" s="652"/>
    </row>
    <row r="5" spans="1:12" ht="15">
      <c r="B5" s="589"/>
      <c r="C5" s="125">
        <v>2015</v>
      </c>
      <c r="D5" s="5">
        <v>2016</v>
      </c>
      <c r="E5" s="125">
        <v>2017</v>
      </c>
      <c r="F5" s="125">
        <v>2018</v>
      </c>
      <c r="G5" s="127">
        <v>2019</v>
      </c>
      <c r="H5" s="141">
        <v>2020</v>
      </c>
      <c r="I5" s="126">
        <v>2021</v>
      </c>
      <c r="J5" s="140">
        <v>2022</v>
      </c>
    </row>
    <row r="6" spans="1:12">
      <c r="B6" s="387" t="s">
        <v>66</v>
      </c>
      <c r="C6" s="471">
        <v>9.9700000000000006</v>
      </c>
      <c r="D6" s="472">
        <v>10.14</v>
      </c>
      <c r="E6" s="472">
        <v>10.28</v>
      </c>
      <c r="F6" s="472">
        <v>10.01</v>
      </c>
      <c r="G6" s="264">
        <v>9.813022840992644E-2</v>
      </c>
      <c r="H6" s="473">
        <v>0.10076010003377775</v>
      </c>
      <c r="I6" s="474">
        <v>9.5123272494200259E-2</v>
      </c>
      <c r="J6" s="357">
        <v>8.2345108064912423E-2</v>
      </c>
    </row>
    <row r="7" spans="1:12">
      <c r="B7" s="387" t="s">
        <v>120</v>
      </c>
      <c r="C7" s="471">
        <v>10.11</v>
      </c>
      <c r="D7" s="472">
        <v>9.34</v>
      </c>
      <c r="E7" s="472">
        <v>9.8699999999999992</v>
      </c>
      <c r="F7" s="472">
        <v>9.8699999999999992</v>
      </c>
      <c r="G7" s="264">
        <v>0.10079503056986298</v>
      </c>
      <c r="H7" s="473">
        <v>0.10100867007280101</v>
      </c>
      <c r="I7" s="474">
        <v>0.10098540137259522</v>
      </c>
      <c r="J7" s="357">
        <v>0.10283705270798887</v>
      </c>
    </row>
    <row r="8" spans="1:12">
      <c r="B8" s="387" t="s">
        <v>125</v>
      </c>
      <c r="C8" s="471">
        <v>10.050000000000001</v>
      </c>
      <c r="D8" s="472">
        <v>10.24</v>
      </c>
      <c r="E8" s="472">
        <v>9.9600000000000009</v>
      </c>
      <c r="F8" s="472">
        <v>10.44</v>
      </c>
      <c r="G8" s="264">
        <v>0.10128819700877228</v>
      </c>
      <c r="H8" s="473">
        <v>8.9530774042255915E-2</v>
      </c>
      <c r="I8" s="474">
        <v>8.4498528506969733E-2</v>
      </c>
      <c r="J8" s="357">
        <v>8.5242507993659344E-2</v>
      </c>
    </row>
    <row r="9" spans="1:12">
      <c r="B9" s="387" t="s">
        <v>128</v>
      </c>
      <c r="C9" s="471">
        <v>10.57</v>
      </c>
      <c r="D9" s="472">
        <v>12.07</v>
      </c>
      <c r="E9" s="472">
        <v>11.32</v>
      </c>
      <c r="F9" s="472">
        <v>11.35</v>
      </c>
      <c r="G9" s="264">
        <v>0.11270449626827728</v>
      </c>
      <c r="H9" s="473">
        <v>8.4010328181562774E-2</v>
      </c>
      <c r="I9" s="474">
        <v>8.9857373770930227E-2</v>
      </c>
      <c r="J9" s="357">
        <v>8.5054367594060265E-2</v>
      </c>
    </row>
    <row r="10" spans="1:12">
      <c r="B10" s="387" t="s">
        <v>123</v>
      </c>
      <c r="C10" s="471">
        <v>12.29</v>
      </c>
      <c r="D10" s="472">
        <v>12.03</v>
      </c>
      <c r="E10" s="472">
        <v>11.91</v>
      </c>
      <c r="F10" s="472">
        <v>11.68</v>
      </c>
      <c r="G10" s="264">
        <v>0.11509588697993328</v>
      </c>
      <c r="H10" s="473">
        <v>9.9203785959374E-2</v>
      </c>
      <c r="I10" s="474">
        <v>9.8256517056119111E-2</v>
      </c>
      <c r="J10" s="357">
        <v>9.5011218593507404E-2</v>
      </c>
    </row>
    <row r="11" spans="1:12">
      <c r="A11" s="17"/>
      <c r="B11" s="387" t="s">
        <v>124</v>
      </c>
      <c r="C11" s="471">
        <v>12.5</v>
      </c>
      <c r="D11" s="472">
        <v>12.02</v>
      </c>
      <c r="E11" s="472">
        <v>11.91</v>
      </c>
      <c r="F11" s="472">
        <v>12.42</v>
      </c>
      <c r="G11" s="264">
        <v>0.12080489824713789</v>
      </c>
      <c r="H11" s="473">
        <v>9.6517657868696857E-2</v>
      </c>
      <c r="I11" s="474">
        <v>9.5074091481865464E-2</v>
      </c>
      <c r="J11" s="357">
        <v>9.7653754782460189E-2</v>
      </c>
    </row>
    <row r="12" spans="1:12">
      <c r="A12" s="17"/>
      <c r="B12" s="388" t="s">
        <v>67</v>
      </c>
      <c r="C12" s="471">
        <v>14.47</v>
      </c>
      <c r="D12" s="472">
        <v>13.76</v>
      </c>
      <c r="E12" s="472">
        <v>13.88</v>
      </c>
      <c r="F12" s="475">
        <v>13.77</v>
      </c>
      <c r="G12" s="468">
        <v>0.13918151872552434</v>
      </c>
      <c r="H12" s="476">
        <v>0.11688282616022289</v>
      </c>
      <c r="I12" s="477">
        <v>0.11125728059959707</v>
      </c>
      <c r="J12" s="357">
        <v>0.10601344117119406</v>
      </c>
    </row>
    <row r="13" spans="1:12" ht="15">
      <c r="B13" s="31" t="s">
        <v>186</v>
      </c>
      <c r="C13" s="35"/>
      <c r="D13" s="35"/>
      <c r="E13" s="35"/>
      <c r="F13" s="35"/>
      <c r="I13" s="35"/>
      <c r="J13" s="35"/>
    </row>
    <row r="14" spans="1:12">
      <c r="L14" s="7"/>
    </row>
    <row r="16" spans="1:12" ht="15">
      <c r="B16" s="57"/>
      <c r="D16" s="57"/>
    </row>
    <row r="17" spans="2:2" ht="15">
      <c r="B17" s="145"/>
    </row>
    <row r="18" spans="2:2" ht="15">
      <c r="B18" s="145"/>
    </row>
    <row r="19" spans="2:2" ht="15">
      <c r="B19" s="145"/>
    </row>
    <row r="20" spans="2:2" ht="15">
      <c r="B20" s="145"/>
    </row>
    <row r="21" spans="2:2" ht="15">
      <c r="B21" s="145"/>
    </row>
    <row r="22" spans="2:2" ht="15">
      <c r="B22" s="145"/>
    </row>
    <row r="23" spans="2:2" ht="15">
      <c r="B23" s="145"/>
    </row>
  </sheetData>
  <mergeCells count="2">
    <mergeCell ref="B4:B5"/>
    <mergeCell ref="C4:J4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22"/>
  <sheetViews>
    <sheetView showGridLines="0" workbookViewId="0"/>
  </sheetViews>
  <sheetFormatPr defaultColWidth="8.85546875" defaultRowHeight="14.25"/>
  <cols>
    <col min="1" max="1" width="1.7109375" style="31" customWidth="1"/>
    <col min="2" max="2" width="15.7109375" style="31" customWidth="1"/>
    <col min="3" max="3" width="20.7109375" style="31" customWidth="1"/>
    <col min="4" max="4" width="19" style="31" customWidth="1"/>
    <col min="5" max="5" width="20.42578125" style="31" customWidth="1"/>
    <col min="6" max="6" width="22.28515625" style="31" customWidth="1"/>
    <col min="7" max="7" width="20.7109375" style="31" customWidth="1"/>
    <col min="8" max="8" width="18.28515625" style="31" customWidth="1"/>
    <col min="9" max="9" width="19.85546875" style="31" customWidth="1"/>
    <col min="10" max="10" width="31.7109375" style="17" customWidth="1"/>
    <col min="11" max="11" width="24.85546875" style="31" customWidth="1"/>
    <col min="12" max="12" width="19.85546875" style="31" customWidth="1"/>
    <col min="13" max="16384" width="8.85546875" style="31"/>
  </cols>
  <sheetData>
    <row r="2" spans="1:12" ht="15">
      <c r="B2" s="32" t="s">
        <v>208</v>
      </c>
      <c r="C2" s="32"/>
    </row>
    <row r="3" spans="1:12" ht="15">
      <c r="B3" s="32"/>
      <c r="C3" s="32"/>
    </row>
    <row r="4" spans="1:12" ht="14.25" customHeight="1">
      <c r="C4" s="654" t="s">
        <v>169</v>
      </c>
      <c r="D4" s="655"/>
      <c r="E4" s="655"/>
      <c r="F4" s="655"/>
      <c r="G4" s="656"/>
      <c r="H4" s="657" t="s">
        <v>111</v>
      </c>
      <c r="I4" s="657" t="s">
        <v>173</v>
      </c>
      <c r="J4" s="657" t="s">
        <v>112</v>
      </c>
      <c r="K4" s="653" t="s">
        <v>113</v>
      </c>
    </row>
    <row r="5" spans="1:12" ht="15">
      <c r="B5" s="517" t="s">
        <v>2</v>
      </c>
      <c r="C5" s="79" t="s">
        <v>89</v>
      </c>
      <c r="D5" s="79" t="s">
        <v>104</v>
      </c>
      <c r="E5" s="80" t="s">
        <v>71</v>
      </c>
      <c r="F5" s="80" t="s">
        <v>95</v>
      </c>
      <c r="G5" s="80" t="s">
        <v>110</v>
      </c>
      <c r="H5" s="592"/>
      <c r="I5" s="592"/>
      <c r="J5" s="592"/>
      <c r="K5" s="597"/>
      <c r="L5" s="17"/>
    </row>
    <row r="6" spans="1:12">
      <c r="A6" s="17"/>
      <c r="B6" s="478">
        <v>2022</v>
      </c>
      <c r="C6" s="587">
        <v>241509.27417368282</v>
      </c>
      <c r="D6" s="587">
        <v>17919.600847000002</v>
      </c>
      <c r="E6" s="480">
        <f>+F6+G6</f>
        <v>186641.24087970931</v>
      </c>
      <c r="F6" s="481">
        <v>147351.78792374954</v>
      </c>
      <c r="G6" s="481">
        <v>39289.45295595978</v>
      </c>
      <c r="H6" s="482">
        <f t="shared" ref="H6" si="0">+(D6/C6)/15%</f>
        <v>0.49465597565728853</v>
      </c>
      <c r="I6" s="483">
        <f t="shared" ref="I6" si="1">(+(D6/E6)*100/15%)/100</f>
        <v>0.64007292859599818</v>
      </c>
      <c r="J6" s="484">
        <f>(+(D6/F9)*100/15%)/100</f>
        <v>0.85711813162781847</v>
      </c>
      <c r="K6" s="485">
        <f t="shared" ref="K6" si="2">+D6/((E6-D6)*15%)</f>
        <v>0.70805384314369357</v>
      </c>
      <c r="L6" s="17"/>
    </row>
    <row r="7" spans="1:12">
      <c r="A7" s="17"/>
      <c r="B7" s="478">
        <v>2021</v>
      </c>
      <c r="C7" s="479">
        <v>192401.97127189828</v>
      </c>
      <c r="D7" s="479">
        <v>13116.553394</v>
      </c>
      <c r="E7" s="480">
        <f t="shared" ref="E7:E9" si="3">+F7+G7</f>
        <v>157061.07836668525</v>
      </c>
      <c r="F7" s="481">
        <v>114814.42736490876</v>
      </c>
      <c r="G7" s="481">
        <v>42246.651001776503</v>
      </c>
      <c r="H7" s="482">
        <f t="shared" ref="H7:H12" si="4">+(D7/C7)/15%</f>
        <v>0.45448437308243489</v>
      </c>
      <c r="I7" s="483">
        <f t="shared" ref="I7:I12" si="5">(+(D7/E7)*100/15%)/100</f>
        <v>0.55674957922536017</v>
      </c>
      <c r="J7" s="484">
        <f>(+(D7/F10)*100/15%)/100</f>
        <v>0.84493625249693016</v>
      </c>
      <c r="K7" s="485">
        <f t="shared" ref="K7:K13" si="6">+D7/((E7-D7)*15%)</f>
        <v>0.60748187060207082</v>
      </c>
      <c r="L7" s="17"/>
    </row>
    <row r="8" spans="1:12">
      <c r="A8" s="17"/>
      <c r="B8" s="478">
        <v>2020</v>
      </c>
      <c r="C8" s="479">
        <v>176320</v>
      </c>
      <c r="D8" s="479">
        <v>13040.569837999999</v>
      </c>
      <c r="E8" s="480">
        <f t="shared" si="3"/>
        <v>147802.31694614494</v>
      </c>
      <c r="F8" s="481">
        <v>107705.92301386528</v>
      </c>
      <c r="G8" s="481">
        <v>40096.393932279672</v>
      </c>
      <c r="H8" s="482">
        <f t="shared" si="4"/>
        <v>0.49306449780701755</v>
      </c>
      <c r="I8" s="483">
        <f t="shared" si="5"/>
        <v>0.58819871061297913</v>
      </c>
      <c r="J8" s="484">
        <f>(+(D8/F11)*100/15%)/100</f>
        <v>0.82994928402872492</v>
      </c>
      <c r="K8" s="485">
        <f t="shared" si="6"/>
        <v>0.64511728379097932</v>
      </c>
      <c r="L8" s="17"/>
    </row>
    <row r="9" spans="1:12">
      <c r="B9" s="478">
        <v>2019</v>
      </c>
      <c r="C9" s="479">
        <v>221829</v>
      </c>
      <c r="D9" s="479">
        <v>16732.387052999999</v>
      </c>
      <c r="E9" s="480">
        <f t="shared" si="3"/>
        <v>178323.0257931379</v>
      </c>
      <c r="F9" s="481">
        <v>139378.69383276661</v>
      </c>
      <c r="G9" s="481">
        <v>38944.331960371273</v>
      </c>
      <c r="H9" s="482">
        <f t="shared" si="4"/>
        <v>0.50286142488132746</v>
      </c>
      <c r="I9" s="483">
        <f t="shared" si="5"/>
        <v>0.62554595248625799</v>
      </c>
      <c r="J9" s="484">
        <f>(+(D9/F12)*100/15%)/100</f>
        <v>0.97881993144731083</v>
      </c>
      <c r="K9" s="485">
        <f t="shared" si="6"/>
        <v>0.6903199831977147</v>
      </c>
      <c r="L9" s="17"/>
    </row>
    <row r="10" spans="1:12">
      <c r="B10" s="478">
        <v>2018</v>
      </c>
      <c r="C10" s="479">
        <v>185560.65388299999</v>
      </c>
      <c r="D10" s="479">
        <v>16213.059380000001</v>
      </c>
      <c r="E10" s="480">
        <v>145616.68031473574</v>
      </c>
      <c r="F10" s="480">
        <v>103491.4634505531</v>
      </c>
      <c r="G10" s="480">
        <v>31427.261445310061</v>
      </c>
      <c r="H10" s="486">
        <f t="shared" si="4"/>
        <v>0.58248912294459032</v>
      </c>
      <c r="I10" s="487">
        <f t="shared" si="5"/>
        <v>0.74227116220280598</v>
      </c>
      <c r="J10" s="488">
        <f>(+(D10/F13)*100/15%)/100</f>
        <v>0.94655935377803868</v>
      </c>
      <c r="K10" s="489">
        <f t="shared" si="6"/>
        <v>0.83527077335684963</v>
      </c>
    </row>
    <row r="11" spans="1:12">
      <c r="B11" s="280">
        <v>2017</v>
      </c>
      <c r="C11" s="479">
        <v>173382.92259</v>
      </c>
      <c r="D11" s="172">
        <v>13306.236999999999</v>
      </c>
      <c r="E11" s="481">
        <v>143901.43528580474</v>
      </c>
      <c r="F11" s="481">
        <v>104749.93343126301</v>
      </c>
      <c r="G11" s="481">
        <v>29938.444304347977</v>
      </c>
      <c r="H11" s="490">
        <f t="shared" si="4"/>
        <v>0.51163197240846936</v>
      </c>
      <c r="I11" s="487">
        <f t="shared" si="5"/>
        <v>0.61645143768359167</v>
      </c>
      <c r="J11" s="488">
        <f>(+(D11/F12)*100/15%)/100</f>
        <v>0.77839521324164462</v>
      </c>
      <c r="K11" s="485">
        <f t="shared" si="6"/>
        <v>0.67926116603866715</v>
      </c>
    </row>
    <row r="12" spans="1:12">
      <c r="B12" s="280">
        <v>2016</v>
      </c>
      <c r="C12" s="479">
        <v>165782.17634800001</v>
      </c>
      <c r="D12" s="491">
        <v>11985.839663000001</v>
      </c>
      <c r="E12" s="481">
        <v>133414.63439770057</v>
      </c>
      <c r="F12" s="481">
        <v>113962.99098145675</v>
      </c>
      <c r="G12" s="481">
        <v>28664.700966437573</v>
      </c>
      <c r="H12" s="490">
        <f t="shared" si="4"/>
        <v>0.48199148734542063</v>
      </c>
      <c r="I12" s="492">
        <f t="shared" si="5"/>
        <v>0.59892678276312483</v>
      </c>
      <c r="J12" s="493">
        <f>(+(D12/F11)*100/15%)/100</f>
        <v>0.76282242036714476</v>
      </c>
      <c r="K12" s="485">
        <f t="shared" si="6"/>
        <v>0.65804488900604075</v>
      </c>
    </row>
    <row r="13" spans="1:12">
      <c r="B13" s="280">
        <v>2015</v>
      </c>
      <c r="C13" s="479">
        <v>158699.11425399999</v>
      </c>
      <c r="D13" s="479">
        <v>11293.358166</v>
      </c>
      <c r="E13" s="481">
        <v>133409.79170422463</v>
      </c>
      <c r="F13" s="481">
        <v>114189.41886942566</v>
      </c>
      <c r="G13" s="481">
        <v>29918.328253671531</v>
      </c>
      <c r="H13" s="494">
        <f>+(D13/C13)/15.5%</f>
        <v>0.45911015702269237</v>
      </c>
      <c r="I13" s="487">
        <f>(+(D13/E13)*100/15.5%)/100</f>
        <v>0.54613963738172067</v>
      </c>
      <c r="J13" s="488">
        <f>(+(D13/F10)*100/15.5%)/100</f>
        <v>0.70402304533385873</v>
      </c>
      <c r="K13" s="485">
        <f t="shared" si="6"/>
        <v>0.61653499253589961</v>
      </c>
    </row>
    <row r="14" spans="1:12" ht="15">
      <c r="B14" s="17" t="s">
        <v>201</v>
      </c>
      <c r="C14" s="18"/>
      <c r="D14" s="82"/>
      <c r="E14" s="18"/>
      <c r="F14" s="18"/>
      <c r="G14" s="18"/>
      <c r="H14" s="83"/>
      <c r="I14" s="84"/>
      <c r="J14" s="85"/>
      <c r="K14" s="86"/>
    </row>
    <row r="15" spans="1:12">
      <c r="E15" s="7"/>
      <c r="F15" s="54"/>
    </row>
    <row r="16" spans="1:12">
      <c r="E16" s="7"/>
      <c r="F16" s="54"/>
    </row>
    <row r="17" spans="3:7">
      <c r="E17" s="7"/>
      <c r="F17" s="7"/>
      <c r="G17" s="7"/>
    </row>
    <row r="18" spans="3:7">
      <c r="E18" s="7"/>
      <c r="F18" s="7"/>
      <c r="G18" s="7"/>
    </row>
    <row r="19" spans="3:7">
      <c r="E19" s="7"/>
      <c r="F19" s="7"/>
      <c r="G19" s="7"/>
    </row>
    <row r="22" spans="3:7">
      <c r="C22" s="7"/>
    </row>
  </sheetData>
  <mergeCells count="5">
    <mergeCell ref="K4:K5"/>
    <mergeCell ref="C4:G4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28"/>
  <sheetViews>
    <sheetView showGridLines="0" zoomScale="80" zoomScaleNormal="80" workbookViewId="0"/>
  </sheetViews>
  <sheetFormatPr defaultRowHeight="15"/>
  <cols>
    <col min="1" max="1" width="1.7109375" customWidth="1"/>
    <col min="2" max="2" width="20.7109375" customWidth="1"/>
    <col min="3" max="3" width="35.7109375" customWidth="1"/>
    <col min="4" max="4" width="41.7109375" customWidth="1"/>
    <col min="5" max="5" width="25.7109375" customWidth="1"/>
    <col min="6" max="6" width="27.42578125" customWidth="1"/>
    <col min="7" max="8" width="25.7109375" customWidth="1"/>
    <col min="9" max="9" width="18.28515625" style="3" customWidth="1"/>
    <col min="10" max="10" width="15.28515625" customWidth="1"/>
  </cols>
  <sheetData>
    <row r="2" spans="2:10">
      <c r="B2" s="32" t="s">
        <v>138</v>
      </c>
      <c r="C2" s="30"/>
      <c r="D2" s="30"/>
      <c r="E2" s="30"/>
      <c r="F2" s="30"/>
      <c r="G2" s="30"/>
      <c r="H2" s="31"/>
    </row>
    <row r="3" spans="2:10">
      <c r="B3" s="31"/>
      <c r="C3" s="31"/>
      <c r="D3" s="31"/>
      <c r="E3" s="31"/>
      <c r="F3" s="32"/>
      <c r="G3" s="31"/>
      <c r="H3" s="31"/>
    </row>
    <row r="4" spans="2:10">
      <c r="B4" s="589" t="s">
        <v>2</v>
      </c>
      <c r="C4" s="25" t="s">
        <v>46</v>
      </c>
      <c r="D4" s="5" t="s">
        <v>48</v>
      </c>
      <c r="E4" s="25" t="s">
        <v>51</v>
      </c>
      <c r="F4" s="25" t="s">
        <v>52</v>
      </c>
      <c r="G4" s="592" t="s">
        <v>54</v>
      </c>
      <c r="H4" s="24" t="s">
        <v>56</v>
      </c>
    </row>
    <row r="5" spans="2:10">
      <c r="B5" s="589"/>
      <c r="C5" s="25" t="s">
        <v>44</v>
      </c>
      <c r="D5" s="5" t="s">
        <v>1</v>
      </c>
      <c r="E5" s="25" t="s">
        <v>3</v>
      </c>
      <c r="F5" s="25" t="s">
        <v>4</v>
      </c>
      <c r="G5" s="592"/>
      <c r="H5" s="27" t="s">
        <v>55</v>
      </c>
    </row>
    <row r="6" spans="2:10">
      <c r="B6" s="589"/>
      <c r="C6" s="25" t="s">
        <v>45</v>
      </c>
      <c r="D6" s="25" t="s">
        <v>47</v>
      </c>
      <c r="E6" s="25" t="s">
        <v>49</v>
      </c>
      <c r="F6" s="22" t="s">
        <v>50</v>
      </c>
      <c r="G6" s="21" t="s">
        <v>57</v>
      </c>
      <c r="H6" s="23" t="s">
        <v>73</v>
      </c>
    </row>
    <row r="7" spans="2:10" s="120" customFormat="1">
      <c r="B7" s="261">
        <v>2022</v>
      </c>
      <c r="C7" s="101">
        <v>14124</v>
      </c>
      <c r="D7" s="272">
        <v>19889</v>
      </c>
      <c r="E7" s="272">
        <v>19847</v>
      </c>
      <c r="F7" s="272">
        <v>58</v>
      </c>
      <c r="G7" s="273">
        <v>19247</v>
      </c>
      <c r="H7" s="274">
        <f>+C7+D7+G7</f>
        <v>53260</v>
      </c>
      <c r="I7" s="18"/>
      <c r="J7" s="119"/>
    </row>
    <row r="8" spans="2:10" s="120" customFormat="1">
      <c r="B8" s="261">
        <v>2021</v>
      </c>
      <c r="C8" s="101">
        <v>12601</v>
      </c>
      <c r="D8" s="101">
        <v>19115</v>
      </c>
      <c r="E8" s="101">
        <v>19053</v>
      </c>
      <c r="F8" s="101">
        <v>86</v>
      </c>
      <c r="G8" s="274">
        <v>19727</v>
      </c>
      <c r="H8" s="274">
        <f>+C8+D8+G8</f>
        <v>51443</v>
      </c>
      <c r="I8" s="18"/>
      <c r="J8" s="119"/>
    </row>
    <row r="9" spans="2:10" s="120" customFormat="1">
      <c r="B9" s="261">
        <v>2020</v>
      </c>
      <c r="C9" s="101">
        <v>11859</v>
      </c>
      <c r="D9" s="101">
        <v>18485</v>
      </c>
      <c r="E9" s="101">
        <v>18411</v>
      </c>
      <c r="F9" s="101">
        <v>102</v>
      </c>
      <c r="G9" s="274">
        <v>18373</v>
      </c>
      <c r="H9" s="274">
        <f>C9+D9+G9</f>
        <v>48717</v>
      </c>
      <c r="I9" s="18"/>
      <c r="J9" s="119"/>
    </row>
    <row r="10" spans="2:10">
      <c r="B10" s="261">
        <v>2019</v>
      </c>
      <c r="C10" s="101">
        <v>13531</v>
      </c>
      <c r="D10" s="101">
        <v>16622</v>
      </c>
      <c r="E10" s="101">
        <v>16544</v>
      </c>
      <c r="F10" s="101">
        <v>107</v>
      </c>
      <c r="G10" s="274">
        <v>13847</v>
      </c>
      <c r="H10" s="274">
        <f>+C10+D10+G10</f>
        <v>44000</v>
      </c>
      <c r="I10" s="18"/>
      <c r="J10" s="3"/>
    </row>
    <row r="11" spans="2:10">
      <c r="B11" s="261">
        <v>2018</v>
      </c>
      <c r="C11" s="101">
        <v>12771</v>
      </c>
      <c r="D11" s="259">
        <v>15508</v>
      </c>
      <c r="E11" s="259">
        <v>15435</v>
      </c>
      <c r="F11" s="259">
        <v>99</v>
      </c>
      <c r="G11" s="259">
        <v>11716</v>
      </c>
      <c r="H11" s="274">
        <f>+C11+D11+G11</f>
        <v>39995</v>
      </c>
      <c r="J11" s="3"/>
    </row>
    <row r="12" spans="2:10">
      <c r="B12" s="261">
        <v>2017</v>
      </c>
      <c r="C12" s="101">
        <v>12052</v>
      </c>
      <c r="D12" s="259">
        <v>14918</v>
      </c>
      <c r="E12" s="259">
        <v>14835</v>
      </c>
      <c r="F12" s="259">
        <v>97</v>
      </c>
      <c r="G12" s="259">
        <v>10008</v>
      </c>
      <c r="H12" s="274">
        <f>+C12+D12+G12</f>
        <v>36978</v>
      </c>
    </row>
    <row r="13" spans="2:10">
      <c r="B13" s="261">
        <v>2016</v>
      </c>
      <c r="C13" s="101">
        <v>11786</v>
      </c>
      <c r="D13" s="259">
        <v>14375</v>
      </c>
      <c r="E13" s="259">
        <v>14309</v>
      </c>
      <c r="F13" s="259">
        <v>78</v>
      </c>
      <c r="G13" s="259">
        <v>8988</v>
      </c>
      <c r="H13" s="274">
        <f>+C13+D13+G13</f>
        <v>35149</v>
      </c>
    </row>
    <row r="14" spans="2:10">
      <c r="B14" s="261">
        <v>2015</v>
      </c>
      <c r="C14" s="101">
        <v>11689</v>
      </c>
      <c r="D14" s="259">
        <v>14796</v>
      </c>
      <c r="E14" s="259">
        <v>14723</v>
      </c>
      <c r="F14" s="259">
        <v>99</v>
      </c>
      <c r="G14" s="259">
        <v>7933</v>
      </c>
      <c r="H14" s="275">
        <f>+C14+D14+G14</f>
        <v>34418</v>
      </c>
    </row>
    <row r="15" spans="2:10">
      <c r="B15" s="593" t="s">
        <v>176</v>
      </c>
      <c r="C15" s="593"/>
      <c r="D15" s="593"/>
      <c r="E15" s="593"/>
      <c r="F15" s="593"/>
      <c r="G15" s="593"/>
      <c r="H15" s="593"/>
    </row>
    <row r="16" spans="2:10" s="120" customFormat="1">
      <c r="B16" s="276">
        <v>2022</v>
      </c>
      <c r="C16" s="576">
        <f t="shared" ref="C16:H18" si="0">+C7/C8-1</f>
        <v>0.12086342353781454</v>
      </c>
      <c r="D16" s="576">
        <f t="shared" si="0"/>
        <v>4.0491760397593612E-2</v>
      </c>
      <c r="E16" s="576">
        <f t="shared" si="0"/>
        <v>4.1673227313284045E-2</v>
      </c>
      <c r="F16" s="277">
        <f t="shared" si="0"/>
        <v>-0.32558139534883723</v>
      </c>
      <c r="G16" s="278">
        <f t="shared" si="0"/>
        <v>-2.4332133623967134E-2</v>
      </c>
      <c r="H16" s="279">
        <f t="shared" si="0"/>
        <v>3.5320646152051882E-2</v>
      </c>
      <c r="I16" s="119"/>
    </row>
    <row r="17" spans="2:9" s="120" customFormat="1">
      <c r="B17" s="276">
        <v>2021</v>
      </c>
      <c r="C17" s="278">
        <f t="shared" si="0"/>
        <v>6.256851336537661E-2</v>
      </c>
      <c r="D17" s="278">
        <f t="shared" si="0"/>
        <v>3.4081687855017639E-2</v>
      </c>
      <c r="E17" s="278">
        <f t="shared" si="0"/>
        <v>3.4870457878442229E-2</v>
      </c>
      <c r="F17" s="277">
        <f t="shared" si="0"/>
        <v>-0.15686274509803921</v>
      </c>
      <c r="G17" s="278">
        <f t="shared" si="0"/>
        <v>7.3695096064877896E-2</v>
      </c>
      <c r="H17" s="279">
        <f t="shared" si="0"/>
        <v>5.5955826508200524E-2</v>
      </c>
      <c r="I17" s="119"/>
    </row>
    <row r="18" spans="2:9" s="120" customFormat="1">
      <c r="B18" s="276">
        <v>2020</v>
      </c>
      <c r="C18" s="277">
        <f t="shared" si="0"/>
        <v>-0.12356810287487996</v>
      </c>
      <c r="D18" s="278">
        <f t="shared" si="0"/>
        <v>0.11208037540608839</v>
      </c>
      <c r="E18" s="279">
        <f t="shared" si="0"/>
        <v>0.11285058027079309</v>
      </c>
      <c r="F18" s="277">
        <f t="shared" si="0"/>
        <v>-4.6728971962616828E-2</v>
      </c>
      <c r="G18" s="278">
        <f t="shared" si="0"/>
        <v>0.32685780313425283</v>
      </c>
      <c r="H18" s="279">
        <f t="shared" si="0"/>
        <v>0.10720454545454539</v>
      </c>
      <c r="I18" s="119"/>
    </row>
    <row r="19" spans="2:9">
      <c r="B19" s="276">
        <v>2019</v>
      </c>
      <c r="C19" s="266">
        <f t="shared" ref="C19:H19" si="1">+C10/C11-1</f>
        <v>5.9509826951687383E-2</v>
      </c>
      <c r="D19" s="266">
        <f t="shared" si="1"/>
        <v>7.1833892184678838E-2</v>
      </c>
      <c r="E19" s="266">
        <f t="shared" si="1"/>
        <v>7.1849692257855535E-2</v>
      </c>
      <c r="F19" s="266">
        <f t="shared" si="1"/>
        <v>8.0808080808080884E-2</v>
      </c>
      <c r="G19" s="266">
        <f t="shared" si="1"/>
        <v>0.18188801638784557</v>
      </c>
      <c r="H19" s="215">
        <f t="shared" si="1"/>
        <v>0.10013751718964881</v>
      </c>
    </row>
    <row r="20" spans="2:9">
      <c r="B20" s="261">
        <v>2018</v>
      </c>
      <c r="C20" s="266">
        <f>+C11/C12-1</f>
        <v>5.9658148025224067E-2</v>
      </c>
      <c r="D20" s="266">
        <f t="shared" ref="D20:H22" si="2">+D11/D12-1</f>
        <v>3.9549537471510909E-2</v>
      </c>
      <c r="E20" s="266">
        <f t="shared" si="2"/>
        <v>4.0444893832153772E-2</v>
      </c>
      <c r="F20" s="266">
        <f t="shared" si="2"/>
        <v>2.0618556701030855E-2</v>
      </c>
      <c r="G20" s="266">
        <f t="shared" si="2"/>
        <v>0.17066346922462028</v>
      </c>
      <c r="H20" s="215">
        <f t="shared" si="2"/>
        <v>8.1589052950402863E-2</v>
      </c>
    </row>
    <row r="21" spans="2:9">
      <c r="B21" s="261">
        <v>2017</v>
      </c>
      <c r="C21" s="266">
        <f>+C12/C13-1</f>
        <v>2.256914983879188E-2</v>
      </c>
      <c r="D21" s="266">
        <f t="shared" si="2"/>
        <v>3.7773913043478213E-2</v>
      </c>
      <c r="E21" s="266">
        <f t="shared" si="2"/>
        <v>3.676008106785944E-2</v>
      </c>
      <c r="F21" s="266">
        <f t="shared" si="2"/>
        <v>0.24358974358974361</v>
      </c>
      <c r="G21" s="266">
        <f t="shared" si="2"/>
        <v>0.1134846461949266</v>
      </c>
      <c r="H21" s="215">
        <f t="shared" si="2"/>
        <v>5.203561979003668E-2</v>
      </c>
    </row>
    <row r="22" spans="2:9">
      <c r="B22" s="268">
        <v>2016</v>
      </c>
      <c r="C22" s="269">
        <f>+C13/C14-1</f>
        <v>8.2984002053212436E-3</v>
      </c>
      <c r="D22" s="270">
        <f t="shared" si="2"/>
        <v>-2.8453636117869663E-2</v>
      </c>
      <c r="E22" s="270">
        <f t="shared" si="2"/>
        <v>-2.8119269170685302E-2</v>
      </c>
      <c r="F22" s="269">
        <f t="shared" si="2"/>
        <v>-0.21212121212121215</v>
      </c>
      <c r="G22" s="269">
        <f t="shared" si="2"/>
        <v>0.13298878104122025</v>
      </c>
      <c r="H22" s="271">
        <f t="shared" si="2"/>
        <v>2.1238886629089349E-2</v>
      </c>
    </row>
    <row r="23" spans="2:9">
      <c r="B23" s="16" t="s">
        <v>181</v>
      </c>
      <c r="C23" s="31"/>
      <c r="D23" s="31"/>
      <c r="E23" s="31"/>
      <c r="F23" s="31"/>
      <c r="G23" s="31"/>
      <c r="H23" s="31"/>
    </row>
    <row r="28" spans="2:9">
      <c r="C28" s="73"/>
      <c r="D28" s="73"/>
      <c r="E28" s="73"/>
      <c r="F28" s="73"/>
      <c r="G28" s="73"/>
    </row>
  </sheetData>
  <mergeCells count="3">
    <mergeCell ref="G4:G5"/>
    <mergeCell ref="B15:H15"/>
    <mergeCell ref="B4:B6"/>
  </mergeCells>
  <pageMargins left="0.7" right="0.7" top="0.75" bottom="0.75" header="0.3" footer="0.3"/>
  <pageSetup paperSize="9" orientation="portrait" r:id="rId1"/>
  <ignoredErrors>
    <ignoredError sqref="H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26"/>
  <sheetViews>
    <sheetView showGridLines="0" workbookViewId="0"/>
  </sheetViews>
  <sheetFormatPr defaultColWidth="8.85546875" defaultRowHeight="14.25"/>
  <cols>
    <col min="1" max="1" width="1.7109375" style="31" customWidth="1"/>
    <col min="2" max="2" width="20.7109375" style="31" customWidth="1"/>
    <col min="3" max="6" width="30.7109375" style="31" customWidth="1"/>
    <col min="7" max="7" width="5.7109375" style="31" customWidth="1"/>
    <col min="8" max="10" width="8.85546875" style="31"/>
    <col min="11" max="11" width="4" style="31" customWidth="1"/>
    <col min="12" max="16384" width="8.85546875" style="31"/>
  </cols>
  <sheetData>
    <row r="2" spans="2:9" ht="15">
      <c r="B2" s="32" t="s">
        <v>161</v>
      </c>
      <c r="C2" s="30"/>
      <c r="D2" s="30"/>
      <c r="E2" s="30"/>
      <c r="F2" s="30"/>
    </row>
    <row r="4" spans="2:9">
      <c r="B4" s="589" t="s">
        <v>2</v>
      </c>
      <c r="C4" s="592" t="s">
        <v>60</v>
      </c>
      <c r="D4" s="592" t="s">
        <v>61</v>
      </c>
      <c r="E4" s="592" t="s">
        <v>64</v>
      </c>
      <c r="F4" s="592" t="s">
        <v>65</v>
      </c>
    </row>
    <row r="5" spans="2:9">
      <c r="B5" s="589"/>
      <c r="C5" s="592"/>
      <c r="D5" s="592"/>
      <c r="E5" s="592"/>
      <c r="F5" s="592"/>
    </row>
    <row r="6" spans="2:9" ht="15">
      <c r="B6" s="589"/>
      <c r="C6" s="5" t="s">
        <v>45</v>
      </c>
      <c r="D6" s="5" t="s">
        <v>47</v>
      </c>
      <c r="E6" s="5" t="s">
        <v>49</v>
      </c>
      <c r="F6" s="5" t="s">
        <v>74</v>
      </c>
    </row>
    <row r="7" spans="2:9">
      <c r="B7" s="115">
        <v>2022</v>
      </c>
      <c r="C7" s="257">
        <v>45707</v>
      </c>
      <c r="D7" s="257">
        <v>2923</v>
      </c>
      <c r="E7" s="257">
        <v>4630</v>
      </c>
      <c r="F7" s="258">
        <f t="shared" ref="F7:F14" si="0">+C7+D7+E7</f>
        <v>53260</v>
      </c>
    </row>
    <row r="8" spans="2:9">
      <c r="B8" s="115">
        <v>2021</v>
      </c>
      <c r="C8" s="257">
        <v>42586</v>
      </c>
      <c r="D8" s="259">
        <v>3558</v>
      </c>
      <c r="E8" s="259">
        <v>5299</v>
      </c>
      <c r="F8" s="260">
        <f t="shared" si="0"/>
        <v>51443</v>
      </c>
      <c r="I8" s="54"/>
    </row>
    <row r="9" spans="2:9">
      <c r="B9" s="115">
        <v>2020</v>
      </c>
      <c r="C9" s="257">
        <v>38430</v>
      </c>
      <c r="D9" s="259">
        <v>5338</v>
      </c>
      <c r="E9" s="259">
        <v>4949</v>
      </c>
      <c r="F9" s="260">
        <f t="shared" si="0"/>
        <v>48717</v>
      </c>
      <c r="G9" s="54"/>
      <c r="I9" s="54"/>
    </row>
    <row r="10" spans="2:9">
      <c r="B10" s="115">
        <v>2019</v>
      </c>
      <c r="C10" s="257">
        <v>39300</v>
      </c>
      <c r="D10" s="259">
        <v>1815</v>
      </c>
      <c r="E10" s="259">
        <v>2885</v>
      </c>
      <c r="F10" s="260">
        <f t="shared" si="0"/>
        <v>44000</v>
      </c>
      <c r="G10" s="17"/>
    </row>
    <row r="11" spans="2:9">
      <c r="B11" s="261">
        <v>2018</v>
      </c>
      <c r="C11" s="101">
        <v>33452</v>
      </c>
      <c r="D11" s="259">
        <v>2587</v>
      </c>
      <c r="E11" s="260">
        <v>3956</v>
      </c>
      <c r="F11" s="260">
        <f t="shared" si="0"/>
        <v>39995</v>
      </c>
      <c r="G11" s="17"/>
    </row>
    <row r="12" spans="2:9">
      <c r="B12" s="261">
        <v>2017</v>
      </c>
      <c r="C12" s="101">
        <v>29733</v>
      </c>
      <c r="D12" s="259">
        <v>3395</v>
      </c>
      <c r="E12" s="260">
        <v>3850</v>
      </c>
      <c r="F12" s="260">
        <f t="shared" si="0"/>
        <v>36978</v>
      </c>
      <c r="G12" s="17"/>
    </row>
    <row r="13" spans="2:9">
      <c r="B13" s="261">
        <v>2016</v>
      </c>
      <c r="C13" s="101">
        <v>28338</v>
      </c>
      <c r="D13" s="259">
        <v>3667</v>
      </c>
      <c r="E13" s="260">
        <v>3144</v>
      </c>
      <c r="F13" s="260">
        <f t="shared" si="0"/>
        <v>35149</v>
      </c>
      <c r="G13" s="17"/>
    </row>
    <row r="14" spans="2:9">
      <c r="B14" s="261">
        <v>2015</v>
      </c>
      <c r="C14" s="101">
        <v>26801</v>
      </c>
      <c r="D14" s="259">
        <v>4845</v>
      </c>
      <c r="E14" s="260">
        <v>2772</v>
      </c>
      <c r="F14" s="260">
        <f t="shared" si="0"/>
        <v>34418</v>
      </c>
      <c r="G14" s="17"/>
    </row>
    <row r="15" spans="2:9">
      <c r="B15" s="593" t="s">
        <v>176</v>
      </c>
      <c r="C15" s="593"/>
      <c r="D15" s="593"/>
      <c r="E15" s="593"/>
      <c r="F15" s="593"/>
      <c r="G15" s="17"/>
    </row>
    <row r="16" spans="2:9">
      <c r="B16" s="139">
        <v>2022</v>
      </c>
      <c r="C16" s="262">
        <f t="shared" ref="C16:F22" si="1">+C7/C8-1</f>
        <v>7.3286995726294935E-2</v>
      </c>
      <c r="D16" s="263">
        <f t="shared" si="1"/>
        <v>-0.17847105115233275</v>
      </c>
      <c r="E16" s="263">
        <f t="shared" si="1"/>
        <v>-0.12625023589356488</v>
      </c>
      <c r="F16" s="215">
        <f t="shared" si="1"/>
        <v>3.5320646152051882E-2</v>
      </c>
      <c r="G16" s="17"/>
    </row>
    <row r="17" spans="2:7">
      <c r="B17" s="139">
        <v>2021</v>
      </c>
      <c r="C17" s="262">
        <f t="shared" si="1"/>
        <v>0.10814467863648192</v>
      </c>
      <c r="D17" s="263">
        <f t="shared" si="1"/>
        <v>-0.33345822405395276</v>
      </c>
      <c r="E17" s="264">
        <f t="shared" si="1"/>
        <v>7.0721357850070721E-2</v>
      </c>
      <c r="F17" s="215">
        <f t="shared" si="1"/>
        <v>5.5955826508200524E-2</v>
      </c>
      <c r="G17" s="17"/>
    </row>
    <row r="18" spans="2:7">
      <c r="B18" s="139">
        <v>2020</v>
      </c>
      <c r="C18" s="265">
        <f t="shared" si="1"/>
        <v>-2.2137404580152675E-2</v>
      </c>
      <c r="D18" s="264">
        <f t="shared" si="1"/>
        <v>1.9410468319559229</v>
      </c>
      <c r="E18" s="264">
        <f t="shared" si="1"/>
        <v>0.71542461005199298</v>
      </c>
      <c r="F18" s="215">
        <f t="shared" si="1"/>
        <v>0.10720454545454539</v>
      </c>
      <c r="G18" s="17"/>
    </row>
    <row r="19" spans="2:7">
      <c r="B19" s="115">
        <v>2019</v>
      </c>
      <c r="C19" s="262">
        <f t="shared" si="1"/>
        <v>0.17481764916895859</v>
      </c>
      <c r="D19" s="263">
        <f t="shared" si="1"/>
        <v>-0.29841515268650942</v>
      </c>
      <c r="E19" s="263">
        <f t="shared" si="1"/>
        <v>-0.27072800808897879</v>
      </c>
      <c r="F19" s="215">
        <f t="shared" si="1"/>
        <v>0.10013751718964881</v>
      </c>
      <c r="G19" s="17"/>
    </row>
    <row r="20" spans="2:7">
      <c r="B20" s="261">
        <v>2018</v>
      </c>
      <c r="C20" s="266">
        <f t="shared" si="1"/>
        <v>0.12507987757710293</v>
      </c>
      <c r="D20" s="267">
        <f t="shared" si="1"/>
        <v>-0.2379970544918999</v>
      </c>
      <c r="E20" s="266">
        <f t="shared" si="1"/>
        <v>2.7532467532467519E-2</v>
      </c>
      <c r="F20" s="215">
        <f t="shared" si="1"/>
        <v>8.1589052950402863E-2</v>
      </c>
      <c r="G20" s="17"/>
    </row>
    <row r="21" spans="2:7">
      <c r="B21" s="261">
        <v>2017</v>
      </c>
      <c r="C21" s="266">
        <f t="shared" si="1"/>
        <v>4.9227186110522902E-2</v>
      </c>
      <c r="D21" s="267">
        <f t="shared" si="1"/>
        <v>-7.4175074993182433E-2</v>
      </c>
      <c r="E21" s="266">
        <f t="shared" si="1"/>
        <v>0.22455470737913497</v>
      </c>
      <c r="F21" s="215">
        <f t="shared" si="1"/>
        <v>5.203561979003668E-2</v>
      </c>
      <c r="G21" s="17"/>
    </row>
    <row r="22" spans="2:7">
      <c r="B22" s="268">
        <v>2016</v>
      </c>
      <c r="C22" s="269">
        <f t="shared" si="1"/>
        <v>5.7348606395283719E-2</v>
      </c>
      <c r="D22" s="270">
        <f t="shared" si="1"/>
        <v>-0.24313725490196081</v>
      </c>
      <c r="E22" s="269">
        <f t="shared" si="1"/>
        <v>0.13419913419913421</v>
      </c>
      <c r="F22" s="271">
        <f t="shared" si="1"/>
        <v>2.1238886629089349E-2</v>
      </c>
    </row>
    <row r="23" spans="2:7">
      <c r="B23" s="16" t="s">
        <v>181</v>
      </c>
    </row>
    <row r="24" spans="2:7">
      <c r="D24" s="7"/>
      <c r="E24" s="7"/>
    </row>
    <row r="25" spans="2:7">
      <c r="C25" s="7"/>
      <c r="D25" s="7"/>
      <c r="E25" s="7"/>
    </row>
    <row r="26" spans="2:7">
      <c r="C26" s="7"/>
    </row>
  </sheetData>
  <mergeCells count="6">
    <mergeCell ref="B15:F15"/>
    <mergeCell ref="B4:B6"/>
    <mergeCell ref="D4:D5"/>
    <mergeCell ref="F4:F5"/>
    <mergeCell ref="C4:C5"/>
    <mergeCell ref="E4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8"/>
  <sheetViews>
    <sheetView showGridLines="0" workbookViewId="0"/>
  </sheetViews>
  <sheetFormatPr defaultColWidth="8.85546875" defaultRowHeight="14.25"/>
  <cols>
    <col min="1" max="1" width="1.7109375" style="17" customWidth="1"/>
    <col min="2" max="2" width="15.7109375" style="31" customWidth="1"/>
    <col min="3" max="4" width="25.7109375" style="31" customWidth="1"/>
    <col min="5" max="5" width="29.42578125" style="31" customWidth="1"/>
    <col min="6" max="8" width="25.7109375" style="31" customWidth="1"/>
    <col min="9" max="9" width="31.7109375" style="31" customWidth="1"/>
    <col min="10" max="16384" width="8.85546875" style="31"/>
  </cols>
  <sheetData>
    <row r="2" spans="2:11" ht="15">
      <c r="B2" s="32" t="s">
        <v>140</v>
      </c>
      <c r="C2" s="32"/>
    </row>
    <row r="4" spans="2:11" ht="15">
      <c r="B4" s="589" t="s">
        <v>2</v>
      </c>
      <c r="C4" s="71" t="s">
        <v>79</v>
      </c>
      <c r="D4" s="72" t="s">
        <v>53</v>
      </c>
      <c r="E4" s="72" t="s">
        <v>53</v>
      </c>
      <c r="F4" s="5" t="s">
        <v>53</v>
      </c>
      <c r="G4" s="5" t="s">
        <v>53</v>
      </c>
      <c r="H4" s="5" t="s">
        <v>53</v>
      </c>
      <c r="I4" s="125" t="s">
        <v>78</v>
      </c>
    </row>
    <row r="5" spans="2:11" ht="15">
      <c r="B5" s="589"/>
      <c r="C5" s="71" t="s">
        <v>96</v>
      </c>
      <c r="D5" s="72" t="s">
        <v>72</v>
      </c>
      <c r="E5" s="72" t="s">
        <v>99</v>
      </c>
      <c r="F5" s="5" t="s">
        <v>55</v>
      </c>
      <c r="G5" s="5" t="s">
        <v>114</v>
      </c>
      <c r="H5" s="5" t="s">
        <v>59</v>
      </c>
      <c r="I5" s="125" t="s">
        <v>129</v>
      </c>
      <c r="J5" s="17"/>
    </row>
    <row r="6" spans="2:11" ht="15">
      <c r="B6" s="589"/>
      <c r="C6" s="71" t="s">
        <v>45</v>
      </c>
      <c r="D6" s="5" t="s">
        <v>47</v>
      </c>
      <c r="E6" s="5" t="s">
        <v>49</v>
      </c>
      <c r="F6" s="5" t="s">
        <v>92</v>
      </c>
      <c r="G6" s="5" t="s">
        <v>93</v>
      </c>
      <c r="H6" s="5" t="s">
        <v>94</v>
      </c>
      <c r="I6" s="129" t="s">
        <v>130</v>
      </c>
      <c r="J6" s="17"/>
    </row>
    <row r="7" spans="2:11">
      <c r="B7" s="118">
        <v>2022</v>
      </c>
      <c r="C7" s="189">
        <f>8393+5</f>
        <v>8398</v>
      </c>
      <c r="D7" s="190">
        <v>92487</v>
      </c>
      <c r="E7" s="191">
        <v>4871</v>
      </c>
      <c r="F7" s="190">
        <v>53260</v>
      </c>
      <c r="G7" s="190">
        <f t="shared" ref="G7:H11" si="0">+C7-E7</f>
        <v>3527</v>
      </c>
      <c r="H7" s="190">
        <f t="shared" si="0"/>
        <v>39227</v>
      </c>
      <c r="I7" s="192">
        <f t="shared" ref="I7:I14" si="1">+F7/D7</f>
        <v>0.57586471612226586</v>
      </c>
      <c r="J7" s="128"/>
      <c r="K7" s="7"/>
    </row>
    <row r="8" spans="2:11">
      <c r="B8" s="118">
        <v>2021</v>
      </c>
      <c r="C8" s="189">
        <f>7446+5</f>
        <v>7451</v>
      </c>
      <c r="D8" s="190">
        <v>81733</v>
      </c>
      <c r="E8" s="193">
        <v>4236</v>
      </c>
      <c r="F8" s="190">
        <v>51443</v>
      </c>
      <c r="G8" s="190">
        <f t="shared" si="0"/>
        <v>3215</v>
      </c>
      <c r="H8" s="190">
        <f t="shared" si="0"/>
        <v>30290</v>
      </c>
      <c r="I8" s="192">
        <f t="shared" si="1"/>
        <v>0.62940305629305182</v>
      </c>
      <c r="J8" s="128"/>
      <c r="K8" s="7"/>
    </row>
    <row r="9" spans="2:11">
      <c r="B9" s="118">
        <v>2020</v>
      </c>
      <c r="C9" s="189">
        <f>6679+5</f>
        <v>6684</v>
      </c>
      <c r="D9" s="190">
        <v>75987</v>
      </c>
      <c r="E9" s="193">
        <v>3940</v>
      </c>
      <c r="F9" s="190">
        <v>48717</v>
      </c>
      <c r="G9" s="190">
        <f t="shared" si="0"/>
        <v>2744</v>
      </c>
      <c r="H9" s="190">
        <f t="shared" si="0"/>
        <v>27270</v>
      </c>
      <c r="I9" s="192">
        <f t="shared" si="1"/>
        <v>0.64112282364088591</v>
      </c>
      <c r="J9" s="128"/>
      <c r="K9" s="7"/>
    </row>
    <row r="10" spans="2:11">
      <c r="B10" s="118">
        <v>2019</v>
      </c>
      <c r="C10" s="189">
        <v>5887</v>
      </c>
      <c r="D10" s="190">
        <v>65554</v>
      </c>
      <c r="E10" s="191">
        <v>4052</v>
      </c>
      <c r="F10" s="190">
        <v>44000</v>
      </c>
      <c r="G10" s="190">
        <f t="shared" si="0"/>
        <v>1835</v>
      </c>
      <c r="H10" s="190">
        <f t="shared" si="0"/>
        <v>21554</v>
      </c>
      <c r="I10" s="192">
        <f t="shared" si="1"/>
        <v>0.67120236751380546</v>
      </c>
      <c r="J10" s="128"/>
      <c r="K10" s="7"/>
    </row>
    <row r="11" spans="2:11">
      <c r="B11" s="118">
        <v>2018</v>
      </c>
      <c r="C11" s="191">
        <v>5571</v>
      </c>
      <c r="D11" s="190">
        <v>63895</v>
      </c>
      <c r="E11" s="191">
        <v>3630</v>
      </c>
      <c r="F11" s="190">
        <v>39995</v>
      </c>
      <c r="G11" s="190">
        <f t="shared" si="0"/>
        <v>1941</v>
      </c>
      <c r="H11" s="190">
        <f t="shared" si="0"/>
        <v>23900</v>
      </c>
      <c r="I11" s="192">
        <f t="shared" si="1"/>
        <v>0.6259488222865639</v>
      </c>
      <c r="J11" s="128"/>
      <c r="K11" s="7"/>
    </row>
    <row r="12" spans="2:11">
      <c r="B12" s="118">
        <v>2017</v>
      </c>
      <c r="C12" s="191">
        <v>5321</v>
      </c>
      <c r="D12" s="190">
        <v>60988</v>
      </c>
      <c r="E12" s="191">
        <v>3277</v>
      </c>
      <c r="F12" s="190">
        <v>36978</v>
      </c>
      <c r="G12" s="190">
        <f t="shared" ref="G12:H14" si="2">+C12-E12</f>
        <v>2044</v>
      </c>
      <c r="H12" s="190">
        <f t="shared" si="2"/>
        <v>24010</v>
      </c>
      <c r="I12" s="192">
        <f t="shared" si="1"/>
        <v>0.60631599658949298</v>
      </c>
      <c r="J12" s="17"/>
    </row>
    <row r="13" spans="2:11">
      <c r="B13" s="194">
        <v>2016</v>
      </c>
      <c r="C13" s="189">
        <v>5179</v>
      </c>
      <c r="D13" s="189">
        <v>58721</v>
      </c>
      <c r="E13" s="189">
        <v>3228</v>
      </c>
      <c r="F13" s="189">
        <v>35149</v>
      </c>
      <c r="G13" s="189">
        <f t="shared" si="2"/>
        <v>1951</v>
      </c>
      <c r="H13" s="189">
        <f>+D13-F13</f>
        <v>23572</v>
      </c>
      <c r="I13" s="195">
        <f t="shared" si="1"/>
        <v>0.59857631852318594</v>
      </c>
      <c r="J13" s="17"/>
    </row>
    <row r="14" spans="2:11">
      <c r="B14" s="118">
        <v>2015</v>
      </c>
      <c r="C14" s="191">
        <v>5414</v>
      </c>
      <c r="D14" s="190">
        <v>56182</v>
      </c>
      <c r="E14" s="191">
        <v>3428</v>
      </c>
      <c r="F14" s="190">
        <v>34418</v>
      </c>
      <c r="G14" s="190">
        <f t="shared" si="2"/>
        <v>1986</v>
      </c>
      <c r="H14" s="190">
        <f>+D14-F14</f>
        <v>21764</v>
      </c>
      <c r="I14" s="192">
        <f t="shared" si="1"/>
        <v>0.61261614040084011</v>
      </c>
      <c r="J14" s="17"/>
    </row>
    <row r="15" spans="2:11">
      <c r="B15" s="593" t="s">
        <v>176</v>
      </c>
      <c r="C15" s="593"/>
      <c r="D15" s="593"/>
      <c r="E15" s="593"/>
      <c r="F15" s="593"/>
      <c r="G15" s="593"/>
      <c r="H15" s="593"/>
      <c r="I15" s="593"/>
      <c r="J15" s="17"/>
    </row>
    <row r="16" spans="2:11">
      <c r="B16" s="118">
        <v>2022</v>
      </c>
      <c r="C16" s="196">
        <f t="shared" ref="C16:E18" si="3">+C7/C8-1</f>
        <v>0.1270970339551738</v>
      </c>
      <c r="D16" s="197">
        <f t="shared" si="3"/>
        <v>0.1315747617241505</v>
      </c>
      <c r="E16" s="197">
        <f t="shared" si="3"/>
        <v>0.14990557129367321</v>
      </c>
      <c r="F16" s="197">
        <f t="shared" ref="F16:H17" si="4">+F7/F8-1</f>
        <v>3.5320646152051882E-2</v>
      </c>
      <c r="G16" s="197">
        <f t="shared" si="4"/>
        <v>9.7045101088647057E-2</v>
      </c>
      <c r="H16" s="197">
        <f t="shared" si="4"/>
        <v>0.29504787058435133</v>
      </c>
      <c r="I16" s="198">
        <f t="shared" ref="I16:I22" si="5">+I7-I8</f>
        <v>-5.3538340170785959E-2</v>
      </c>
      <c r="J16" s="17"/>
    </row>
    <row r="17" spans="2:10">
      <c r="B17" s="118">
        <v>2021</v>
      </c>
      <c r="C17" s="196">
        <f t="shared" si="3"/>
        <v>0.11475164572112506</v>
      </c>
      <c r="D17" s="197">
        <f t="shared" si="3"/>
        <v>7.5618197849632196E-2</v>
      </c>
      <c r="E17" s="197">
        <f t="shared" si="3"/>
        <v>7.512690355329954E-2</v>
      </c>
      <c r="F17" s="197">
        <f t="shared" si="4"/>
        <v>5.5955826508200524E-2</v>
      </c>
      <c r="G17" s="197">
        <f t="shared" si="4"/>
        <v>0.17164723032069973</v>
      </c>
      <c r="H17" s="197">
        <f t="shared" si="4"/>
        <v>0.11074440777411065</v>
      </c>
      <c r="I17" s="198">
        <f t="shared" si="5"/>
        <v>-1.1719767347834087E-2</v>
      </c>
      <c r="J17" s="17"/>
    </row>
    <row r="18" spans="2:10">
      <c r="B18" s="118">
        <v>2020</v>
      </c>
      <c r="C18" s="196">
        <f t="shared" si="3"/>
        <v>0.13538304739255991</v>
      </c>
      <c r="D18" s="197">
        <f t="shared" si="3"/>
        <v>0.15915123409708021</v>
      </c>
      <c r="E18" s="199">
        <f t="shared" si="3"/>
        <v>-2.7640671273445161E-2</v>
      </c>
      <c r="F18" s="197">
        <f>+F9/F10-1</f>
        <v>0.10720454545454539</v>
      </c>
      <c r="G18" s="197">
        <f>+G9/G10-1</f>
        <v>0.49536784741144424</v>
      </c>
      <c r="H18" s="197">
        <f>+H9/H10-1</f>
        <v>0.2651943954718381</v>
      </c>
      <c r="I18" s="198">
        <f t="shared" si="5"/>
        <v>-3.0079543872919556E-2</v>
      </c>
      <c r="J18" s="17"/>
    </row>
    <row r="19" spans="2:10">
      <c r="B19" s="118">
        <v>2019</v>
      </c>
      <c r="C19" s="196">
        <f t="shared" ref="C19:H20" si="6">+C10/C11-1</f>
        <v>5.6722311972715822E-2</v>
      </c>
      <c r="D19" s="197">
        <f t="shared" si="6"/>
        <v>2.5964472963455609E-2</v>
      </c>
      <c r="E19" s="197">
        <f t="shared" si="6"/>
        <v>0.11625344352617084</v>
      </c>
      <c r="F19" s="197">
        <f t="shared" si="6"/>
        <v>0.10013751718964881</v>
      </c>
      <c r="G19" s="199">
        <f t="shared" si="6"/>
        <v>-5.4611025244719169E-2</v>
      </c>
      <c r="H19" s="199">
        <f t="shared" si="6"/>
        <v>-9.8158995815899597E-2</v>
      </c>
      <c r="I19" s="200">
        <f t="shared" si="5"/>
        <v>4.5253545227241565E-2</v>
      </c>
      <c r="J19" s="17"/>
    </row>
    <row r="20" spans="2:10">
      <c r="B20" s="201">
        <v>2018</v>
      </c>
      <c r="C20" s="196">
        <f t="shared" si="6"/>
        <v>4.6983649689907869E-2</v>
      </c>
      <c r="D20" s="197">
        <f t="shared" si="6"/>
        <v>4.7665114448744106E-2</v>
      </c>
      <c r="E20" s="197">
        <f t="shared" si="6"/>
        <v>0.10772047604516333</v>
      </c>
      <c r="F20" s="197">
        <f t="shared" si="6"/>
        <v>8.1589052950402863E-2</v>
      </c>
      <c r="G20" s="199">
        <f t="shared" si="6"/>
        <v>-5.0391389432485334E-2</v>
      </c>
      <c r="H20" s="199">
        <f t="shared" si="6"/>
        <v>-4.5814244064973364E-3</v>
      </c>
      <c r="I20" s="200">
        <f t="shared" si="5"/>
        <v>1.9632825697070921E-2</v>
      </c>
      <c r="J20" s="17"/>
    </row>
    <row r="21" spans="2:10">
      <c r="B21" s="201">
        <v>2017</v>
      </c>
      <c r="C21" s="202">
        <f t="shared" ref="C21:F22" si="7">+C12/C13-1</f>
        <v>2.7418420544506716E-2</v>
      </c>
      <c r="D21" s="197">
        <f t="shared" si="7"/>
        <v>3.8606290764803042E-2</v>
      </c>
      <c r="E21" s="197">
        <f t="shared" si="7"/>
        <v>1.5179677819082915E-2</v>
      </c>
      <c r="F21" s="197">
        <f t="shared" si="7"/>
        <v>5.203561979003668E-2</v>
      </c>
      <c r="G21" s="199">
        <f>+G12/G14-1</f>
        <v>2.9204431017119781E-2</v>
      </c>
      <c r="H21" s="197">
        <f>+H12/H13-1</f>
        <v>1.8581367724418874E-2</v>
      </c>
      <c r="I21" s="200">
        <f t="shared" si="5"/>
        <v>7.739678066307043E-3</v>
      </c>
      <c r="J21" s="17"/>
    </row>
    <row r="22" spans="2:10">
      <c r="B22" s="201">
        <v>2016</v>
      </c>
      <c r="C22" s="203">
        <f t="shared" si="7"/>
        <v>-4.3405984484669369E-2</v>
      </c>
      <c r="D22" s="197">
        <f t="shared" si="7"/>
        <v>4.5192410380548997E-2</v>
      </c>
      <c r="E22" s="199">
        <f t="shared" si="7"/>
        <v>-5.8343057176196034E-2</v>
      </c>
      <c r="F22" s="197">
        <f t="shared" si="7"/>
        <v>2.1238886629089349E-2</v>
      </c>
      <c r="G22" s="199">
        <f>+G13/G14-1</f>
        <v>-1.7623363544813642E-2</v>
      </c>
      <c r="H22" s="197">
        <f>+H13/H14-1</f>
        <v>8.3072964528579263E-2</v>
      </c>
      <c r="I22" s="198">
        <f t="shared" si="5"/>
        <v>-1.4039821877654179E-2</v>
      </c>
      <c r="J22" s="17"/>
    </row>
    <row r="23" spans="2:10">
      <c r="B23" s="16" t="s">
        <v>181</v>
      </c>
      <c r="F23" s="54"/>
    </row>
    <row r="24" spans="2:10">
      <c r="C24" s="54"/>
    </row>
    <row r="25" spans="2:10">
      <c r="D25" s="54"/>
    </row>
    <row r="26" spans="2:10">
      <c r="C26" s="54"/>
    </row>
    <row r="27" spans="2:10">
      <c r="F27" s="61"/>
    </row>
    <row r="28" spans="2:10">
      <c r="G28" s="507"/>
    </row>
  </sheetData>
  <mergeCells count="2">
    <mergeCell ref="B15:I15"/>
    <mergeCell ref="B4:B6"/>
  </mergeCells>
  <pageMargins left="0.7" right="0.7" top="0.75" bottom="0.75" header="0.3" footer="0.3"/>
  <pageSetup paperSize="9" orientation="portrait" r:id="rId1"/>
  <ignoredErrors>
    <ignoredError sqref="G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S138"/>
  <sheetViews>
    <sheetView showGridLines="0" zoomScale="70" zoomScaleNormal="70" workbookViewId="0"/>
  </sheetViews>
  <sheetFormatPr defaultColWidth="8.85546875" defaultRowHeight="14.25"/>
  <cols>
    <col min="1" max="1" width="1.7109375" style="31" customWidth="1"/>
    <col min="2" max="2" width="25.7109375" style="31" customWidth="1"/>
    <col min="3" max="3" width="10.28515625" style="31" customWidth="1"/>
    <col min="4" max="4" width="23.7109375" style="31" customWidth="1"/>
    <col min="5" max="5" width="31.140625" style="31" customWidth="1"/>
    <col min="6" max="6" width="29.140625" style="31" customWidth="1"/>
    <col min="7" max="7" width="39" style="31" hidden="1" customWidth="1"/>
    <col min="8" max="8" width="46.7109375" style="31" hidden="1" customWidth="1"/>
    <col min="9" max="9" width="27.42578125" style="31" hidden="1" customWidth="1"/>
    <col min="10" max="10" width="30.7109375" style="31" hidden="1" customWidth="1"/>
    <col min="11" max="11" width="21.42578125" style="17" hidden="1" customWidth="1"/>
    <col min="12" max="12" width="30" style="31" customWidth="1"/>
    <col min="13" max="13" width="29.140625" style="31" customWidth="1"/>
    <col min="14" max="14" width="16.5703125" style="31" customWidth="1"/>
    <col min="15" max="15" width="14" style="31" customWidth="1"/>
    <col min="16" max="16384" width="8.85546875" style="31"/>
  </cols>
  <sheetData>
    <row r="1" spans="2:13">
      <c r="K1" s="31"/>
    </row>
    <row r="2" spans="2:13" ht="15">
      <c r="B2" s="32" t="s">
        <v>141</v>
      </c>
      <c r="C2" s="32"/>
      <c r="D2" s="32"/>
      <c r="E2" s="30"/>
      <c r="G2" s="30"/>
      <c r="K2" s="31"/>
    </row>
    <row r="3" spans="2:13">
      <c r="K3" s="31"/>
    </row>
    <row r="4" spans="2:13" ht="15">
      <c r="B4" s="589" t="s">
        <v>97</v>
      </c>
      <c r="C4" s="589" t="s">
        <v>2</v>
      </c>
      <c r="D4" s="22" t="s">
        <v>53</v>
      </c>
      <c r="E4" s="68" t="s">
        <v>53</v>
      </c>
      <c r="F4" s="22" t="s">
        <v>53</v>
      </c>
      <c r="G4" s="25" t="s">
        <v>46</v>
      </c>
      <c r="H4" s="5" t="s">
        <v>48</v>
      </c>
      <c r="I4" s="25" t="s">
        <v>51</v>
      </c>
      <c r="J4" s="25" t="s">
        <v>52</v>
      </c>
      <c r="K4" s="592" t="s">
        <v>54</v>
      </c>
      <c r="L4" s="5" t="s">
        <v>56</v>
      </c>
      <c r="M4" s="79" t="s">
        <v>78</v>
      </c>
    </row>
    <row r="5" spans="2:13" ht="15">
      <c r="B5" s="589"/>
      <c r="C5" s="589"/>
      <c r="D5" s="22" t="s">
        <v>96</v>
      </c>
      <c r="E5" s="68" t="s">
        <v>99</v>
      </c>
      <c r="F5" s="22" t="s">
        <v>72</v>
      </c>
      <c r="G5" s="25" t="s">
        <v>44</v>
      </c>
      <c r="H5" s="5" t="s">
        <v>1</v>
      </c>
      <c r="I5" s="25" t="s">
        <v>3</v>
      </c>
      <c r="J5" s="25" t="s">
        <v>4</v>
      </c>
      <c r="K5" s="592"/>
      <c r="L5" s="142" t="s">
        <v>55</v>
      </c>
      <c r="M5" s="79" t="s">
        <v>131</v>
      </c>
    </row>
    <row r="6" spans="2:13" ht="15">
      <c r="B6" s="589"/>
      <c r="C6" s="597"/>
      <c r="D6" s="21"/>
      <c r="E6" s="69"/>
      <c r="F6" s="21"/>
      <c r="G6" s="25" t="s">
        <v>45</v>
      </c>
      <c r="H6" s="25" t="s">
        <v>47</v>
      </c>
      <c r="I6" s="25" t="s">
        <v>49</v>
      </c>
      <c r="J6" s="22" t="s">
        <v>50</v>
      </c>
      <c r="K6" s="21" t="s">
        <v>57</v>
      </c>
      <c r="L6" s="25"/>
      <c r="M6" s="79" t="s">
        <v>132</v>
      </c>
    </row>
    <row r="7" spans="2:13" ht="15" customHeight="1">
      <c r="B7" s="595" t="s">
        <v>6</v>
      </c>
      <c r="C7" s="211">
        <v>2022</v>
      </c>
      <c r="D7" s="4">
        <v>152</v>
      </c>
      <c r="E7" s="99">
        <v>155</v>
      </c>
      <c r="F7" s="20">
        <v>1764</v>
      </c>
      <c r="G7" s="212">
        <f>865-124</f>
        <v>741</v>
      </c>
      <c r="H7" s="213">
        <v>797</v>
      </c>
      <c r="I7" s="212">
        <v>785</v>
      </c>
      <c r="J7" s="99">
        <v>18</v>
      </c>
      <c r="K7" s="214">
        <f>171-39</f>
        <v>132</v>
      </c>
      <c r="L7" s="93">
        <f>G7+H7+K7</f>
        <v>1670</v>
      </c>
      <c r="M7" s="243">
        <f t="shared" ref="M7:M17" si="0">+L7/F7</f>
        <v>0.94671201814058958</v>
      </c>
    </row>
    <row r="8" spans="2:13">
      <c r="B8" s="595"/>
      <c r="C8" s="216">
        <v>2021</v>
      </c>
      <c r="D8" s="4">
        <v>152</v>
      </c>
      <c r="E8" s="20">
        <v>155</v>
      </c>
      <c r="F8" s="20">
        <v>1764</v>
      </c>
      <c r="G8" s="92">
        <f>785-112</f>
        <v>673</v>
      </c>
      <c r="H8" s="93">
        <f>896-3</f>
        <v>893</v>
      </c>
      <c r="I8" s="92">
        <f>885-3</f>
        <v>882</v>
      </c>
      <c r="J8" s="93">
        <v>18</v>
      </c>
      <c r="K8" s="92">
        <f>175-41</f>
        <v>134</v>
      </c>
      <c r="L8" s="93">
        <f>G8+H8+K8</f>
        <v>1700</v>
      </c>
      <c r="M8" s="243">
        <f t="shared" si="0"/>
        <v>0.96371882086167804</v>
      </c>
    </row>
    <row r="9" spans="2:13">
      <c r="B9" s="595"/>
      <c r="C9" s="216">
        <v>2020</v>
      </c>
      <c r="D9" s="4">
        <v>152</v>
      </c>
      <c r="E9" s="20">
        <v>155</v>
      </c>
      <c r="F9" s="20">
        <v>1764</v>
      </c>
      <c r="G9" s="92">
        <f>762-105</f>
        <v>657</v>
      </c>
      <c r="H9" s="93">
        <f>927-8</f>
        <v>919</v>
      </c>
      <c r="I9" s="92">
        <f>909-8</f>
        <v>901</v>
      </c>
      <c r="J9" s="93">
        <v>26</v>
      </c>
      <c r="K9" s="92">
        <f>161-35</f>
        <v>126</v>
      </c>
      <c r="L9" s="93">
        <f>G9+H9+K9</f>
        <v>1702</v>
      </c>
      <c r="M9" s="243">
        <f t="shared" si="0"/>
        <v>0.96485260770975056</v>
      </c>
    </row>
    <row r="10" spans="2:13">
      <c r="B10" s="595"/>
      <c r="C10" s="534">
        <v>2019</v>
      </c>
      <c r="D10" s="322">
        <v>160</v>
      </c>
      <c r="E10" s="60">
        <v>153</v>
      </c>
      <c r="F10" s="20">
        <v>1776</v>
      </c>
      <c r="G10" s="92">
        <v>985</v>
      </c>
      <c r="H10" s="93">
        <v>689</v>
      </c>
      <c r="I10" s="92">
        <v>664</v>
      </c>
      <c r="J10" s="93">
        <v>31</v>
      </c>
      <c r="K10" s="92">
        <v>141</v>
      </c>
      <c r="L10" s="93">
        <f>+G10+H10+K10-120</f>
        <v>1695</v>
      </c>
      <c r="M10" s="222">
        <f t="shared" si="0"/>
        <v>0.95439189189189189</v>
      </c>
    </row>
    <row r="11" spans="2:13" hidden="1">
      <c r="B11" s="595"/>
      <c r="C11" s="216">
        <v>2018</v>
      </c>
      <c r="D11" s="4">
        <v>160</v>
      </c>
      <c r="E11" s="20">
        <v>158</v>
      </c>
      <c r="F11" s="20">
        <v>1776</v>
      </c>
      <c r="G11" s="92">
        <v>947</v>
      </c>
      <c r="H11" s="93">
        <v>697</v>
      </c>
      <c r="I11" s="92">
        <v>671</v>
      </c>
      <c r="J11" s="93">
        <v>32</v>
      </c>
      <c r="K11" s="92">
        <v>112</v>
      </c>
      <c r="L11" s="93">
        <f>+G11+H11+K11-120</f>
        <v>1636</v>
      </c>
      <c r="M11" s="215">
        <f t="shared" si="0"/>
        <v>0.9211711711711712</v>
      </c>
    </row>
    <row r="12" spans="2:13" hidden="1">
      <c r="B12" s="595"/>
      <c r="C12" s="216">
        <v>2017</v>
      </c>
      <c r="D12" s="4">
        <v>81</v>
      </c>
      <c r="E12" s="20">
        <v>80</v>
      </c>
      <c r="F12" s="20">
        <v>866</v>
      </c>
      <c r="G12" s="92">
        <v>569</v>
      </c>
      <c r="H12" s="93">
        <v>388</v>
      </c>
      <c r="I12" s="92">
        <v>361</v>
      </c>
      <c r="J12" s="93">
        <v>30</v>
      </c>
      <c r="K12" s="92">
        <v>36</v>
      </c>
      <c r="L12" s="93">
        <f>+G12+H12+K12-146</f>
        <v>847</v>
      </c>
      <c r="M12" s="215">
        <f t="shared" si="0"/>
        <v>0.97806004618937648</v>
      </c>
    </row>
    <row r="13" spans="2:13" hidden="1">
      <c r="B13" s="595"/>
      <c r="C13" s="216">
        <v>2016</v>
      </c>
      <c r="D13" s="4">
        <v>81</v>
      </c>
      <c r="E13" s="20">
        <v>80</v>
      </c>
      <c r="F13" s="20">
        <f>864</f>
        <v>864</v>
      </c>
      <c r="G13" s="92">
        <v>558</v>
      </c>
      <c r="H13" s="93">
        <v>386</v>
      </c>
      <c r="I13" s="92">
        <v>353</v>
      </c>
      <c r="J13" s="93">
        <v>36</v>
      </c>
      <c r="K13" s="92">
        <v>31</v>
      </c>
      <c r="L13" s="93">
        <f>+G13+H13+K13-126</f>
        <v>849</v>
      </c>
      <c r="M13" s="215">
        <f t="shared" si="0"/>
        <v>0.98263888888888884</v>
      </c>
    </row>
    <row r="14" spans="2:13" hidden="1">
      <c r="B14" s="596"/>
      <c r="C14" s="217">
        <v>2015</v>
      </c>
      <c r="D14" s="218">
        <v>81</v>
      </c>
      <c r="E14" s="219">
        <v>80</v>
      </c>
      <c r="F14" s="20">
        <v>864</v>
      </c>
      <c r="G14" s="220">
        <v>566</v>
      </c>
      <c r="H14" s="221">
        <v>398</v>
      </c>
      <c r="I14" s="92">
        <v>357</v>
      </c>
      <c r="J14" s="93">
        <v>43</v>
      </c>
      <c r="K14" s="220">
        <v>29</v>
      </c>
      <c r="L14" s="183">
        <f>+G14+H14+K14-138</f>
        <v>855</v>
      </c>
      <c r="M14" s="222">
        <f t="shared" si="0"/>
        <v>0.98958333333333337</v>
      </c>
    </row>
    <row r="15" spans="2:13" ht="15" customHeight="1">
      <c r="B15" s="594" t="s">
        <v>7</v>
      </c>
      <c r="C15" s="216">
        <v>2022</v>
      </c>
      <c r="D15" s="4">
        <v>4051</v>
      </c>
      <c r="E15" s="20">
        <v>2110</v>
      </c>
      <c r="F15" s="241">
        <f>44526-12</f>
        <v>44514</v>
      </c>
      <c r="G15" s="212">
        <v>5727</v>
      </c>
      <c r="H15" s="223">
        <v>8038</v>
      </c>
      <c r="I15" s="224">
        <v>8035</v>
      </c>
      <c r="J15" s="225">
        <v>3</v>
      </c>
      <c r="K15" s="214">
        <v>9156</v>
      </c>
      <c r="L15" s="241">
        <f>G15+H15+K15</f>
        <v>22921</v>
      </c>
      <c r="M15" s="226">
        <f t="shared" si="0"/>
        <v>0.51491665543424536</v>
      </c>
    </row>
    <row r="16" spans="2:13">
      <c r="B16" s="595"/>
      <c r="C16" s="216">
        <v>2021</v>
      </c>
      <c r="D16" s="4">
        <v>3655</v>
      </c>
      <c r="E16" s="20">
        <v>2021</v>
      </c>
      <c r="F16" s="20">
        <v>39780</v>
      </c>
      <c r="G16" s="92">
        <v>5501</v>
      </c>
      <c r="H16" s="93">
        <v>7628</v>
      </c>
      <c r="I16" s="92">
        <v>7615</v>
      </c>
      <c r="J16" s="93">
        <v>19</v>
      </c>
      <c r="K16" s="92">
        <v>9214</v>
      </c>
      <c r="L16" s="93">
        <f>G16+H16+K16</f>
        <v>22343</v>
      </c>
      <c r="M16" s="226">
        <f t="shared" si="0"/>
        <v>0.56166415284062343</v>
      </c>
    </row>
    <row r="17" spans="2:13">
      <c r="B17" s="595"/>
      <c r="C17" s="216">
        <v>2020</v>
      </c>
      <c r="D17" s="4">
        <v>3302</v>
      </c>
      <c r="E17" s="20">
        <v>1887</v>
      </c>
      <c r="F17" s="20">
        <v>37275</v>
      </c>
      <c r="G17" s="92">
        <v>5035</v>
      </c>
      <c r="H17" s="93">
        <v>7521</v>
      </c>
      <c r="I17" s="92">
        <v>7504</v>
      </c>
      <c r="J17" s="93">
        <v>23</v>
      </c>
      <c r="K17" s="92">
        <v>8442</v>
      </c>
      <c r="L17" s="93">
        <f>G17+H17+K17</f>
        <v>20998</v>
      </c>
      <c r="M17" s="226">
        <f t="shared" si="0"/>
        <v>0.56332662642521802</v>
      </c>
    </row>
    <row r="18" spans="2:13">
      <c r="B18" s="595"/>
      <c r="C18" s="216">
        <v>2019</v>
      </c>
      <c r="D18" s="92">
        <v>2916</v>
      </c>
      <c r="E18" s="93">
        <v>1709</v>
      </c>
      <c r="F18" s="93">
        <v>33637</v>
      </c>
      <c r="G18" s="92">
        <v>5232</v>
      </c>
      <c r="H18" s="93">
        <v>7099</v>
      </c>
      <c r="I18" s="92">
        <v>7083</v>
      </c>
      <c r="J18" s="93">
        <v>23</v>
      </c>
      <c r="K18" s="92">
        <v>6141</v>
      </c>
      <c r="L18" s="93">
        <f>+G18+H18+K18+120</f>
        <v>18592</v>
      </c>
      <c r="M18" s="226">
        <f t="shared" ref="M18:M23" si="1">+L18/F18</f>
        <v>0.55272467818176418</v>
      </c>
    </row>
    <row r="19" spans="2:13" hidden="1">
      <c r="B19" s="595"/>
      <c r="C19" s="216">
        <v>2018</v>
      </c>
      <c r="D19" s="92">
        <v>2736</v>
      </c>
      <c r="E19" s="93">
        <f>1586-122</f>
        <v>1464</v>
      </c>
      <c r="F19" s="93">
        <v>31599</v>
      </c>
      <c r="G19" s="92">
        <v>5018</v>
      </c>
      <c r="H19" s="93">
        <v>6602</v>
      </c>
      <c r="I19" s="92">
        <v>6588</v>
      </c>
      <c r="J19" s="93">
        <v>21</v>
      </c>
      <c r="K19" s="92">
        <v>4980</v>
      </c>
      <c r="L19" s="93">
        <f>+G19+H19+K19</f>
        <v>16600</v>
      </c>
      <c r="M19" s="226">
        <f t="shared" si="1"/>
        <v>0.52533308016076463</v>
      </c>
    </row>
    <row r="20" spans="2:13" hidden="1">
      <c r="B20" s="595"/>
      <c r="C20" s="216">
        <v>2017</v>
      </c>
      <c r="D20" s="92">
        <v>2667</v>
      </c>
      <c r="E20" s="93">
        <f>1485-134</f>
        <v>1351</v>
      </c>
      <c r="F20" s="93">
        <v>30606</v>
      </c>
      <c r="G20" s="92">
        <v>4890</v>
      </c>
      <c r="H20" s="93">
        <v>6589</v>
      </c>
      <c r="I20" s="92">
        <v>6565</v>
      </c>
      <c r="J20" s="93">
        <v>30</v>
      </c>
      <c r="K20" s="92">
        <v>4308</v>
      </c>
      <c r="L20" s="93">
        <f t="shared" ref="L20:L73" si="2">+G20+H20+K20</f>
        <v>15787</v>
      </c>
      <c r="M20" s="226">
        <f t="shared" si="1"/>
        <v>0.5158138927007776</v>
      </c>
    </row>
    <row r="21" spans="2:13" hidden="1">
      <c r="B21" s="595"/>
      <c r="C21" s="216">
        <v>2016</v>
      </c>
      <c r="D21" s="92">
        <v>2529</v>
      </c>
      <c r="E21" s="93">
        <f>1421-79</f>
        <v>1342</v>
      </c>
      <c r="F21" s="93">
        <v>28954</v>
      </c>
      <c r="G21" s="92">
        <v>4921</v>
      </c>
      <c r="H21" s="93">
        <v>6247</v>
      </c>
      <c r="I21" s="92">
        <v>6233</v>
      </c>
      <c r="J21" s="93">
        <v>16</v>
      </c>
      <c r="K21" s="92">
        <v>3827</v>
      </c>
      <c r="L21" s="93">
        <f t="shared" si="2"/>
        <v>14995</v>
      </c>
      <c r="M21" s="226">
        <f t="shared" si="1"/>
        <v>0.51789044691579744</v>
      </c>
    </row>
    <row r="22" spans="2:13" hidden="1">
      <c r="B22" s="596"/>
      <c r="C22" s="216">
        <v>2015</v>
      </c>
      <c r="D22" s="227">
        <v>2600</v>
      </c>
      <c r="E22" s="183">
        <f>1473-95</f>
        <v>1378</v>
      </c>
      <c r="F22" s="183">
        <v>27410</v>
      </c>
      <c r="G22" s="220">
        <v>4847</v>
      </c>
      <c r="H22" s="93">
        <v>6280</v>
      </c>
      <c r="I22" s="220">
        <v>6259</v>
      </c>
      <c r="J22" s="221">
        <v>22</v>
      </c>
      <c r="K22" s="92">
        <v>3394</v>
      </c>
      <c r="L22" s="93">
        <f t="shared" si="2"/>
        <v>14521</v>
      </c>
      <c r="M22" s="226">
        <f t="shared" si="1"/>
        <v>0.5297701568770522</v>
      </c>
    </row>
    <row r="23" spans="2:13" ht="15" customHeight="1">
      <c r="B23" s="594" t="s">
        <v>9</v>
      </c>
      <c r="C23" s="211">
        <v>2022</v>
      </c>
      <c r="D23" s="249">
        <v>1096</v>
      </c>
      <c r="E23" s="241">
        <v>764</v>
      </c>
      <c r="F23" s="331">
        <v>12535</v>
      </c>
      <c r="G23" s="212">
        <v>2094</v>
      </c>
      <c r="H23" s="229">
        <v>2733</v>
      </c>
      <c r="I23" s="212">
        <v>2730</v>
      </c>
      <c r="J23" s="93">
        <v>5</v>
      </c>
      <c r="K23" s="230">
        <v>3428</v>
      </c>
      <c r="L23" s="241">
        <f t="shared" si="2"/>
        <v>8255</v>
      </c>
      <c r="M23" s="231">
        <f t="shared" si="1"/>
        <v>0.65855604307937776</v>
      </c>
    </row>
    <row r="24" spans="2:13">
      <c r="B24" s="595"/>
      <c r="C24" s="216">
        <v>2021</v>
      </c>
      <c r="D24" s="92">
        <v>1007</v>
      </c>
      <c r="E24" s="93">
        <v>742</v>
      </c>
      <c r="F24" s="232">
        <v>11558</v>
      </c>
      <c r="G24" s="92">
        <v>1652</v>
      </c>
      <c r="H24" s="93">
        <v>2749</v>
      </c>
      <c r="I24" s="92">
        <v>2745</v>
      </c>
      <c r="J24" s="93">
        <v>5</v>
      </c>
      <c r="K24" s="92">
        <v>3923</v>
      </c>
      <c r="L24" s="93">
        <f t="shared" si="2"/>
        <v>8324</v>
      </c>
      <c r="M24" s="226">
        <f>+L24/F24</f>
        <v>0.72019380515660147</v>
      </c>
    </row>
    <row r="25" spans="2:13">
      <c r="B25" s="595"/>
      <c r="C25" s="216">
        <v>2020</v>
      </c>
      <c r="D25" s="92">
        <v>975</v>
      </c>
      <c r="E25" s="93">
        <v>733</v>
      </c>
      <c r="F25" s="93">
        <v>11360</v>
      </c>
      <c r="G25" s="92">
        <v>1738</v>
      </c>
      <c r="H25" s="93">
        <v>2718</v>
      </c>
      <c r="I25" s="92">
        <v>2711</v>
      </c>
      <c r="J25" s="93">
        <v>8</v>
      </c>
      <c r="K25" s="92">
        <v>3897</v>
      </c>
      <c r="L25" s="93">
        <f t="shared" si="2"/>
        <v>8353</v>
      </c>
      <c r="M25" s="226">
        <f>+L25/F25</f>
        <v>0.73529929577464792</v>
      </c>
    </row>
    <row r="26" spans="2:13">
      <c r="B26" s="595"/>
      <c r="C26" s="216">
        <v>2019</v>
      </c>
      <c r="D26" s="227">
        <v>896</v>
      </c>
      <c r="E26" s="93">
        <v>724</v>
      </c>
      <c r="F26" s="93">
        <v>10344</v>
      </c>
      <c r="G26" s="92">
        <v>2557</v>
      </c>
      <c r="H26" s="93">
        <v>2204</v>
      </c>
      <c r="I26" s="92">
        <v>2200</v>
      </c>
      <c r="J26" s="93">
        <v>11</v>
      </c>
      <c r="K26" s="92">
        <v>3068</v>
      </c>
      <c r="L26" s="93">
        <f t="shared" si="2"/>
        <v>7829</v>
      </c>
      <c r="M26" s="226">
        <f t="shared" ref="M26:M31" si="3">+L26/F26</f>
        <v>0.75686388244392888</v>
      </c>
    </row>
    <row r="27" spans="2:13" hidden="1">
      <c r="B27" s="595"/>
      <c r="C27" s="233">
        <v>2018</v>
      </c>
      <c r="D27" s="92">
        <v>842</v>
      </c>
      <c r="E27" s="93">
        <v>681</v>
      </c>
      <c r="F27" s="93">
        <v>9720</v>
      </c>
      <c r="G27" s="92">
        <v>2295</v>
      </c>
      <c r="H27" s="93">
        <v>2110</v>
      </c>
      <c r="I27" s="92">
        <v>2108</v>
      </c>
      <c r="J27" s="93">
        <v>2</v>
      </c>
      <c r="K27" s="92">
        <v>2971</v>
      </c>
      <c r="L27" s="93">
        <f>+G27+H27+K27</f>
        <v>7376</v>
      </c>
      <c r="M27" s="226">
        <f t="shared" si="3"/>
        <v>0.75884773662551441</v>
      </c>
    </row>
    <row r="28" spans="2:13" hidden="1">
      <c r="B28" s="595"/>
      <c r="C28" s="233">
        <v>2017</v>
      </c>
      <c r="D28" s="92">
        <v>810</v>
      </c>
      <c r="E28" s="93">
        <v>655</v>
      </c>
      <c r="F28" s="93">
        <v>9230</v>
      </c>
      <c r="G28" s="92">
        <v>2359</v>
      </c>
      <c r="H28" s="93">
        <v>2284</v>
      </c>
      <c r="I28" s="92">
        <v>2281</v>
      </c>
      <c r="J28" s="93">
        <v>4</v>
      </c>
      <c r="K28" s="92">
        <v>2422</v>
      </c>
      <c r="L28" s="93">
        <f t="shared" si="2"/>
        <v>7065</v>
      </c>
      <c r="M28" s="226">
        <f t="shared" si="3"/>
        <v>0.76543878656554709</v>
      </c>
    </row>
    <row r="29" spans="2:13" hidden="1">
      <c r="B29" s="595"/>
      <c r="C29" s="233">
        <v>2016</v>
      </c>
      <c r="D29" s="92">
        <v>795</v>
      </c>
      <c r="E29" s="93">
        <v>628</v>
      </c>
      <c r="F29" s="93">
        <v>8783</v>
      </c>
      <c r="G29" s="92">
        <v>2351</v>
      </c>
      <c r="H29" s="93">
        <v>2214</v>
      </c>
      <c r="I29" s="92">
        <v>2214</v>
      </c>
      <c r="J29" s="93">
        <v>1</v>
      </c>
      <c r="K29" s="92">
        <v>1998</v>
      </c>
      <c r="L29" s="93">
        <f t="shared" si="2"/>
        <v>6563</v>
      </c>
      <c r="M29" s="226">
        <f t="shared" si="3"/>
        <v>0.74723898440168512</v>
      </c>
    </row>
    <row r="30" spans="2:13" hidden="1">
      <c r="B30" s="596"/>
      <c r="C30" s="233">
        <v>2015</v>
      </c>
      <c r="D30" s="234">
        <v>813</v>
      </c>
      <c r="E30" s="183">
        <v>635</v>
      </c>
      <c r="F30" s="183">
        <v>8377</v>
      </c>
      <c r="G30" s="183">
        <v>2284</v>
      </c>
      <c r="H30" s="221">
        <v>2381</v>
      </c>
      <c r="I30" s="92">
        <v>2380</v>
      </c>
      <c r="J30" s="93">
        <v>5</v>
      </c>
      <c r="K30" s="92">
        <v>1746</v>
      </c>
      <c r="L30" s="183">
        <f t="shared" si="2"/>
        <v>6411</v>
      </c>
      <c r="M30" s="226">
        <f t="shared" si="3"/>
        <v>0.76530977676972667</v>
      </c>
    </row>
    <row r="31" spans="2:13" ht="15" customHeight="1">
      <c r="B31" s="594" t="s">
        <v>8</v>
      </c>
      <c r="C31" s="535">
        <v>2022</v>
      </c>
      <c r="D31" s="93">
        <v>1358</v>
      </c>
      <c r="E31" s="235">
        <v>966</v>
      </c>
      <c r="F31" s="241">
        <v>15468</v>
      </c>
      <c r="G31" s="224">
        <v>3048</v>
      </c>
      <c r="H31" s="212">
        <v>4142</v>
      </c>
      <c r="I31" s="224">
        <v>4120</v>
      </c>
      <c r="J31" s="225">
        <v>26</v>
      </c>
      <c r="K31" s="230">
        <v>3286</v>
      </c>
      <c r="L31" s="241">
        <f t="shared" si="2"/>
        <v>10476</v>
      </c>
      <c r="M31" s="536">
        <f t="shared" si="3"/>
        <v>0.67726920093095422</v>
      </c>
    </row>
    <row r="32" spans="2:13">
      <c r="B32" s="595"/>
      <c r="C32" s="236">
        <v>2021</v>
      </c>
      <c r="D32" s="237">
        <v>1247</v>
      </c>
      <c r="E32" s="93">
        <v>904</v>
      </c>
      <c r="F32" s="93">
        <v>13928</v>
      </c>
      <c r="G32" s="92">
        <v>2802</v>
      </c>
      <c r="H32" s="93">
        <v>3945</v>
      </c>
      <c r="I32" s="92">
        <v>3914</v>
      </c>
      <c r="J32" s="93">
        <v>38</v>
      </c>
      <c r="K32" s="92">
        <v>3215</v>
      </c>
      <c r="L32" s="93">
        <f t="shared" si="2"/>
        <v>9962</v>
      </c>
      <c r="M32" s="226">
        <f>+L32/F32</f>
        <v>0.71524985640436534</v>
      </c>
    </row>
    <row r="33" spans="2:18">
      <c r="B33" s="595"/>
      <c r="C33" s="238">
        <v>2020</v>
      </c>
      <c r="D33" s="93">
        <v>1122</v>
      </c>
      <c r="E33" s="93">
        <v>814</v>
      </c>
      <c r="F33" s="93">
        <v>12840</v>
      </c>
      <c r="G33" s="92">
        <v>2551</v>
      </c>
      <c r="H33" s="93">
        <v>3741</v>
      </c>
      <c r="I33" s="92">
        <v>3718</v>
      </c>
      <c r="J33" s="93">
        <v>34</v>
      </c>
      <c r="K33" s="92">
        <v>2876</v>
      </c>
      <c r="L33" s="93">
        <f t="shared" si="2"/>
        <v>9168</v>
      </c>
      <c r="M33" s="226">
        <f>+L33/F33</f>
        <v>0.71401869158878506</v>
      </c>
    </row>
    <row r="34" spans="2:18">
      <c r="B34" s="595"/>
      <c r="C34" s="238">
        <v>2019</v>
      </c>
      <c r="D34" s="93">
        <v>1020</v>
      </c>
      <c r="E34" s="237">
        <v>806</v>
      </c>
      <c r="F34" s="183">
        <v>11866</v>
      </c>
      <c r="G34" s="92">
        <v>2714</v>
      </c>
      <c r="H34" s="93">
        <v>3543</v>
      </c>
      <c r="I34" s="92">
        <v>3520</v>
      </c>
      <c r="J34" s="93">
        <v>31</v>
      </c>
      <c r="K34" s="92">
        <v>2605</v>
      </c>
      <c r="L34" s="93">
        <f>+G34+H34+K34</f>
        <v>8862</v>
      </c>
      <c r="M34" s="226">
        <f t="shared" ref="M34:M41" si="4">+L34/F34</f>
        <v>0.74683971009607286</v>
      </c>
    </row>
    <row r="35" spans="2:18" hidden="1">
      <c r="B35" s="595"/>
      <c r="C35" s="236">
        <v>2018</v>
      </c>
      <c r="D35" s="93">
        <v>984</v>
      </c>
      <c r="E35" s="93">
        <v>781</v>
      </c>
      <c r="F35" s="93">
        <v>11221</v>
      </c>
      <c r="G35" s="92">
        <v>2597</v>
      </c>
      <c r="H35" s="93">
        <v>3420</v>
      </c>
      <c r="I35" s="92">
        <v>3392</v>
      </c>
      <c r="J35" s="93">
        <v>40</v>
      </c>
      <c r="K35" s="92">
        <v>2457</v>
      </c>
      <c r="L35" s="93">
        <f>+G35+H35+K35</f>
        <v>8474</v>
      </c>
      <c r="M35" s="226">
        <f t="shared" si="4"/>
        <v>0.75519115943320558</v>
      </c>
    </row>
    <row r="36" spans="2:18" hidden="1">
      <c r="B36" s="595"/>
      <c r="C36" s="236">
        <v>2017</v>
      </c>
      <c r="D36" s="93">
        <v>974</v>
      </c>
      <c r="E36" s="93">
        <v>736</v>
      </c>
      <c r="F36" s="93">
        <v>11288</v>
      </c>
      <c r="G36" s="92">
        <v>2532</v>
      </c>
      <c r="H36" s="93">
        <v>3453</v>
      </c>
      <c r="I36" s="92">
        <v>3430</v>
      </c>
      <c r="J36" s="93">
        <v>27</v>
      </c>
      <c r="K36" s="92">
        <v>2223</v>
      </c>
      <c r="L36" s="93">
        <f t="shared" si="2"/>
        <v>8208</v>
      </c>
      <c r="M36" s="226">
        <f t="shared" si="4"/>
        <v>0.72714386959603117</v>
      </c>
    </row>
    <row r="37" spans="2:18" hidden="1">
      <c r="B37" s="595"/>
      <c r="C37" s="236">
        <v>2016</v>
      </c>
      <c r="D37" s="93">
        <v>992</v>
      </c>
      <c r="E37" s="93">
        <v>729</v>
      </c>
      <c r="F37" s="93">
        <v>11365</v>
      </c>
      <c r="G37" s="92">
        <v>2402</v>
      </c>
      <c r="H37" s="93">
        <v>3356</v>
      </c>
      <c r="I37" s="92">
        <v>3340</v>
      </c>
      <c r="J37" s="93">
        <v>22</v>
      </c>
      <c r="K37" s="92">
        <v>2122</v>
      </c>
      <c r="L37" s="93">
        <f t="shared" si="2"/>
        <v>7880</v>
      </c>
      <c r="M37" s="226">
        <f t="shared" si="4"/>
        <v>0.69335679718433785</v>
      </c>
    </row>
    <row r="38" spans="2:18" hidden="1">
      <c r="B38" s="596"/>
      <c r="C38" s="239">
        <v>2015</v>
      </c>
      <c r="D38" s="183">
        <v>1042</v>
      </c>
      <c r="E38" s="183">
        <v>780</v>
      </c>
      <c r="F38" s="183">
        <v>10745</v>
      </c>
      <c r="G38" s="4">
        <v>2456</v>
      </c>
      <c r="H38" s="219">
        <v>3348</v>
      </c>
      <c r="I38" s="4">
        <v>3330</v>
      </c>
      <c r="J38" s="219">
        <v>27</v>
      </c>
      <c r="K38" s="4">
        <v>1841</v>
      </c>
      <c r="L38" s="93">
        <f t="shared" si="2"/>
        <v>7645</v>
      </c>
      <c r="M38" s="226">
        <f t="shared" si="4"/>
        <v>0.71149371800837602</v>
      </c>
    </row>
    <row r="39" spans="2:18" ht="15" customHeight="1">
      <c r="B39" s="594" t="s">
        <v>10</v>
      </c>
      <c r="C39" s="318">
        <v>2022</v>
      </c>
      <c r="D39" s="230">
        <v>438</v>
      </c>
      <c r="E39" s="241">
        <v>356</v>
      </c>
      <c r="F39" s="93">
        <v>4950</v>
      </c>
      <c r="G39" s="224">
        <v>896</v>
      </c>
      <c r="H39" s="242">
        <v>1400</v>
      </c>
      <c r="I39" s="224">
        <v>1399</v>
      </c>
      <c r="J39" s="20">
        <v>3</v>
      </c>
      <c r="K39" s="230">
        <v>1722</v>
      </c>
      <c r="L39" s="241">
        <f t="shared" si="2"/>
        <v>4018</v>
      </c>
      <c r="M39" s="231">
        <f t="shared" si="4"/>
        <v>0.81171717171717173</v>
      </c>
      <c r="P39" s="149"/>
    </row>
    <row r="40" spans="2:18" ht="15">
      <c r="B40" s="595"/>
      <c r="C40" s="239">
        <v>2021</v>
      </c>
      <c r="D40" s="93">
        <v>386</v>
      </c>
      <c r="E40" s="93">
        <v>332</v>
      </c>
      <c r="F40" s="93">
        <v>4403</v>
      </c>
      <c r="G40" s="4">
        <v>567</v>
      </c>
      <c r="H40" s="20">
        <v>1207</v>
      </c>
      <c r="I40" s="4">
        <v>1207</v>
      </c>
      <c r="J40" s="20">
        <v>0</v>
      </c>
      <c r="K40" s="4">
        <v>1975</v>
      </c>
      <c r="L40" s="93">
        <f t="shared" si="2"/>
        <v>3749</v>
      </c>
      <c r="M40" s="226">
        <f t="shared" si="4"/>
        <v>0.85146491028843974</v>
      </c>
      <c r="P40" s="149"/>
    </row>
    <row r="41" spans="2:18">
      <c r="B41" s="595"/>
      <c r="C41" s="238">
        <v>2020</v>
      </c>
      <c r="D41" s="93">
        <v>375</v>
      </c>
      <c r="E41" s="93">
        <v>315</v>
      </c>
      <c r="F41" s="93">
        <v>4397</v>
      </c>
      <c r="G41" s="92">
        <v>634</v>
      </c>
      <c r="H41" s="93">
        <v>1145</v>
      </c>
      <c r="I41" s="92">
        <v>1142</v>
      </c>
      <c r="J41" s="93">
        <v>4</v>
      </c>
      <c r="K41" s="92">
        <v>1893</v>
      </c>
      <c r="L41" s="93">
        <f t="shared" si="2"/>
        <v>3672</v>
      </c>
      <c r="M41" s="226">
        <f t="shared" si="4"/>
        <v>0.83511485103479643</v>
      </c>
    </row>
    <row r="42" spans="2:18">
      <c r="B42" s="595"/>
      <c r="C42" s="238">
        <v>2019</v>
      </c>
      <c r="D42" s="183">
        <v>336</v>
      </c>
      <c r="E42" s="93">
        <v>279</v>
      </c>
      <c r="F42" s="93">
        <v>3843</v>
      </c>
      <c r="G42" s="92">
        <v>910</v>
      </c>
      <c r="H42" s="93">
        <v>1024</v>
      </c>
      <c r="I42" s="92">
        <v>1021</v>
      </c>
      <c r="J42" s="93">
        <v>3</v>
      </c>
      <c r="K42" s="92">
        <v>1106</v>
      </c>
      <c r="L42" s="93">
        <v>3040</v>
      </c>
      <c r="M42" s="226">
        <v>0.79104865990111894</v>
      </c>
    </row>
    <row r="43" spans="2:18" hidden="1">
      <c r="B43" s="595"/>
      <c r="C43" s="239">
        <v>2018</v>
      </c>
      <c r="D43" s="93">
        <v>309</v>
      </c>
      <c r="E43" s="93">
        <v>220</v>
      </c>
      <c r="F43" s="93">
        <v>3516</v>
      </c>
      <c r="G43" s="4">
        <v>909</v>
      </c>
      <c r="H43" s="20">
        <v>732</v>
      </c>
      <c r="I43" s="4">
        <v>731</v>
      </c>
      <c r="J43" s="20">
        <v>1</v>
      </c>
      <c r="K43" s="4">
        <v>597</v>
      </c>
      <c r="L43" s="93">
        <f>+G43+H43+K43</f>
        <v>2238</v>
      </c>
      <c r="M43" s="243">
        <f>+L43/F43</f>
        <v>0.63651877133105805</v>
      </c>
    </row>
    <row r="44" spans="2:18" hidden="1">
      <c r="B44" s="595"/>
      <c r="C44" s="239">
        <v>2017</v>
      </c>
      <c r="D44" s="93">
        <v>269</v>
      </c>
      <c r="E44" s="93">
        <v>164</v>
      </c>
      <c r="F44" s="93">
        <v>3084</v>
      </c>
      <c r="G44" s="4">
        <v>833</v>
      </c>
      <c r="H44" s="20">
        <v>530</v>
      </c>
      <c r="I44" s="4">
        <v>530</v>
      </c>
      <c r="J44" s="20">
        <v>0</v>
      </c>
      <c r="K44" s="4">
        <v>452</v>
      </c>
      <c r="L44" s="93">
        <f t="shared" si="2"/>
        <v>1815</v>
      </c>
      <c r="M44" s="243">
        <f>+L44/F44</f>
        <v>0.58852140077821014</v>
      </c>
    </row>
    <row r="45" spans="2:18" ht="15" hidden="1">
      <c r="B45" s="595"/>
      <c r="C45" s="239">
        <v>2016</v>
      </c>
      <c r="D45" s="93">
        <v>262</v>
      </c>
      <c r="E45" s="93">
        <v>157</v>
      </c>
      <c r="F45" s="93">
        <v>3004</v>
      </c>
      <c r="G45" s="4">
        <v>732</v>
      </c>
      <c r="H45" s="20">
        <v>559</v>
      </c>
      <c r="I45" s="4">
        <v>559</v>
      </c>
      <c r="J45" s="20">
        <v>0</v>
      </c>
      <c r="K45" s="4">
        <v>426</v>
      </c>
      <c r="L45" s="93">
        <f t="shared" si="2"/>
        <v>1717</v>
      </c>
      <c r="M45" s="243">
        <f>+L45/F45</f>
        <v>0.57157123834886814</v>
      </c>
      <c r="O45" s="123"/>
      <c r="P45" s="54"/>
      <c r="Q45" s="54"/>
      <c r="R45" s="54"/>
    </row>
    <row r="46" spans="2:18" ht="15" hidden="1">
      <c r="B46" s="596"/>
      <c r="C46" s="238">
        <v>2015</v>
      </c>
      <c r="D46" s="183">
        <v>290</v>
      </c>
      <c r="E46" s="183">
        <v>196</v>
      </c>
      <c r="F46" s="183">
        <v>2851</v>
      </c>
      <c r="G46" s="92">
        <v>613</v>
      </c>
      <c r="H46" s="221">
        <v>595</v>
      </c>
      <c r="I46" s="220">
        <v>595</v>
      </c>
      <c r="J46" s="221">
        <v>0</v>
      </c>
      <c r="K46" s="183">
        <v>425</v>
      </c>
      <c r="L46" s="93">
        <f t="shared" si="2"/>
        <v>1633</v>
      </c>
      <c r="M46" s="243">
        <f>+L46/F46</f>
        <v>0.57278148018239217</v>
      </c>
      <c r="N46" s="16"/>
      <c r="O46" s="123"/>
      <c r="P46" s="54"/>
      <c r="Q46" s="54"/>
      <c r="R46" s="54"/>
    </row>
    <row r="47" spans="2:18" ht="15" customHeight="1">
      <c r="B47" s="594" t="s">
        <v>11</v>
      </c>
      <c r="C47" s="211">
        <v>2022</v>
      </c>
      <c r="D47" s="214">
        <v>324</v>
      </c>
      <c r="E47" s="241">
        <v>98</v>
      </c>
      <c r="F47" s="241">
        <v>3386</v>
      </c>
      <c r="G47" s="224">
        <v>248</v>
      </c>
      <c r="H47" s="212">
        <v>528</v>
      </c>
      <c r="I47" s="223">
        <v>528</v>
      </c>
      <c r="J47" s="93">
        <v>2</v>
      </c>
      <c r="K47" s="214">
        <v>283</v>
      </c>
      <c r="L47" s="241">
        <f t="shared" si="2"/>
        <v>1059</v>
      </c>
      <c r="M47" s="351">
        <f>+L47/F47</f>
        <v>0.3127584170112227</v>
      </c>
      <c r="N47" s="16"/>
      <c r="O47" s="123"/>
      <c r="P47" s="54"/>
      <c r="Q47" s="54"/>
      <c r="R47" s="54"/>
    </row>
    <row r="48" spans="2:18" ht="15">
      <c r="B48" s="595"/>
      <c r="C48" s="216">
        <v>2021</v>
      </c>
      <c r="D48" s="244">
        <v>249</v>
      </c>
      <c r="E48" s="93">
        <v>88</v>
      </c>
      <c r="F48" s="93">
        <v>2367</v>
      </c>
      <c r="G48" s="92">
        <v>182</v>
      </c>
      <c r="H48" s="93">
        <v>509</v>
      </c>
      <c r="I48" s="92">
        <v>509</v>
      </c>
      <c r="J48" s="93">
        <v>0</v>
      </c>
      <c r="K48" s="92">
        <v>262</v>
      </c>
      <c r="L48" s="93">
        <f t="shared" si="2"/>
        <v>953</v>
      </c>
      <c r="M48" s="226">
        <v>0.54297188755020076</v>
      </c>
      <c r="N48" s="16"/>
      <c r="O48" s="123"/>
      <c r="P48" s="54"/>
      <c r="Q48" s="54"/>
      <c r="R48" s="54"/>
    </row>
    <row r="49" spans="2:18" ht="15">
      <c r="B49" s="595"/>
      <c r="C49" s="216">
        <v>2020</v>
      </c>
      <c r="D49" s="244">
        <v>171</v>
      </c>
      <c r="E49" s="93">
        <v>77</v>
      </c>
      <c r="F49" s="93">
        <v>1862</v>
      </c>
      <c r="G49" s="92">
        <v>121</v>
      </c>
      <c r="H49" s="93">
        <v>507</v>
      </c>
      <c r="I49" s="92">
        <v>507</v>
      </c>
      <c r="J49" s="93">
        <v>0</v>
      </c>
      <c r="K49" s="92">
        <v>211</v>
      </c>
      <c r="L49" s="93">
        <f t="shared" si="2"/>
        <v>839</v>
      </c>
      <c r="M49" s="226">
        <v>0.54297188755020076</v>
      </c>
      <c r="N49" s="16"/>
      <c r="O49" s="123"/>
      <c r="P49" s="54"/>
      <c r="Q49" s="54"/>
      <c r="R49" s="54"/>
    </row>
    <row r="50" spans="2:18" ht="15">
      <c r="B50" s="595"/>
      <c r="C50" s="216">
        <v>2019</v>
      </c>
      <c r="D50" s="227">
        <v>107</v>
      </c>
      <c r="E50" s="93">
        <v>62</v>
      </c>
      <c r="F50" s="183">
        <v>1245</v>
      </c>
      <c r="G50" s="92">
        <v>157</v>
      </c>
      <c r="H50" s="93">
        <v>401</v>
      </c>
      <c r="I50" s="92">
        <v>400</v>
      </c>
      <c r="J50" s="93">
        <v>2</v>
      </c>
      <c r="K50" s="92">
        <v>118</v>
      </c>
      <c r="L50" s="93">
        <v>676</v>
      </c>
      <c r="M50" s="226">
        <v>0.54297188755020076</v>
      </c>
      <c r="N50" s="16"/>
      <c r="O50" s="123"/>
      <c r="P50" s="54"/>
      <c r="Q50" s="54"/>
      <c r="R50" s="54"/>
    </row>
    <row r="51" spans="2:18" ht="15" hidden="1">
      <c r="B51" s="595"/>
      <c r="C51" s="245">
        <v>2018</v>
      </c>
      <c r="D51" s="244">
        <v>107</v>
      </c>
      <c r="E51" s="93">
        <v>55</v>
      </c>
      <c r="F51" s="93">
        <v>1164</v>
      </c>
      <c r="G51" s="4">
        <v>145</v>
      </c>
      <c r="H51" s="20">
        <v>364</v>
      </c>
      <c r="I51" s="4">
        <v>363</v>
      </c>
      <c r="J51" s="20">
        <v>1</v>
      </c>
      <c r="K51" s="4">
        <v>72</v>
      </c>
      <c r="L51" s="93">
        <f>+G51+H51+K51</f>
        <v>581</v>
      </c>
      <c r="M51" s="243">
        <f>+L51/F51</f>
        <v>0.49914089347079038</v>
      </c>
      <c r="N51" s="16"/>
      <c r="O51" s="123"/>
      <c r="P51" s="54"/>
      <c r="Q51" s="54"/>
      <c r="R51" s="54"/>
    </row>
    <row r="52" spans="2:18" ht="15" hidden="1">
      <c r="B52" s="595"/>
      <c r="C52" s="245">
        <v>2017</v>
      </c>
      <c r="D52" s="244">
        <v>105</v>
      </c>
      <c r="E52" s="93">
        <v>47</v>
      </c>
      <c r="F52" s="93">
        <v>1226</v>
      </c>
      <c r="G52" s="4">
        <v>115</v>
      </c>
      <c r="H52" s="20">
        <v>329</v>
      </c>
      <c r="I52" s="4">
        <v>326</v>
      </c>
      <c r="J52" s="20">
        <v>3</v>
      </c>
      <c r="K52" s="4">
        <v>86</v>
      </c>
      <c r="L52" s="93">
        <f t="shared" si="2"/>
        <v>530</v>
      </c>
      <c r="M52" s="243">
        <f>+L52/F52</f>
        <v>0.43230016313213704</v>
      </c>
      <c r="N52" s="16"/>
      <c r="O52" s="123"/>
      <c r="P52" s="54"/>
      <c r="Q52" s="54"/>
      <c r="R52" s="54"/>
    </row>
    <row r="53" spans="2:18" ht="15" hidden="1">
      <c r="B53" s="595"/>
      <c r="C53" s="245">
        <v>2016</v>
      </c>
      <c r="D53" s="244">
        <v>130</v>
      </c>
      <c r="E53" s="93">
        <v>56</v>
      </c>
      <c r="F53" s="93">
        <v>1403</v>
      </c>
      <c r="G53" s="4">
        <v>105</v>
      </c>
      <c r="H53" s="20">
        <v>397</v>
      </c>
      <c r="I53" s="4">
        <v>397</v>
      </c>
      <c r="J53" s="20">
        <v>0</v>
      </c>
      <c r="K53" s="4">
        <v>82</v>
      </c>
      <c r="L53" s="93">
        <f t="shared" si="2"/>
        <v>584</v>
      </c>
      <c r="M53" s="243">
        <f>+L53/F53</f>
        <v>0.41625089094796863</v>
      </c>
      <c r="N53" s="16"/>
      <c r="O53" s="123"/>
      <c r="P53" s="54"/>
      <c r="Q53" s="54"/>
      <c r="R53" s="54"/>
    </row>
    <row r="54" spans="2:18" ht="15" hidden="1">
      <c r="B54" s="596"/>
      <c r="C54" s="245">
        <v>2015</v>
      </c>
      <c r="D54" s="227">
        <v>136</v>
      </c>
      <c r="E54" s="183">
        <v>65</v>
      </c>
      <c r="F54" s="183">
        <v>1448</v>
      </c>
      <c r="G54" s="4">
        <v>143</v>
      </c>
      <c r="H54" s="219">
        <v>445</v>
      </c>
      <c r="I54" s="60">
        <v>445</v>
      </c>
      <c r="J54" s="219">
        <v>0</v>
      </c>
      <c r="K54" s="4">
        <v>57</v>
      </c>
      <c r="L54" s="93">
        <f t="shared" si="2"/>
        <v>645</v>
      </c>
      <c r="M54" s="243">
        <f>+L54/F54</f>
        <v>0.44544198895027626</v>
      </c>
      <c r="N54" s="16"/>
      <c r="O54" s="123"/>
      <c r="P54" s="54"/>
      <c r="Q54" s="54"/>
      <c r="R54" s="54"/>
    </row>
    <row r="55" spans="2:18" ht="15" customHeight="1">
      <c r="B55" s="594" t="s">
        <v>12</v>
      </c>
      <c r="C55" s="537">
        <v>2022</v>
      </c>
      <c r="D55" s="214">
        <v>94</v>
      </c>
      <c r="E55" s="249">
        <v>48</v>
      </c>
      <c r="F55" s="214">
        <v>1000</v>
      </c>
      <c r="G55" s="224">
        <v>235</v>
      </c>
      <c r="H55" s="212">
        <v>251</v>
      </c>
      <c r="I55" s="224">
        <v>251</v>
      </c>
      <c r="J55" s="20">
        <v>0</v>
      </c>
      <c r="K55" s="230">
        <v>60</v>
      </c>
      <c r="L55" s="241">
        <f t="shared" si="2"/>
        <v>546</v>
      </c>
      <c r="M55" s="247">
        <f>+L55/F55</f>
        <v>0.54600000000000004</v>
      </c>
      <c r="N55" s="16"/>
      <c r="O55" s="54"/>
      <c r="P55" s="54"/>
      <c r="Q55" s="54"/>
      <c r="R55" s="54"/>
    </row>
    <row r="56" spans="2:18">
      <c r="B56" s="595"/>
      <c r="C56" s="245">
        <v>2021</v>
      </c>
      <c r="D56" s="244">
        <v>76</v>
      </c>
      <c r="E56" s="92">
        <v>43</v>
      </c>
      <c r="F56" s="93">
        <v>792</v>
      </c>
      <c r="G56" s="4">
        <v>193</v>
      </c>
      <c r="H56" s="20">
        <v>244</v>
      </c>
      <c r="I56" s="4">
        <v>243</v>
      </c>
      <c r="J56" s="20">
        <v>3</v>
      </c>
      <c r="K56" s="4">
        <v>29</v>
      </c>
      <c r="L56" s="93">
        <f t="shared" si="2"/>
        <v>466</v>
      </c>
      <c r="M56" s="226">
        <v>0.69594594594594594</v>
      </c>
      <c r="N56" s="377"/>
    </row>
    <row r="57" spans="2:18">
      <c r="B57" s="595"/>
      <c r="C57" s="216">
        <v>2020</v>
      </c>
      <c r="D57" s="244">
        <v>58</v>
      </c>
      <c r="E57" s="92">
        <v>34</v>
      </c>
      <c r="F57" s="93">
        <v>628</v>
      </c>
      <c r="G57" s="92">
        <v>169</v>
      </c>
      <c r="H57" s="93">
        <v>196</v>
      </c>
      <c r="I57" s="92">
        <v>195</v>
      </c>
      <c r="J57" s="93">
        <v>2</v>
      </c>
      <c r="K57" s="92">
        <v>26</v>
      </c>
      <c r="L57" s="93">
        <f t="shared" si="2"/>
        <v>391</v>
      </c>
      <c r="M57" s="226">
        <v>0.69594594594594594</v>
      </c>
      <c r="N57" s="377"/>
      <c r="O57" s="61"/>
    </row>
    <row r="58" spans="2:18">
      <c r="B58" s="595"/>
      <c r="C58" s="216">
        <v>2019</v>
      </c>
      <c r="D58" s="244">
        <v>50</v>
      </c>
      <c r="E58" s="92">
        <v>36</v>
      </c>
      <c r="F58" s="183">
        <v>592</v>
      </c>
      <c r="G58" s="92">
        <v>180</v>
      </c>
      <c r="H58" s="93">
        <v>195</v>
      </c>
      <c r="I58" s="92">
        <v>195</v>
      </c>
      <c r="J58" s="93">
        <v>0</v>
      </c>
      <c r="K58" s="92">
        <v>37</v>
      </c>
      <c r="L58" s="93">
        <v>412</v>
      </c>
      <c r="M58" s="226">
        <v>0.69594594594594594</v>
      </c>
      <c r="N58" s="16"/>
      <c r="O58" s="61"/>
    </row>
    <row r="59" spans="2:18" hidden="1">
      <c r="B59" s="595"/>
      <c r="C59" s="245">
        <v>2018</v>
      </c>
      <c r="D59" s="244">
        <v>49</v>
      </c>
      <c r="E59" s="92">
        <v>34</v>
      </c>
      <c r="F59" s="93">
        <v>558</v>
      </c>
      <c r="G59" s="4">
        <v>179</v>
      </c>
      <c r="H59" s="20">
        <v>161</v>
      </c>
      <c r="I59" s="4">
        <v>161</v>
      </c>
      <c r="J59" s="20">
        <v>1</v>
      </c>
      <c r="K59" s="4">
        <v>26</v>
      </c>
      <c r="L59" s="93">
        <f>+G59+H59+K59</f>
        <v>366</v>
      </c>
      <c r="M59" s="243">
        <f>+L59/F59</f>
        <v>0.65591397849462363</v>
      </c>
      <c r="N59" s="16"/>
      <c r="O59" s="61"/>
    </row>
    <row r="60" spans="2:18" hidden="1">
      <c r="B60" s="595"/>
      <c r="C60" s="245">
        <v>2017</v>
      </c>
      <c r="D60" s="244">
        <v>54</v>
      </c>
      <c r="E60" s="92">
        <v>32</v>
      </c>
      <c r="F60" s="93">
        <v>589</v>
      </c>
      <c r="G60" s="4">
        <v>155</v>
      </c>
      <c r="H60" s="20">
        <v>186</v>
      </c>
      <c r="I60" s="4">
        <v>186</v>
      </c>
      <c r="J60" s="20">
        <v>0</v>
      </c>
      <c r="K60" s="4">
        <v>19</v>
      </c>
      <c r="L60" s="93">
        <f t="shared" si="2"/>
        <v>360</v>
      </c>
      <c r="M60" s="243">
        <f>+L60/F60</f>
        <v>0.61120543293718166</v>
      </c>
      <c r="N60" s="16"/>
      <c r="O60" s="61"/>
    </row>
    <row r="61" spans="2:18" hidden="1">
      <c r="B61" s="595"/>
      <c r="C61" s="245">
        <v>2016</v>
      </c>
      <c r="D61" s="244">
        <v>41</v>
      </c>
      <c r="E61" s="92">
        <v>29</v>
      </c>
      <c r="F61" s="93">
        <v>454</v>
      </c>
      <c r="G61" s="4">
        <v>144</v>
      </c>
      <c r="H61" s="20">
        <v>133</v>
      </c>
      <c r="I61" s="4">
        <v>133</v>
      </c>
      <c r="J61" s="20">
        <v>0</v>
      </c>
      <c r="K61" s="4">
        <v>35</v>
      </c>
      <c r="L61" s="93">
        <f t="shared" si="2"/>
        <v>312</v>
      </c>
      <c r="M61" s="243">
        <f>+L61/F61</f>
        <v>0.68722466960352424</v>
      </c>
    </row>
    <row r="62" spans="2:18" hidden="1">
      <c r="B62" s="596"/>
      <c r="C62" s="245">
        <v>2015</v>
      </c>
      <c r="D62" s="227">
        <v>52</v>
      </c>
      <c r="E62" s="177">
        <v>56</v>
      </c>
      <c r="F62" s="183">
        <v>432</v>
      </c>
      <c r="G62" s="4">
        <v>127</v>
      </c>
      <c r="H62" s="219">
        <v>145</v>
      </c>
      <c r="I62" s="218">
        <v>147</v>
      </c>
      <c r="J62" s="20">
        <v>0</v>
      </c>
      <c r="K62" s="60">
        <v>28</v>
      </c>
      <c r="L62" s="93">
        <f t="shared" si="2"/>
        <v>300</v>
      </c>
      <c r="M62" s="243">
        <f>+L62/F62</f>
        <v>0.69444444444444442</v>
      </c>
    </row>
    <row r="63" spans="2:18" ht="15" customHeight="1">
      <c r="B63" s="594" t="s">
        <v>13</v>
      </c>
      <c r="C63" s="248">
        <v>2022</v>
      </c>
      <c r="D63" s="252">
        <v>166</v>
      </c>
      <c r="E63" s="249">
        <v>87</v>
      </c>
      <c r="F63" s="93">
        <v>1819</v>
      </c>
      <c r="G63" s="224">
        <v>200</v>
      </c>
      <c r="H63" s="212">
        <v>489</v>
      </c>
      <c r="I63" s="223">
        <v>489</v>
      </c>
      <c r="J63" s="250">
        <v>0</v>
      </c>
      <c r="K63" s="214">
        <v>277</v>
      </c>
      <c r="L63" s="241">
        <f t="shared" si="2"/>
        <v>966</v>
      </c>
      <c r="M63" s="247">
        <f>+L63/F63</f>
        <v>0.5310610225398571</v>
      </c>
    </row>
    <row r="64" spans="2:18">
      <c r="B64" s="595"/>
      <c r="C64" s="245">
        <v>2021</v>
      </c>
      <c r="D64" s="244">
        <v>134</v>
      </c>
      <c r="E64" s="92">
        <v>86</v>
      </c>
      <c r="F64" s="93">
        <v>1457</v>
      </c>
      <c r="G64" s="20">
        <v>147</v>
      </c>
      <c r="H64" s="184">
        <v>513</v>
      </c>
      <c r="I64" s="4">
        <v>513</v>
      </c>
      <c r="J64" s="20">
        <v>0</v>
      </c>
      <c r="K64" s="4">
        <v>254</v>
      </c>
      <c r="L64" s="93">
        <f t="shared" si="2"/>
        <v>914</v>
      </c>
      <c r="M64" s="226">
        <v>0.64786169244767966</v>
      </c>
    </row>
    <row r="65" spans="2:19">
      <c r="B65" s="595"/>
      <c r="C65" s="216">
        <v>2020</v>
      </c>
      <c r="D65" s="244">
        <v>107</v>
      </c>
      <c r="E65" s="92">
        <v>77</v>
      </c>
      <c r="F65" s="93">
        <v>1256</v>
      </c>
      <c r="G65" s="92">
        <v>150</v>
      </c>
      <c r="H65" s="93">
        <v>508</v>
      </c>
      <c r="I65" s="92">
        <v>507</v>
      </c>
      <c r="J65" s="93">
        <v>1</v>
      </c>
      <c r="K65" s="92">
        <v>241</v>
      </c>
      <c r="L65" s="93">
        <f t="shared" si="2"/>
        <v>899</v>
      </c>
      <c r="M65" s="226">
        <v>0.64786169244767966</v>
      </c>
    </row>
    <row r="66" spans="2:19">
      <c r="B66" s="595"/>
      <c r="C66" s="216">
        <v>2019</v>
      </c>
      <c r="D66" s="227">
        <v>94</v>
      </c>
      <c r="E66" s="92">
        <v>69</v>
      </c>
      <c r="F66" s="93">
        <v>1099</v>
      </c>
      <c r="G66" s="92">
        <v>152</v>
      </c>
      <c r="H66" s="93">
        <v>413</v>
      </c>
      <c r="I66" s="92">
        <v>411</v>
      </c>
      <c r="J66" s="93">
        <v>2</v>
      </c>
      <c r="K66" s="92">
        <v>147</v>
      </c>
      <c r="L66" s="93">
        <v>712</v>
      </c>
      <c r="M66" s="226">
        <v>0.64786169244767966</v>
      </c>
    </row>
    <row r="67" spans="2:19" hidden="1">
      <c r="B67" s="595"/>
      <c r="C67" s="245">
        <v>2018</v>
      </c>
      <c r="D67" s="244">
        <v>91</v>
      </c>
      <c r="E67" s="92">
        <v>60</v>
      </c>
      <c r="F67" s="93">
        <v>1049</v>
      </c>
      <c r="G67" s="4">
        <v>139</v>
      </c>
      <c r="H67" s="20">
        <v>369</v>
      </c>
      <c r="I67" s="4">
        <v>368</v>
      </c>
      <c r="J67" s="20">
        <v>1</v>
      </c>
      <c r="K67" s="4">
        <v>138</v>
      </c>
      <c r="L67" s="93">
        <f>+G67+H67+K67</f>
        <v>646</v>
      </c>
      <c r="M67" s="243">
        <f>+L67/F67</f>
        <v>0.61582459485224028</v>
      </c>
    </row>
    <row r="68" spans="2:19" hidden="1">
      <c r="B68" s="595"/>
      <c r="C68" s="245">
        <v>2017</v>
      </c>
      <c r="D68" s="244">
        <v>85</v>
      </c>
      <c r="E68" s="92">
        <v>51</v>
      </c>
      <c r="F68" s="93">
        <v>981</v>
      </c>
      <c r="G68" s="4">
        <v>134</v>
      </c>
      <c r="H68" s="20">
        <v>312</v>
      </c>
      <c r="I68" s="4">
        <v>309</v>
      </c>
      <c r="J68" s="20">
        <v>3</v>
      </c>
      <c r="K68" s="4">
        <v>110</v>
      </c>
      <c r="L68" s="93">
        <f t="shared" si="2"/>
        <v>556</v>
      </c>
      <c r="M68" s="243">
        <f>+L68/F68</f>
        <v>0.56676860346585112</v>
      </c>
    </row>
    <row r="69" spans="2:19" hidden="1">
      <c r="B69" s="595"/>
      <c r="C69" s="245">
        <v>2016</v>
      </c>
      <c r="D69" s="244">
        <v>77</v>
      </c>
      <c r="E69" s="92">
        <v>43</v>
      </c>
      <c r="F69" s="93">
        <v>876</v>
      </c>
      <c r="G69" s="4">
        <v>143</v>
      </c>
      <c r="H69" s="20">
        <v>266</v>
      </c>
      <c r="I69" s="4">
        <v>266</v>
      </c>
      <c r="J69" s="20">
        <v>0</v>
      </c>
      <c r="K69" s="4">
        <v>61</v>
      </c>
      <c r="L69" s="93">
        <f t="shared" si="2"/>
        <v>470</v>
      </c>
      <c r="M69" s="243">
        <f>+L69/F69</f>
        <v>0.5365296803652968</v>
      </c>
    </row>
    <row r="70" spans="2:19" hidden="1">
      <c r="B70" s="596"/>
      <c r="C70" s="245">
        <v>2015</v>
      </c>
      <c r="D70" s="227">
        <v>77</v>
      </c>
      <c r="E70" s="92">
        <v>50</v>
      </c>
      <c r="F70" s="183">
        <v>854</v>
      </c>
      <c r="G70" s="4">
        <v>173</v>
      </c>
      <c r="H70" s="219">
        <v>310</v>
      </c>
      <c r="I70" s="4">
        <v>309</v>
      </c>
      <c r="J70" s="219">
        <v>1</v>
      </c>
      <c r="K70" s="4">
        <v>47</v>
      </c>
      <c r="L70" s="93">
        <f t="shared" si="2"/>
        <v>530</v>
      </c>
      <c r="M70" s="243">
        <f>+L70/F70</f>
        <v>0.62060889929742391</v>
      </c>
    </row>
    <row r="71" spans="2:19" ht="15" customHeight="1">
      <c r="B71" s="594" t="s">
        <v>14</v>
      </c>
      <c r="C71" s="248">
        <v>2022</v>
      </c>
      <c r="D71" s="214">
        <v>73</v>
      </c>
      <c r="E71" s="241">
        <v>52</v>
      </c>
      <c r="F71" s="230">
        <v>828</v>
      </c>
      <c r="G71" s="229">
        <v>157</v>
      </c>
      <c r="H71" s="223">
        <v>327</v>
      </c>
      <c r="I71" s="224">
        <v>327</v>
      </c>
      <c r="J71" s="20">
        <v>0</v>
      </c>
      <c r="K71" s="230">
        <v>103</v>
      </c>
      <c r="L71" s="241">
        <f t="shared" si="2"/>
        <v>587</v>
      </c>
      <c r="M71" s="247">
        <f>+L71/F71</f>
        <v>0.70893719806763289</v>
      </c>
      <c r="O71" s="506"/>
      <c r="P71" s="506"/>
      <c r="Q71" s="506"/>
      <c r="R71" s="506"/>
    </row>
    <row r="72" spans="2:19">
      <c r="B72" s="595"/>
      <c r="C72" s="245">
        <v>2021</v>
      </c>
      <c r="D72" s="92">
        <v>65</v>
      </c>
      <c r="E72" s="93">
        <v>53</v>
      </c>
      <c r="F72" s="93">
        <v>766</v>
      </c>
      <c r="G72" s="4">
        <v>176</v>
      </c>
      <c r="H72" s="20">
        <v>321</v>
      </c>
      <c r="I72" s="4">
        <v>321</v>
      </c>
      <c r="J72" s="20">
        <v>0</v>
      </c>
      <c r="K72" s="4">
        <v>106</v>
      </c>
      <c r="L72" s="93">
        <f t="shared" si="2"/>
        <v>603</v>
      </c>
      <c r="M72" s="226">
        <v>0.66821705426356592</v>
      </c>
      <c r="O72" s="7"/>
      <c r="P72" s="7"/>
      <c r="Q72" s="7"/>
      <c r="R72" s="7"/>
      <c r="S72" s="7"/>
    </row>
    <row r="73" spans="2:19">
      <c r="B73" s="595"/>
      <c r="C73" s="216">
        <v>2020</v>
      </c>
      <c r="D73" s="92">
        <v>68</v>
      </c>
      <c r="E73" s="93">
        <v>46</v>
      </c>
      <c r="F73" s="93">
        <v>768</v>
      </c>
      <c r="G73" s="92">
        <v>166</v>
      </c>
      <c r="H73" s="93">
        <v>262</v>
      </c>
      <c r="I73" s="92">
        <v>262</v>
      </c>
      <c r="J73" s="93">
        <v>0</v>
      </c>
      <c r="K73" s="92">
        <v>102</v>
      </c>
      <c r="L73" s="93">
        <f t="shared" si="2"/>
        <v>530</v>
      </c>
      <c r="M73" s="226">
        <v>0.66821705426356592</v>
      </c>
      <c r="N73" s="88"/>
      <c r="O73" s="7"/>
      <c r="P73" s="7"/>
      <c r="Q73" s="7"/>
      <c r="R73" s="181"/>
      <c r="S73" s="7"/>
    </row>
    <row r="74" spans="2:19" ht="15">
      <c r="B74" s="595"/>
      <c r="C74" s="216">
        <v>2019</v>
      </c>
      <c r="D74" s="92">
        <v>56</v>
      </c>
      <c r="E74" s="93">
        <v>40</v>
      </c>
      <c r="F74" s="93">
        <v>645</v>
      </c>
      <c r="G74" s="92">
        <v>140</v>
      </c>
      <c r="H74" s="93">
        <v>225</v>
      </c>
      <c r="I74" s="92">
        <v>225</v>
      </c>
      <c r="J74" s="93">
        <v>0</v>
      </c>
      <c r="K74" s="92">
        <v>66</v>
      </c>
      <c r="L74" s="183">
        <v>431</v>
      </c>
      <c r="M74" s="226">
        <v>0.66821705426356592</v>
      </c>
      <c r="N74" s="145"/>
      <c r="O74" s="73"/>
      <c r="P74" s="73"/>
      <c r="Q74" s="7"/>
      <c r="R74" s="7"/>
      <c r="S74" s="7"/>
    </row>
    <row r="75" spans="2:19" ht="15" hidden="1">
      <c r="B75" s="595"/>
      <c r="C75" s="245">
        <v>2018</v>
      </c>
      <c r="D75" s="92">
        <v>49</v>
      </c>
      <c r="E75" s="93">
        <v>35</v>
      </c>
      <c r="F75" s="93">
        <v>571</v>
      </c>
      <c r="G75" s="4">
        <v>125</v>
      </c>
      <c r="H75" s="20">
        <v>211</v>
      </c>
      <c r="I75" s="4">
        <v>211</v>
      </c>
      <c r="J75" s="20">
        <v>0</v>
      </c>
      <c r="K75" s="4">
        <v>66</v>
      </c>
      <c r="L75" s="93">
        <f>+G75+H75+K75</f>
        <v>402</v>
      </c>
      <c r="M75" s="243">
        <f>+L75/F75</f>
        <v>0.70402802101576178</v>
      </c>
      <c r="N75" s="145"/>
      <c r="O75" s="73"/>
      <c r="P75" s="73"/>
      <c r="Q75" s="7"/>
      <c r="R75" s="7"/>
      <c r="S75" s="7"/>
    </row>
    <row r="76" spans="2:19" ht="15" hidden="1">
      <c r="B76" s="595"/>
      <c r="C76" s="245">
        <v>2017</v>
      </c>
      <c r="D76" s="92">
        <v>50</v>
      </c>
      <c r="E76" s="93">
        <v>30</v>
      </c>
      <c r="F76" s="93">
        <v>546</v>
      </c>
      <c r="G76" s="4">
        <v>91</v>
      </c>
      <c r="H76" s="20">
        <v>154</v>
      </c>
      <c r="I76" s="4">
        <v>154</v>
      </c>
      <c r="J76" s="20">
        <v>0</v>
      </c>
      <c r="K76" s="4">
        <v>57</v>
      </c>
      <c r="L76" s="93">
        <f t="shared" ref="L76:L134" si="5">+G76+H76+K76</f>
        <v>302</v>
      </c>
      <c r="M76" s="243">
        <f>+L76/F76</f>
        <v>0.55311355311355315</v>
      </c>
      <c r="N76" s="145"/>
      <c r="O76" s="73"/>
      <c r="P76" s="73"/>
      <c r="Q76" s="7"/>
      <c r="R76" s="7"/>
      <c r="S76" s="181"/>
    </row>
    <row r="77" spans="2:19" ht="15" hidden="1">
      <c r="B77" s="595"/>
      <c r="C77" s="245">
        <v>2016</v>
      </c>
      <c r="D77" s="92">
        <v>45</v>
      </c>
      <c r="E77" s="93">
        <v>30</v>
      </c>
      <c r="F77" s="93">
        <v>495</v>
      </c>
      <c r="G77" s="4">
        <v>67</v>
      </c>
      <c r="H77" s="20">
        <v>152</v>
      </c>
      <c r="I77" s="4">
        <v>152</v>
      </c>
      <c r="J77" s="20">
        <v>0</v>
      </c>
      <c r="K77" s="4">
        <v>72</v>
      </c>
      <c r="L77" s="93">
        <f t="shared" si="5"/>
        <v>291</v>
      </c>
      <c r="M77" s="243">
        <f>+L77/F77</f>
        <v>0.58787878787878789</v>
      </c>
      <c r="N77" s="505"/>
      <c r="O77" s="73"/>
      <c r="P77" s="73"/>
      <c r="Q77" s="7"/>
      <c r="R77" s="181"/>
      <c r="S77" s="7"/>
    </row>
    <row r="78" spans="2:19" ht="15" hidden="1">
      <c r="B78" s="596"/>
      <c r="C78" s="245">
        <v>2015</v>
      </c>
      <c r="D78" s="92">
        <v>54</v>
      </c>
      <c r="E78" s="183">
        <v>43</v>
      </c>
      <c r="F78" s="183">
        <v>484</v>
      </c>
      <c r="G78" s="218">
        <v>86</v>
      </c>
      <c r="H78" s="219">
        <v>194</v>
      </c>
      <c r="I78" s="4">
        <v>194</v>
      </c>
      <c r="J78" s="20">
        <v>0</v>
      </c>
      <c r="K78" s="218">
        <v>79</v>
      </c>
      <c r="L78" s="221">
        <f t="shared" si="5"/>
        <v>359</v>
      </c>
      <c r="M78" s="243">
        <f>+L78/F78</f>
        <v>0.74173553719008267</v>
      </c>
      <c r="N78" s="145"/>
      <c r="O78" s="73"/>
      <c r="P78" s="73"/>
      <c r="Q78" s="7"/>
      <c r="R78" s="7"/>
      <c r="S78" s="7"/>
    </row>
    <row r="79" spans="2:19" ht="15" customHeight="1">
      <c r="B79" s="594" t="s">
        <v>15</v>
      </c>
      <c r="C79" s="248">
        <v>2022</v>
      </c>
      <c r="D79" s="251">
        <v>115</v>
      </c>
      <c r="E79" s="538">
        <v>69</v>
      </c>
      <c r="F79" s="252">
        <v>1215</v>
      </c>
      <c r="G79" s="212">
        <v>240</v>
      </c>
      <c r="H79" s="223">
        <v>371</v>
      </c>
      <c r="I79" s="224">
        <v>370</v>
      </c>
      <c r="J79" s="250">
        <v>1</v>
      </c>
      <c r="K79" s="214">
        <v>155</v>
      </c>
      <c r="L79" s="93">
        <f t="shared" si="5"/>
        <v>766</v>
      </c>
      <c r="M79" s="247">
        <f>+L79/F79</f>
        <v>0.63045267489711931</v>
      </c>
      <c r="N79" s="145"/>
      <c r="O79" s="73"/>
      <c r="P79" s="73"/>
      <c r="Q79" s="7"/>
      <c r="R79" s="7"/>
      <c r="S79" s="7"/>
    </row>
    <row r="80" spans="2:19" ht="15">
      <c r="B80" s="595"/>
      <c r="C80" s="245">
        <v>2021</v>
      </c>
      <c r="D80" s="244">
        <v>90</v>
      </c>
      <c r="E80" s="92">
        <v>63</v>
      </c>
      <c r="F80" s="93">
        <v>1010</v>
      </c>
      <c r="G80" s="4">
        <v>207</v>
      </c>
      <c r="H80" s="20">
        <v>382</v>
      </c>
      <c r="I80" s="4">
        <v>381</v>
      </c>
      <c r="J80" s="20">
        <v>2</v>
      </c>
      <c r="K80" s="4">
        <v>124</v>
      </c>
      <c r="L80" s="93">
        <f t="shared" si="5"/>
        <v>713</v>
      </c>
      <c r="M80" s="226">
        <v>0.74846625766871167</v>
      </c>
      <c r="O80" s="7"/>
      <c r="P80" s="73"/>
      <c r="Q80" s="7"/>
      <c r="R80" s="7"/>
      <c r="S80" s="181"/>
    </row>
    <row r="81" spans="2:19" ht="15">
      <c r="B81" s="595"/>
      <c r="C81" s="216">
        <v>2020</v>
      </c>
      <c r="D81" s="244">
        <v>80</v>
      </c>
      <c r="E81" s="92">
        <v>62</v>
      </c>
      <c r="F81" s="93">
        <v>928</v>
      </c>
      <c r="G81" s="92">
        <v>202</v>
      </c>
      <c r="H81" s="93">
        <v>397</v>
      </c>
      <c r="I81" s="92">
        <v>395</v>
      </c>
      <c r="J81" s="93">
        <v>2</v>
      </c>
      <c r="K81" s="92">
        <v>121</v>
      </c>
      <c r="L81" s="93">
        <f t="shared" si="5"/>
        <v>720</v>
      </c>
      <c r="M81" s="226">
        <v>0.74846625766871167</v>
      </c>
      <c r="O81" s="7"/>
      <c r="P81" s="73"/>
      <c r="Q81" s="7"/>
      <c r="R81" s="7"/>
      <c r="S81" s="7"/>
    </row>
    <row r="82" spans="2:19" ht="15">
      <c r="B82" s="595"/>
      <c r="C82" s="216">
        <v>2019</v>
      </c>
      <c r="D82" s="244">
        <v>71</v>
      </c>
      <c r="E82" s="92">
        <v>60</v>
      </c>
      <c r="F82" s="183">
        <v>815</v>
      </c>
      <c r="G82" s="92">
        <v>193</v>
      </c>
      <c r="H82" s="93">
        <v>313</v>
      </c>
      <c r="I82" s="92">
        <v>312</v>
      </c>
      <c r="J82" s="93">
        <v>1</v>
      </c>
      <c r="K82" s="92">
        <v>104</v>
      </c>
      <c r="L82" s="93">
        <v>610</v>
      </c>
      <c r="M82" s="226">
        <v>0.74846625766871167</v>
      </c>
      <c r="N82" s="88"/>
      <c r="O82" s="7"/>
      <c r="P82" s="73"/>
      <c r="Q82" s="7"/>
      <c r="R82" s="504"/>
      <c r="S82" s="7"/>
    </row>
    <row r="83" spans="2:19" ht="15" hidden="1">
      <c r="B83" s="595"/>
      <c r="C83" s="245">
        <v>2018</v>
      </c>
      <c r="D83" s="244">
        <v>68</v>
      </c>
      <c r="E83" s="92">
        <v>48</v>
      </c>
      <c r="F83" s="93">
        <v>752</v>
      </c>
      <c r="G83" s="4">
        <v>145</v>
      </c>
      <c r="H83" s="20">
        <v>280</v>
      </c>
      <c r="I83" s="4">
        <v>280</v>
      </c>
      <c r="J83" s="20">
        <v>0</v>
      </c>
      <c r="K83" s="4">
        <v>95</v>
      </c>
      <c r="L83" s="93">
        <f>+G83+H83+K83</f>
        <v>520</v>
      </c>
      <c r="M83" s="226">
        <f>+L83/F83</f>
        <v>0.69148936170212771</v>
      </c>
      <c r="N83" s="88"/>
      <c r="O83" s="7"/>
      <c r="P83" s="73"/>
      <c r="Q83" s="7"/>
      <c r="R83" s="504"/>
      <c r="S83" s="7"/>
    </row>
    <row r="84" spans="2:19" ht="15" hidden="1">
      <c r="B84" s="595"/>
      <c r="C84" s="245">
        <v>2017</v>
      </c>
      <c r="D84" s="244">
        <v>60</v>
      </c>
      <c r="E84" s="92">
        <v>42</v>
      </c>
      <c r="F84" s="93">
        <v>690</v>
      </c>
      <c r="G84" s="4">
        <v>125</v>
      </c>
      <c r="H84" s="20">
        <v>207</v>
      </c>
      <c r="I84" s="4">
        <v>207</v>
      </c>
      <c r="J84" s="20">
        <v>0</v>
      </c>
      <c r="K84" s="4">
        <v>86</v>
      </c>
      <c r="L84" s="93">
        <f t="shared" si="5"/>
        <v>418</v>
      </c>
      <c r="M84" s="243">
        <f>+L84/F84</f>
        <v>0.60579710144927534</v>
      </c>
      <c r="N84" s="88"/>
      <c r="O84" s="7"/>
      <c r="P84" s="73"/>
      <c r="Q84" s="7"/>
      <c r="R84" s="504"/>
      <c r="S84" s="7"/>
    </row>
    <row r="85" spans="2:19" ht="15" hidden="1">
      <c r="B85" s="595"/>
      <c r="C85" s="245">
        <v>2016</v>
      </c>
      <c r="D85" s="244">
        <v>59</v>
      </c>
      <c r="E85" s="92">
        <v>43</v>
      </c>
      <c r="F85" s="93">
        <v>645</v>
      </c>
      <c r="G85" s="4">
        <v>140</v>
      </c>
      <c r="H85" s="20">
        <v>187</v>
      </c>
      <c r="I85" s="4">
        <v>187</v>
      </c>
      <c r="J85" s="20">
        <v>0</v>
      </c>
      <c r="K85" s="4">
        <v>114</v>
      </c>
      <c r="L85" s="93">
        <f t="shared" si="5"/>
        <v>441</v>
      </c>
      <c r="M85" s="243">
        <f>+L85/F85</f>
        <v>0.68372093023255809</v>
      </c>
      <c r="O85" s="7"/>
      <c r="P85" s="73"/>
      <c r="Q85" s="7"/>
      <c r="R85" s="7"/>
      <c r="S85" s="7"/>
    </row>
    <row r="86" spans="2:19" ht="15" hidden="1">
      <c r="B86" s="596"/>
      <c r="C86" s="245">
        <v>2015</v>
      </c>
      <c r="D86" s="227">
        <v>68</v>
      </c>
      <c r="E86" s="92">
        <v>47</v>
      </c>
      <c r="F86" s="183">
        <v>665</v>
      </c>
      <c r="G86" s="4">
        <v>134</v>
      </c>
      <c r="H86" s="219">
        <v>194</v>
      </c>
      <c r="I86" s="218">
        <v>194</v>
      </c>
      <c r="J86" s="20">
        <v>0</v>
      </c>
      <c r="K86" s="4">
        <v>100</v>
      </c>
      <c r="L86" s="183">
        <f t="shared" si="5"/>
        <v>428</v>
      </c>
      <c r="M86" s="243">
        <f>+L86/F86</f>
        <v>0.64360902255639096</v>
      </c>
      <c r="N86" s="88"/>
      <c r="O86" s="7"/>
      <c r="P86" s="73"/>
      <c r="Q86" s="7"/>
      <c r="R86" s="504"/>
      <c r="S86" s="181"/>
    </row>
    <row r="87" spans="2:19" ht="15" customHeight="1">
      <c r="B87" s="594" t="s">
        <v>16</v>
      </c>
      <c r="C87" s="248">
        <v>2022</v>
      </c>
      <c r="D87" s="539">
        <v>229</v>
      </c>
      <c r="E87" s="241">
        <v>64</v>
      </c>
      <c r="F87" s="214">
        <v>2234</v>
      </c>
      <c r="G87" s="229">
        <v>164</v>
      </c>
      <c r="H87" s="253">
        <v>295</v>
      </c>
      <c r="I87" s="223">
        <v>295</v>
      </c>
      <c r="J87" s="250">
        <v>0</v>
      </c>
      <c r="K87" s="230">
        <v>237</v>
      </c>
      <c r="L87" s="241">
        <f t="shared" si="5"/>
        <v>696</v>
      </c>
      <c r="M87" s="247">
        <f>+L87/F87</f>
        <v>0.31154879140555058</v>
      </c>
      <c r="O87" s="7"/>
      <c r="P87" s="73"/>
      <c r="Q87" s="7"/>
      <c r="R87" s="7"/>
      <c r="S87" s="7"/>
    </row>
    <row r="88" spans="2:19">
      <c r="B88" s="595"/>
      <c r="C88" s="245">
        <v>2021</v>
      </c>
      <c r="D88" s="92">
        <v>173</v>
      </c>
      <c r="E88" s="93">
        <v>59</v>
      </c>
      <c r="F88" s="93">
        <v>1819</v>
      </c>
      <c r="G88" s="4">
        <v>172</v>
      </c>
      <c r="H88" s="20">
        <v>260</v>
      </c>
      <c r="I88" s="4">
        <v>259</v>
      </c>
      <c r="J88" s="20">
        <v>1</v>
      </c>
      <c r="K88" s="4">
        <v>222</v>
      </c>
      <c r="L88" s="93">
        <f t="shared" si="5"/>
        <v>654</v>
      </c>
      <c r="M88" s="243">
        <v>0.56999999999999995</v>
      </c>
    </row>
    <row r="89" spans="2:19">
      <c r="B89" s="595"/>
      <c r="C89" s="216">
        <v>2020</v>
      </c>
      <c r="D89" s="92">
        <v>118</v>
      </c>
      <c r="E89" s="93">
        <v>47</v>
      </c>
      <c r="F89" s="93">
        <v>1203</v>
      </c>
      <c r="G89" s="92">
        <v>107</v>
      </c>
      <c r="H89" s="93">
        <v>188</v>
      </c>
      <c r="I89" s="92">
        <v>188</v>
      </c>
      <c r="J89" s="93">
        <v>0</v>
      </c>
      <c r="K89" s="92">
        <v>206</v>
      </c>
      <c r="L89" s="93">
        <f t="shared" si="5"/>
        <v>501</v>
      </c>
      <c r="M89" s="243">
        <v>0.56999999999999995</v>
      </c>
    </row>
    <row r="90" spans="2:19">
      <c r="B90" s="595"/>
      <c r="C90" s="216">
        <v>2019</v>
      </c>
      <c r="D90" s="92">
        <v>63</v>
      </c>
      <c r="E90" s="93">
        <v>38</v>
      </c>
      <c r="F90" s="183">
        <v>700</v>
      </c>
      <c r="G90" s="92">
        <v>100</v>
      </c>
      <c r="H90" s="93">
        <v>178</v>
      </c>
      <c r="I90" s="92">
        <v>176</v>
      </c>
      <c r="J90" s="93">
        <v>2</v>
      </c>
      <c r="K90" s="92">
        <v>121</v>
      </c>
      <c r="L90" s="183">
        <v>399</v>
      </c>
      <c r="M90" s="243">
        <v>0.56999999999999995</v>
      </c>
    </row>
    <row r="91" spans="2:19" hidden="1">
      <c r="B91" s="595"/>
      <c r="C91" s="245">
        <v>2018</v>
      </c>
      <c r="D91" s="92">
        <v>63</v>
      </c>
      <c r="E91" s="93">
        <v>32</v>
      </c>
      <c r="F91" s="93">
        <v>724</v>
      </c>
      <c r="G91" s="4">
        <v>104</v>
      </c>
      <c r="H91" s="20">
        <v>199</v>
      </c>
      <c r="I91" s="4">
        <v>199</v>
      </c>
      <c r="J91" s="20">
        <v>0</v>
      </c>
      <c r="K91" s="4">
        <v>63</v>
      </c>
      <c r="L91" s="93">
        <f>+G91+H91+K91</f>
        <v>366</v>
      </c>
      <c r="M91" s="243">
        <f>+L91/F91</f>
        <v>0.50552486187845302</v>
      </c>
    </row>
    <row r="92" spans="2:19" hidden="1">
      <c r="B92" s="595"/>
      <c r="C92" s="245">
        <v>2017</v>
      </c>
      <c r="D92" s="92">
        <v>56</v>
      </c>
      <c r="E92" s="93">
        <v>29</v>
      </c>
      <c r="F92" s="93">
        <v>631</v>
      </c>
      <c r="G92" s="4">
        <v>68</v>
      </c>
      <c r="H92" s="20">
        <v>155</v>
      </c>
      <c r="I92" s="4">
        <v>155</v>
      </c>
      <c r="J92" s="20">
        <v>0</v>
      </c>
      <c r="K92" s="4">
        <v>63</v>
      </c>
      <c r="L92" s="93">
        <f t="shared" si="5"/>
        <v>286</v>
      </c>
      <c r="M92" s="243">
        <f>+L92/F92</f>
        <v>0.45324881141045958</v>
      </c>
    </row>
    <row r="93" spans="2:19" hidden="1">
      <c r="B93" s="595"/>
      <c r="C93" s="245">
        <v>2016</v>
      </c>
      <c r="D93" s="92">
        <v>52</v>
      </c>
      <c r="E93" s="93">
        <v>25</v>
      </c>
      <c r="F93" s="93">
        <v>574</v>
      </c>
      <c r="G93" s="4">
        <v>77</v>
      </c>
      <c r="H93" s="20">
        <v>124</v>
      </c>
      <c r="I93" s="4">
        <v>124</v>
      </c>
      <c r="J93" s="20">
        <v>0</v>
      </c>
      <c r="K93" s="4">
        <v>59</v>
      </c>
      <c r="L93" s="93">
        <f t="shared" si="5"/>
        <v>260</v>
      </c>
      <c r="M93" s="243">
        <f>+L93/F93</f>
        <v>0.45296167247386759</v>
      </c>
    </row>
    <row r="94" spans="2:19" hidden="1">
      <c r="B94" s="596"/>
      <c r="C94" s="245">
        <v>2015</v>
      </c>
      <c r="D94" s="254">
        <v>60</v>
      </c>
      <c r="E94" s="183">
        <v>27</v>
      </c>
      <c r="F94" s="183">
        <v>611</v>
      </c>
      <c r="G94" s="60">
        <v>101</v>
      </c>
      <c r="H94" s="60">
        <v>156</v>
      </c>
      <c r="I94" s="60">
        <v>156</v>
      </c>
      <c r="J94" s="20">
        <v>0</v>
      </c>
      <c r="K94" s="4">
        <v>42</v>
      </c>
      <c r="L94" s="183">
        <f t="shared" si="5"/>
        <v>299</v>
      </c>
      <c r="M94" s="243">
        <f>+L94/F94</f>
        <v>0.48936170212765956</v>
      </c>
    </row>
    <row r="95" spans="2:19" ht="15" customHeight="1">
      <c r="B95" s="594" t="s">
        <v>17</v>
      </c>
      <c r="C95" s="537">
        <v>2022</v>
      </c>
      <c r="D95" s="539">
        <v>40</v>
      </c>
      <c r="E95" s="241">
        <v>8</v>
      </c>
      <c r="F95" s="214">
        <v>392</v>
      </c>
      <c r="G95" s="224">
        <v>43</v>
      </c>
      <c r="H95" s="212">
        <v>44</v>
      </c>
      <c r="I95" s="224">
        <v>44</v>
      </c>
      <c r="J95" s="250">
        <v>0</v>
      </c>
      <c r="K95" s="230">
        <v>3</v>
      </c>
      <c r="L95" s="93">
        <f t="shared" si="5"/>
        <v>90</v>
      </c>
      <c r="M95" s="247">
        <f>+L95/F95</f>
        <v>0.22959183673469388</v>
      </c>
    </row>
    <row r="96" spans="2:19">
      <c r="B96" s="595"/>
      <c r="C96" s="245">
        <v>2021</v>
      </c>
      <c r="D96" s="92">
        <v>21</v>
      </c>
      <c r="E96" s="93">
        <v>6</v>
      </c>
      <c r="F96" s="93">
        <v>202</v>
      </c>
      <c r="G96" s="4">
        <v>32</v>
      </c>
      <c r="H96" s="20">
        <v>40</v>
      </c>
      <c r="I96" s="4">
        <v>40</v>
      </c>
      <c r="J96" s="20">
        <v>0</v>
      </c>
      <c r="K96" s="4">
        <v>0</v>
      </c>
      <c r="L96" s="93">
        <f t="shared" si="5"/>
        <v>72</v>
      </c>
      <c r="M96" s="226">
        <v>0.45222929936305734</v>
      </c>
    </row>
    <row r="97" spans="2:13">
      <c r="B97" s="595"/>
      <c r="C97" s="216">
        <v>2020</v>
      </c>
      <c r="D97" s="92">
        <v>16</v>
      </c>
      <c r="E97" s="93">
        <v>6</v>
      </c>
      <c r="F97" s="93">
        <v>185</v>
      </c>
      <c r="G97" s="92">
        <v>45</v>
      </c>
      <c r="H97" s="93">
        <v>23</v>
      </c>
      <c r="I97" s="92">
        <v>23</v>
      </c>
      <c r="J97" s="93">
        <v>0</v>
      </c>
      <c r="K97" s="92">
        <v>0</v>
      </c>
      <c r="L97" s="93">
        <f t="shared" si="5"/>
        <v>68</v>
      </c>
      <c r="M97" s="226">
        <v>0.45222929936305734</v>
      </c>
    </row>
    <row r="98" spans="2:13">
      <c r="B98" s="595"/>
      <c r="C98" s="216">
        <v>2019</v>
      </c>
      <c r="D98" s="92">
        <v>14</v>
      </c>
      <c r="E98" s="93">
        <v>10</v>
      </c>
      <c r="F98" s="93">
        <v>157</v>
      </c>
      <c r="G98" s="92">
        <v>41</v>
      </c>
      <c r="H98" s="93">
        <v>21</v>
      </c>
      <c r="I98" s="92">
        <v>21</v>
      </c>
      <c r="J98" s="93">
        <v>0</v>
      </c>
      <c r="K98" s="92">
        <v>9</v>
      </c>
      <c r="L98" s="93">
        <v>71</v>
      </c>
      <c r="M98" s="226">
        <v>0.45222929936305734</v>
      </c>
    </row>
    <row r="99" spans="2:13" hidden="1">
      <c r="B99" s="595"/>
      <c r="C99" s="245">
        <v>2018</v>
      </c>
      <c r="D99" s="92">
        <v>14</v>
      </c>
      <c r="E99" s="93">
        <v>11</v>
      </c>
      <c r="F99" s="93">
        <v>164</v>
      </c>
      <c r="G99" s="4">
        <v>23</v>
      </c>
      <c r="H99" s="20">
        <v>36</v>
      </c>
      <c r="I99" s="4">
        <v>36</v>
      </c>
      <c r="J99" s="20">
        <v>0</v>
      </c>
      <c r="K99" s="4">
        <v>40</v>
      </c>
      <c r="L99" s="93">
        <f>+G99+H99+K99</f>
        <v>99</v>
      </c>
      <c r="M99" s="243">
        <f>+L99/F99</f>
        <v>0.60365853658536583</v>
      </c>
    </row>
    <row r="100" spans="2:13" hidden="1">
      <c r="B100" s="595"/>
      <c r="C100" s="245">
        <v>2017</v>
      </c>
      <c r="D100" s="92">
        <v>16</v>
      </c>
      <c r="E100" s="93">
        <v>8</v>
      </c>
      <c r="F100" s="93">
        <v>183</v>
      </c>
      <c r="G100" s="4">
        <v>17</v>
      </c>
      <c r="H100" s="20">
        <v>28</v>
      </c>
      <c r="I100" s="4">
        <v>28</v>
      </c>
      <c r="J100" s="20">
        <v>0</v>
      </c>
      <c r="K100" s="4">
        <v>40</v>
      </c>
      <c r="L100" s="93">
        <f t="shared" si="5"/>
        <v>85</v>
      </c>
      <c r="M100" s="243">
        <f>+L100/F100</f>
        <v>0.46448087431693991</v>
      </c>
    </row>
    <row r="101" spans="2:13" hidden="1">
      <c r="B101" s="595"/>
      <c r="C101" s="245">
        <v>2016</v>
      </c>
      <c r="D101" s="92">
        <v>15</v>
      </c>
      <c r="E101" s="93">
        <v>9</v>
      </c>
      <c r="F101" s="93">
        <v>174</v>
      </c>
      <c r="G101" s="4">
        <v>25</v>
      </c>
      <c r="H101" s="20">
        <v>31</v>
      </c>
      <c r="I101" s="4">
        <v>31</v>
      </c>
      <c r="J101" s="20">
        <v>0</v>
      </c>
      <c r="K101" s="4">
        <v>31</v>
      </c>
      <c r="L101" s="93">
        <f t="shared" si="5"/>
        <v>87</v>
      </c>
      <c r="M101" s="243">
        <f>+L101/F101</f>
        <v>0.5</v>
      </c>
    </row>
    <row r="102" spans="2:13" hidden="1">
      <c r="B102" s="596"/>
      <c r="C102" s="245">
        <v>2015</v>
      </c>
      <c r="D102" s="92">
        <v>12</v>
      </c>
      <c r="E102" s="183">
        <v>4</v>
      </c>
      <c r="F102" s="183">
        <v>135</v>
      </c>
      <c r="G102" s="4">
        <v>16</v>
      </c>
      <c r="H102" s="20">
        <v>8</v>
      </c>
      <c r="I102" s="4">
        <v>8</v>
      </c>
      <c r="J102" s="219">
        <v>0</v>
      </c>
      <c r="K102" s="4">
        <v>5</v>
      </c>
      <c r="L102" s="183">
        <f t="shared" si="5"/>
        <v>29</v>
      </c>
      <c r="M102" s="243">
        <f>+L102/F102</f>
        <v>0.21481481481481482</v>
      </c>
    </row>
    <row r="103" spans="2:13" ht="15" customHeight="1">
      <c r="B103" s="594" t="s">
        <v>18</v>
      </c>
      <c r="C103" s="248">
        <v>2022</v>
      </c>
      <c r="D103" s="255">
        <v>143</v>
      </c>
      <c r="E103" s="241">
        <v>38</v>
      </c>
      <c r="F103" s="230">
        <v>1402</v>
      </c>
      <c r="G103" s="229">
        <v>37</v>
      </c>
      <c r="H103" s="229">
        <v>193</v>
      </c>
      <c r="I103" s="224">
        <v>193</v>
      </c>
      <c r="J103" s="20">
        <v>0</v>
      </c>
      <c r="K103" s="230">
        <v>182</v>
      </c>
      <c r="L103" s="241">
        <f t="shared" si="5"/>
        <v>412</v>
      </c>
      <c r="M103" s="247">
        <f>+L103/F103</f>
        <v>0.29386590584878747</v>
      </c>
    </row>
    <row r="104" spans="2:13" ht="15" customHeight="1">
      <c r="B104" s="595"/>
      <c r="C104" s="245">
        <v>2021</v>
      </c>
      <c r="D104" s="92">
        <v>97</v>
      </c>
      <c r="E104" s="93">
        <v>29</v>
      </c>
      <c r="F104" s="93">
        <v>882</v>
      </c>
      <c r="G104" s="4">
        <v>43</v>
      </c>
      <c r="H104" s="20">
        <v>152</v>
      </c>
      <c r="I104" s="4">
        <v>152</v>
      </c>
      <c r="J104" s="20">
        <v>0</v>
      </c>
      <c r="K104" s="4">
        <v>117</v>
      </c>
      <c r="L104" s="93">
        <f t="shared" si="5"/>
        <v>312</v>
      </c>
      <c r="M104" s="226">
        <v>0.47416974169741699</v>
      </c>
    </row>
    <row r="105" spans="2:13">
      <c r="B105" s="595"/>
      <c r="C105" s="216">
        <v>2020</v>
      </c>
      <c r="D105" s="92">
        <v>69</v>
      </c>
      <c r="E105" s="93">
        <v>26</v>
      </c>
      <c r="F105" s="93">
        <v>754</v>
      </c>
      <c r="G105" s="92">
        <v>61</v>
      </c>
      <c r="H105" s="93">
        <v>134</v>
      </c>
      <c r="I105" s="92">
        <v>132</v>
      </c>
      <c r="J105" s="93">
        <v>2</v>
      </c>
      <c r="K105" s="92">
        <v>102</v>
      </c>
      <c r="L105" s="93">
        <f t="shared" si="5"/>
        <v>297</v>
      </c>
      <c r="M105" s="226">
        <v>0.47416974169741699</v>
      </c>
    </row>
    <row r="106" spans="2:13">
      <c r="B106" s="595"/>
      <c r="C106" s="216">
        <v>2019</v>
      </c>
      <c r="D106" s="92">
        <v>46</v>
      </c>
      <c r="E106" s="93">
        <v>28</v>
      </c>
      <c r="F106" s="93">
        <v>542</v>
      </c>
      <c r="G106" s="92">
        <v>34</v>
      </c>
      <c r="H106" s="93">
        <v>130</v>
      </c>
      <c r="I106" s="92">
        <v>130</v>
      </c>
      <c r="J106" s="93">
        <v>0</v>
      </c>
      <c r="K106" s="92">
        <v>93</v>
      </c>
      <c r="L106" s="93">
        <v>257</v>
      </c>
      <c r="M106" s="226">
        <v>0.47416974169741699</v>
      </c>
    </row>
    <row r="107" spans="2:13" hidden="1">
      <c r="B107" s="595"/>
      <c r="C107" s="245">
        <v>2018</v>
      </c>
      <c r="D107" s="92">
        <v>43</v>
      </c>
      <c r="E107" s="93">
        <v>21</v>
      </c>
      <c r="F107" s="93">
        <v>459</v>
      </c>
      <c r="G107" s="4">
        <v>45</v>
      </c>
      <c r="H107" s="20">
        <v>105</v>
      </c>
      <c r="I107" s="4">
        <v>105</v>
      </c>
      <c r="J107" s="20">
        <v>0</v>
      </c>
      <c r="K107" s="4">
        <v>69</v>
      </c>
      <c r="L107" s="93">
        <f>+G107+H107+K107</f>
        <v>219</v>
      </c>
      <c r="M107" s="243">
        <f>+L107/F107</f>
        <v>0.47712418300653597</v>
      </c>
    </row>
    <row r="108" spans="2:13" hidden="1">
      <c r="B108" s="595"/>
      <c r="C108" s="245">
        <v>2017</v>
      </c>
      <c r="D108" s="92">
        <v>38</v>
      </c>
      <c r="E108" s="93">
        <v>19</v>
      </c>
      <c r="F108" s="93">
        <v>410</v>
      </c>
      <c r="G108" s="4">
        <v>58</v>
      </c>
      <c r="H108" s="20">
        <v>83</v>
      </c>
      <c r="I108" s="4">
        <v>83</v>
      </c>
      <c r="J108" s="20">
        <v>0</v>
      </c>
      <c r="K108" s="4">
        <v>55</v>
      </c>
      <c r="L108" s="93">
        <f t="shared" si="5"/>
        <v>196</v>
      </c>
      <c r="M108" s="243">
        <f>+L108/F108</f>
        <v>0.47804878048780486</v>
      </c>
    </row>
    <row r="109" spans="2:13" hidden="1">
      <c r="B109" s="595"/>
      <c r="C109" s="245">
        <v>2016</v>
      </c>
      <c r="D109" s="92">
        <v>41</v>
      </c>
      <c r="E109" s="93">
        <v>20</v>
      </c>
      <c r="F109" s="93">
        <v>451</v>
      </c>
      <c r="G109" s="4">
        <v>37</v>
      </c>
      <c r="H109" s="20">
        <v>80</v>
      </c>
      <c r="I109" s="4">
        <v>78</v>
      </c>
      <c r="J109" s="20">
        <v>2</v>
      </c>
      <c r="K109" s="4">
        <v>64</v>
      </c>
      <c r="L109" s="93">
        <f t="shared" si="5"/>
        <v>181</v>
      </c>
      <c r="M109" s="243">
        <f>+L109/F109</f>
        <v>0.40133037694013302</v>
      </c>
    </row>
    <row r="110" spans="2:13" hidden="1">
      <c r="B110" s="596"/>
      <c r="C110" s="245">
        <v>2015</v>
      </c>
      <c r="D110" s="244">
        <v>51</v>
      </c>
      <c r="E110" s="183">
        <v>24</v>
      </c>
      <c r="F110" s="183">
        <v>539</v>
      </c>
      <c r="G110" s="60">
        <v>44</v>
      </c>
      <c r="H110" s="20">
        <v>103</v>
      </c>
      <c r="I110" s="218">
        <v>105</v>
      </c>
      <c r="J110" s="20">
        <v>0</v>
      </c>
      <c r="K110" s="218">
        <v>81</v>
      </c>
      <c r="L110" s="93">
        <f t="shared" si="5"/>
        <v>228</v>
      </c>
      <c r="M110" s="243">
        <f>+L110/F110</f>
        <v>0.42300556586270871</v>
      </c>
    </row>
    <row r="111" spans="2:13" ht="15" customHeight="1">
      <c r="B111" s="594" t="s">
        <v>19</v>
      </c>
      <c r="C111" s="537">
        <v>2022</v>
      </c>
      <c r="D111" s="539">
        <v>75</v>
      </c>
      <c r="E111" s="241">
        <v>36</v>
      </c>
      <c r="F111" s="228">
        <v>730</v>
      </c>
      <c r="G111" s="212">
        <v>94</v>
      </c>
      <c r="H111" s="229">
        <v>162</v>
      </c>
      <c r="I111" s="212">
        <v>162</v>
      </c>
      <c r="J111" s="250">
        <v>0</v>
      </c>
      <c r="K111" s="214">
        <v>153</v>
      </c>
      <c r="L111" s="241">
        <f t="shared" si="5"/>
        <v>409</v>
      </c>
      <c r="M111" s="247">
        <f>+L111/F111</f>
        <v>0.5602739726027397</v>
      </c>
    </row>
    <row r="112" spans="2:13">
      <c r="B112" s="595"/>
      <c r="C112" s="245">
        <v>2021</v>
      </c>
      <c r="D112" s="92">
        <v>64</v>
      </c>
      <c r="E112" s="93">
        <v>29</v>
      </c>
      <c r="F112" s="93">
        <v>630</v>
      </c>
      <c r="G112" s="4">
        <v>65</v>
      </c>
      <c r="H112" s="20">
        <v>180</v>
      </c>
      <c r="I112" s="4">
        <v>180</v>
      </c>
      <c r="J112" s="20">
        <v>0</v>
      </c>
      <c r="K112" s="4">
        <v>97</v>
      </c>
      <c r="L112" s="93">
        <f t="shared" si="5"/>
        <v>342</v>
      </c>
      <c r="M112" s="226">
        <v>0.61926605504587151</v>
      </c>
    </row>
    <row r="113" spans="2:13">
      <c r="B113" s="595"/>
      <c r="C113" s="216">
        <v>2020</v>
      </c>
      <c r="D113" s="92">
        <v>45</v>
      </c>
      <c r="E113" s="93">
        <v>24</v>
      </c>
      <c r="F113" s="93">
        <v>511</v>
      </c>
      <c r="G113" s="92">
        <v>74</v>
      </c>
      <c r="H113" s="93">
        <v>119</v>
      </c>
      <c r="I113" s="92">
        <v>119</v>
      </c>
      <c r="J113" s="93">
        <v>0</v>
      </c>
      <c r="K113" s="92">
        <v>94</v>
      </c>
      <c r="L113" s="93">
        <f t="shared" si="5"/>
        <v>287</v>
      </c>
      <c r="M113" s="226">
        <v>0.61926605504587151</v>
      </c>
    </row>
    <row r="114" spans="2:13">
      <c r="B114" s="595"/>
      <c r="C114" s="216">
        <v>2019</v>
      </c>
      <c r="D114" s="92">
        <v>37</v>
      </c>
      <c r="E114" s="93">
        <v>25</v>
      </c>
      <c r="F114" s="93">
        <v>436</v>
      </c>
      <c r="G114" s="92">
        <v>75</v>
      </c>
      <c r="H114" s="93">
        <v>104</v>
      </c>
      <c r="I114" s="92">
        <v>103</v>
      </c>
      <c r="J114" s="93">
        <v>1</v>
      </c>
      <c r="K114" s="92">
        <v>91</v>
      </c>
      <c r="L114" s="93">
        <v>270</v>
      </c>
      <c r="M114" s="226">
        <v>0.61926605504587151</v>
      </c>
    </row>
    <row r="115" spans="2:13" hidden="1">
      <c r="B115" s="595"/>
      <c r="C115" s="245">
        <v>2018</v>
      </c>
      <c r="D115" s="92">
        <v>35</v>
      </c>
      <c r="E115" s="93">
        <v>19</v>
      </c>
      <c r="F115" s="93">
        <v>370</v>
      </c>
      <c r="G115" s="4">
        <v>51</v>
      </c>
      <c r="H115" s="20">
        <v>139</v>
      </c>
      <c r="I115" s="4">
        <v>139</v>
      </c>
      <c r="J115" s="20">
        <v>0</v>
      </c>
      <c r="K115" s="4">
        <v>30</v>
      </c>
      <c r="L115" s="93">
        <f>+G115+H115+K115</f>
        <v>220</v>
      </c>
      <c r="M115" s="243">
        <f>+L115/F115</f>
        <v>0.59459459459459463</v>
      </c>
    </row>
    <row r="116" spans="2:13" hidden="1">
      <c r="B116" s="595"/>
      <c r="C116" s="245">
        <v>2017</v>
      </c>
      <c r="D116" s="92">
        <v>35</v>
      </c>
      <c r="E116" s="93">
        <v>21</v>
      </c>
      <c r="F116" s="93">
        <v>406</v>
      </c>
      <c r="G116" s="4">
        <v>59</v>
      </c>
      <c r="H116" s="20">
        <v>132</v>
      </c>
      <c r="I116" s="4">
        <v>132</v>
      </c>
      <c r="J116" s="20">
        <v>0</v>
      </c>
      <c r="K116" s="4">
        <v>46</v>
      </c>
      <c r="L116" s="93">
        <f t="shared" si="5"/>
        <v>237</v>
      </c>
      <c r="M116" s="243">
        <f>+L116/F116</f>
        <v>0.58374384236453203</v>
      </c>
    </row>
    <row r="117" spans="2:13" hidden="1">
      <c r="B117" s="595"/>
      <c r="C117" s="245">
        <v>2016</v>
      </c>
      <c r="D117" s="92">
        <v>38</v>
      </c>
      <c r="E117" s="93">
        <v>25</v>
      </c>
      <c r="F117" s="93">
        <v>442</v>
      </c>
      <c r="G117" s="4">
        <v>43</v>
      </c>
      <c r="H117" s="20">
        <v>155</v>
      </c>
      <c r="I117" s="4">
        <v>155</v>
      </c>
      <c r="J117" s="20">
        <v>0</v>
      </c>
      <c r="K117" s="4">
        <v>58</v>
      </c>
      <c r="L117" s="93">
        <f t="shared" si="5"/>
        <v>256</v>
      </c>
      <c r="M117" s="243">
        <f>+L117/F117</f>
        <v>0.579185520361991</v>
      </c>
    </row>
    <row r="118" spans="2:13" hidden="1">
      <c r="B118" s="596"/>
      <c r="C118" s="245">
        <v>2015</v>
      </c>
      <c r="D118" s="254">
        <v>49</v>
      </c>
      <c r="E118" s="183">
        <v>25</v>
      </c>
      <c r="F118" s="183">
        <v>487</v>
      </c>
      <c r="G118" s="60">
        <v>47</v>
      </c>
      <c r="H118" s="20">
        <v>151</v>
      </c>
      <c r="I118" s="4">
        <v>153</v>
      </c>
      <c r="J118" s="219">
        <v>0</v>
      </c>
      <c r="K118" s="4">
        <v>47</v>
      </c>
      <c r="L118" s="93">
        <f t="shared" si="5"/>
        <v>245</v>
      </c>
      <c r="M118" s="243">
        <f>+L118/F118</f>
        <v>0.50308008213552358</v>
      </c>
    </row>
    <row r="119" spans="2:13" ht="15" customHeight="1">
      <c r="B119" s="594" t="s">
        <v>43</v>
      </c>
      <c r="C119" s="537">
        <v>2022</v>
      </c>
      <c r="D119" s="539">
        <v>27</v>
      </c>
      <c r="E119" s="241">
        <v>13</v>
      </c>
      <c r="F119" s="230">
        <v>252</v>
      </c>
      <c r="G119" s="212">
        <v>72</v>
      </c>
      <c r="H119" s="229">
        <v>74</v>
      </c>
      <c r="I119" s="224">
        <v>74</v>
      </c>
      <c r="J119" s="20">
        <v>0</v>
      </c>
      <c r="K119" s="230">
        <v>9</v>
      </c>
      <c r="L119" s="241">
        <f t="shared" si="5"/>
        <v>155</v>
      </c>
      <c r="M119" s="247">
        <f>+L119/F119</f>
        <v>0.61507936507936511</v>
      </c>
    </row>
    <row r="120" spans="2:13">
      <c r="B120" s="595"/>
      <c r="C120" s="245">
        <v>2021</v>
      </c>
      <c r="D120" s="92">
        <v>18</v>
      </c>
      <c r="E120" s="93">
        <v>11</v>
      </c>
      <c r="F120" s="93">
        <v>198</v>
      </c>
      <c r="G120" s="4">
        <v>66</v>
      </c>
      <c r="H120" s="20">
        <v>64</v>
      </c>
      <c r="I120" s="4">
        <v>64</v>
      </c>
      <c r="J120" s="20">
        <v>0</v>
      </c>
      <c r="K120" s="4">
        <v>2</v>
      </c>
      <c r="L120" s="93">
        <f t="shared" si="5"/>
        <v>132</v>
      </c>
      <c r="M120" s="226">
        <v>0.53333333333333333</v>
      </c>
    </row>
    <row r="121" spans="2:13">
      <c r="B121" s="595"/>
      <c r="C121" s="216">
        <v>2020</v>
      </c>
      <c r="D121" s="92">
        <v>15</v>
      </c>
      <c r="E121" s="93">
        <v>8</v>
      </c>
      <c r="F121" s="93">
        <v>171</v>
      </c>
      <c r="G121" s="92">
        <v>35</v>
      </c>
      <c r="H121" s="93">
        <v>60</v>
      </c>
      <c r="I121" s="92">
        <v>60</v>
      </c>
      <c r="J121" s="93">
        <v>0</v>
      </c>
      <c r="K121" s="92">
        <v>1</v>
      </c>
      <c r="L121" s="93">
        <f t="shared" si="5"/>
        <v>96</v>
      </c>
      <c r="M121" s="226">
        <v>0.53333333333333333</v>
      </c>
    </row>
    <row r="122" spans="2:13">
      <c r="B122" s="595"/>
      <c r="C122" s="534">
        <v>2019</v>
      </c>
      <c r="D122" s="92">
        <v>15</v>
      </c>
      <c r="E122" s="93">
        <v>8</v>
      </c>
      <c r="F122" s="93">
        <v>180</v>
      </c>
      <c r="G122" s="92">
        <v>52</v>
      </c>
      <c r="H122" s="93">
        <v>44</v>
      </c>
      <c r="I122" s="92">
        <v>44</v>
      </c>
      <c r="J122" s="93">
        <v>0</v>
      </c>
      <c r="K122" s="92">
        <v>0</v>
      </c>
      <c r="L122" s="93">
        <v>96</v>
      </c>
      <c r="M122" s="226">
        <v>0.53333333333333333</v>
      </c>
    </row>
    <row r="123" spans="2:13" hidden="1">
      <c r="B123" s="595"/>
      <c r="C123" s="245">
        <v>2018</v>
      </c>
      <c r="D123" s="92">
        <v>15</v>
      </c>
      <c r="E123" s="93">
        <v>8</v>
      </c>
      <c r="F123" s="93">
        <v>180</v>
      </c>
      <c r="G123" s="4">
        <v>45</v>
      </c>
      <c r="H123" s="20">
        <v>51</v>
      </c>
      <c r="I123" s="4">
        <v>51</v>
      </c>
      <c r="J123" s="20">
        <v>0</v>
      </c>
      <c r="K123" s="4">
        <v>0</v>
      </c>
      <c r="L123" s="93">
        <f>+G123+H123+K123</f>
        <v>96</v>
      </c>
      <c r="M123" s="243">
        <f>+L123/F123</f>
        <v>0.53333333333333333</v>
      </c>
    </row>
    <row r="124" spans="2:13" hidden="1">
      <c r="B124" s="595"/>
      <c r="C124" s="245">
        <v>2017</v>
      </c>
      <c r="D124" s="92">
        <v>15</v>
      </c>
      <c r="E124" s="93">
        <v>8</v>
      </c>
      <c r="F124" s="93">
        <v>180</v>
      </c>
      <c r="G124" s="4">
        <v>47</v>
      </c>
      <c r="H124" s="20">
        <v>44</v>
      </c>
      <c r="I124" s="4">
        <v>44</v>
      </c>
      <c r="J124" s="20">
        <v>0</v>
      </c>
      <c r="K124" s="4">
        <v>5</v>
      </c>
      <c r="L124" s="93">
        <f t="shared" si="5"/>
        <v>96</v>
      </c>
      <c r="M124" s="243">
        <f>+L124/F124</f>
        <v>0.53333333333333333</v>
      </c>
    </row>
    <row r="125" spans="2:13" hidden="1">
      <c r="B125" s="595"/>
      <c r="C125" s="245">
        <v>2016</v>
      </c>
      <c r="D125" s="92">
        <v>15</v>
      </c>
      <c r="E125" s="93">
        <v>8</v>
      </c>
      <c r="F125" s="93">
        <v>172</v>
      </c>
      <c r="G125" s="4">
        <v>36</v>
      </c>
      <c r="H125" s="20">
        <v>46</v>
      </c>
      <c r="I125" s="4">
        <v>45</v>
      </c>
      <c r="J125" s="20">
        <v>1</v>
      </c>
      <c r="K125" s="4">
        <v>7</v>
      </c>
      <c r="L125" s="93">
        <f t="shared" si="5"/>
        <v>89</v>
      </c>
      <c r="M125" s="243">
        <f>+L125/F125</f>
        <v>0.51744186046511631</v>
      </c>
    </row>
    <row r="126" spans="2:13" hidden="1">
      <c r="B126" s="596"/>
      <c r="C126" s="246">
        <v>2015</v>
      </c>
      <c r="D126" s="244">
        <v>19</v>
      </c>
      <c r="E126" s="183">
        <v>9</v>
      </c>
      <c r="F126" s="183">
        <v>189</v>
      </c>
      <c r="G126" s="60">
        <v>35</v>
      </c>
      <c r="H126" s="219">
        <v>44</v>
      </c>
      <c r="I126" s="4">
        <v>44</v>
      </c>
      <c r="J126" s="219">
        <v>0</v>
      </c>
      <c r="K126" s="218">
        <v>8</v>
      </c>
      <c r="L126" s="93">
        <f t="shared" si="5"/>
        <v>87</v>
      </c>
      <c r="M126" s="243">
        <f>+L126/F126</f>
        <v>0.46031746031746029</v>
      </c>
    </row>
    <row r="127" spans="2:13" ht="15" customHeight="1">
      <c r="B127" s="594" t="s">
        <v>20</v>
      </c>
      <c r="C127" s="245">
        <v>2022</v>
      </c>
      <c r="D127" s="539">
        <v>17</v>
      </c>
      <c r="E127" s="241">
        <v>7</v>
      </c>
      <c r="F127" s="230">
        <v>176</v>
      </c>
      <c r="G127" s="212">
        <v>4</v>
      </c>
      <c r="H127" s="223">
        <v>45</v>
      </c>
      <c r="I127" s="224">
        <v>45</v>
      </c>
      <c r="J127" s="20">
        <v>0</v>
      </c>
      <c r="K127" s="214">
        <v>22</v>
      </c>
      <c r="L127" s="241">
        <f t="shared" si="5"/>
        <v>71</v>
      </c>
      <c r="M127" s="247">
        <f>+L127/F127</f>
        <v>0.40340909090909088</v>
      </c>
    </row>
    <row r="128" spans="2:13">
      <c r="B128" s="595"/>
      <c r="C128" s="245">
        <v>2021</v>
      </c>
      <c r="D128" s="92">
        <v>17</v>
      </c>
      <c r="E128" s="93">
        <v>4</v>
      </c>
      <c r="F128" s="93">
        <v>177</v>
      </c>
      <c r="G128" s="4">
        <v>11</v>
      </c>
      <c r="H128" s="20">
        <v>25</v>
      </c>
      <c r="I128" s="4">
        <v>25</v>
      </c>
      <c r="J128" s="20">
        <v>0</v>
      </c>
      <c r="K128" s="4">
        <v>12</v>
      </c>
      <c r="L128" s="93">
        <f t="shared" si="5"/>
        <v>48</v>
      </c>
      <c r="M128" s="226">
        <v>0.82758620689655171</v>
      </c>
    </row>
    <row r="129" spans="2:13">
      <c r="B129" s="595"/>
      <c r="C129" s="216">
        <v>2020</v>
      </c>
      <c r="D129" s="92">
        <v>10</v>
      </c>
      <c r="E129" s="93">
        <v>4</v>
      </c>
      <c r="F129" s="93">
        <v>83</v>
      </c>
      <c r="G129" s="92">
        <v>9</v>
      </c>
      <c r="H129" s="93">
        <v>39</v>
      </c>
      <c r="I129" s="92">
        <v>39</v>
      </c>
      <c r="J129" s="93">
        <v>0</v>
      </c>
      <c r="K129" s="92">
        <v>0</v>
      </c>
      <c r="L129" s="93">
        <f t="shared" si="5"/>
        <v>48</v>
      </c>
      <c r="M129" s="226">
        <v>0.82758620689655171</v>
      </c>
    </row>
    <row r="130" spans="2:13">
      <c r="B130" s="595"/>
      <c r="C130" s="216">
        <v>2019</v>
      </c>
      <c r="D130" s="227">
        <v>6</v>
      </c>
      <c r="E130" s="93">
        <v>5</v>
      </c>
      <c r="F130" s="93">
        <v>58</v>
      </c>
      <c r="G130" s="92">
        <v>9</v>
      </c>
      <c r="H130" s="93">
        <v>39</v>
      </c>
      <c r="I130" s="92">
        <v>39</v>
      </c>
      <c r="J130" s="93">
        <v>0</v>
      </c>
      <c r="K130" s="92">
        <v>0</v>
      </c>
      <c r="L130" s="93">
        <v>48</v>
      </c>
      <c r="M130" s="541">
        <v>0.82758620689655171</v>
      </c>
    </row>
    <row r="131" spans="2:13" hidden="1">
      <c r="B131" s="595"/>
      <c r="C131" s="245">
        <v>2018</v>
      </c>
      <c r="D131" s="92">
        <v>6</v>
      </c>
      <c r="E131" s="93">
        <v>3</v>
      </c>
      <c r="F131" s="93">
        <v>72</v>
      </c>
      <c r="G131" s="4">
        <v>4</v>
      </c>
      <c r="H131" s="20">
        <v>32</v>
      </c>
      <c r="I131" s="4">
        <v>32</v>
      </c>
      <c r="J131" s="20">
        <v>0</v>
      </c>
      <c r="K131" s="4">
        <v>0</v>
      </c>
      <c r="L131" s="93">
        <f>+G131+H131+K131</f>
        <v>36</v>
      </c>
      <c r="M131" s="243">
        <f>+L131/F131</f>
        <v>0.5</v>
      </c>
    </row>
    <row r="132" spans="2:13" hidden="1">
      <c r="B132" s="595"/>
      <c r="C132" s="245">
        <v>2017</v>
      </c>
      <c r="D132" s="92">
        <v>6</v>
      </c>
      <c r="E132" s="93">
        <v>4</v>
      </c>
      <c r="F132" s="93">
        <v>72</v>
      </c>
      <c r="G132" s="4">
        <v>0</v>
      </c>
      <c r="H132" s="20">
        <v>44</v>
      </c>
      <c r="I132" s="4">
        <v>44</v>
      </c>
      <c r="J132" s="20">
        <v>0</v>
      </c>
      <c r="K132" s="4">
        <v>0</v>
      </c>
      <c r="L132" s="93">
        <f t="shared" si="5"/>
        <v>44</v>
      </c>
      <c r="M132" s="243">
        <f>+L132/F132</f>
        <v>0.61111111111111116</v>
      </c>
    </row>
    <row r="133" spans="2:13" hidden="1">
      <c r="B133" s="595"/>
      <c r="C133" s="245">
        <v>2016</v>
      </c>
      <c r="D133" s="92">
        <v>7</v>
      </c>
      <c r="E133" s="93">
        <v>4</v>
      </c>
      <c r="F133" s="93">
        <v>65</v>
      </c>
      <c r="G133" s="4">
        <v>5</v>
      </c>
      <c r="H133" s="20">
        <v>42</v>
      </c>
      <c r="I133" s="4">
        <v>42</v>
      </c>
      <c r="J133" s="20">
        <v>0</v>
      </c>
      <c r="K133" s="4">
        <v>1</v>
      </c>
      <c r="L133" s="93">
        <f t="shared" si="5"/>
        <v>48</v>
      </c>
      <c r="M133" s="243">
        <f>+L133/F133</f>
        <v>0.7384615384615385</v>
      </c>
    </row>
    <row r="134" spans="2:13" hidden="1">
      <c r="B134" s="596"/>
      <c r="C134" s="245">
        <v>2015</v>
      </c>
      <c r="D134" s="227">
        <v>10</v>
      </c>
      <c r="E134" s="183">
        <v>9</v>
      </c>
      <c r="F134" s="183">
        <v>91</v>
      </c>
      <c r="G134" s="219">
        <v>17</v>
      </c>
      <c r="H134" s="60">
        <v>44</v>
      </c>
      <c r="I134" s="218">
        <v>47</v>
      </c>
      <c r="J134" s="60">
        <v>1</v>
      </c>
      <c r="K134" s="219">
        <v>4</v>
      </c>
      <c r="L134" s="183">
        <f t="shared" si="5"/>
        <v>65</v>
      </c>
      <c r="M134" s="256">
        <f>+L134/F134</f>
        <v>0.7142857142857143</v>
      </c>
    </row>
    <row r="135" spans="2:13" ht="15">
      <c r="B135" s="540" t="s">
        <v>187</v>
      </c>
      <c r="C135" s="35"/>
      <c r="E135" s="35"/>
      <c r="F135" s="35"/>
      <c r="L135" s="102"/>
      <c r="M135" s="56"/>
    </row>
    <row r="136" spans="2:13">
      <c r="F136" s="54"/>
    </row>
    <row r="137" spans="2:13">
      <c r="K137" s="18"/>
    </row>
    <row r="138" spans="2:13">
      <c r="C138" s="17"/>
      <c r="K138" s="18"/>
    </row>
  </sheetData>
  <mergeCells count="19">
    <mergeCell ref="K4:K5"/>
    <mergeCell ref="B127:B134"/>
    <mergeCell ref="B119:B126"/>
    <mergeCell ref="B111:B118"/>
    <mergeCell ref="B95:B102"/>
    <mergeCell ref="B4:B6"/>
    <mergeCell ref="B7:B14"/>
    <mergeCell ref="B103:B110"/>
    <mergeCell ref="B47:B54"/>
    <mergeCell ref="B39:B46"/>
    <mergeCell ref="B31:B38"/>
    <mergeCell ref="B23:B30"/>
    <mergeCell ref="B15:B22"/>
    <mergeCell ref="B87:B94"/>
    <mergeCell ref="B79:B86"/>
    <mergeCell ref="B71:B78"/>
    <mergeCell ref="B63:B70"/>
    <mergeCell ref="B55:B62"/>
    <mergeCell ref="C4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8"/>
  <sheetViews>
    <sheetView showGridLines="0" zoomScale="60" zoomScaleNormal="60" workbookViewId="0"/>
  </sheetViews>
  <sheetFormatPr defaultColWidth="8.85546875" defaultRowHeight="14.25"/>
  <cols>
    <col min="1" max="1" width="1.7109375" style="31" customWidth="1"/>
    <col min="2" max="2" width="75.7109375" style="31" customWidth="1"/>
    <col min="3" max="3" width="11.7109375" style="31" customWidth="1"/>
    <col min="4" max="4" width="26" style="31" customWidth="1"/>
    <col min="5" max="5" width="32.7109375" style="31" customWidth="1"/>
    <col min="6" max="6" width="30.140625" style="31" customWidth="1"/>
    <col min="7" max="7" width="36.5703125" style="31" hidden="1" customWidth="1"/>
    <col min="8" max="8" width="47.28515625" style="31" hidden="1" customWidth="1"/>
    <col min="9" max="9" width="26" style="31" hidden="1" customWidth="1"/>
    <col min="10" max="10" width="31" style="31" hidden="1" customWidth="1"/>
    <col min="11" max="11" width="25.7109375" style="31" hidden="1" customWidth="1"/>
    <col min="12" max="12" width="29.7109375" style="31" customWidth="1"/>
    <col min="13" max="13" width="31" style="31" customWidth="1"/>
    <col min="14" max="16384" width="8.85546875" style="31"/>
  </cols>
  <sheetData>
    <row r="1" spans="2:13" ht="14.45" customHeight="1">
      <c r="C1" s="3"/>
      <c r="D1" s="67"/>
      <c r="E1" s="67"/>
      <c r="F1" s="67"/>
      <c r="G1" s="67"/>
      <c r="H1" s="67"/>
      <c r="I1" s="67"/>
      <c r="J1" s="67"/>
    </row>
    <row r="2" spans="2:13" ht="15">
      <c r="B2" s="32" t="s">
        <v>142</v>
      </c>
      <c r="C2" s="3"/>
      <c r="D2" s="67"/>
      <c r="E2" s="67"/>
      <c r="F2" s="67"/>
      <c r="G2" s="67"/>
      <c r="H2" s="67"/>
      <c r="I2" s="67"/>
      <c r="J2" s="67"/>
    </row>
    <row r="3" spans="2:13" ht="15">
      <c r="C3" s="3"/>
      <c r="D3" s="67"/>
      <c r="E3" s="67"/>
      <c r="F3" s="67"/>
      <c r="G3" s="67"/>
      <c r="H3" s="67"/>
      <c r="I3" s="67"/>
      <c r="J3" s="67"/>
    </row>
    <row r="4" spans="2:13" ht="15">
      <c r="B4" s="589" t="s">
        <v>133</v>
      </c>
      <c r="C4" s="589" t="s">
        <v>2</v>
      </c>
      <c r="D4" s="22" t="s">
        <v>79</v>
      </c>
      <c r="E4" s="50" t="s">
        <v>53</v>
      </c>
      <c r="F4" s="22" t="s">
        <v>53</v>
      </c>
      <c r="G4" s="5" t="s">
        <v>46</v>
      </c>
      <c r="H4" s="5" t="s">
        <v>48</v>
      </c>
      <c r="I4" s="25" t="s">
        <v>51</v>
      </c>
      <c r="J4" s="25" t="s">
        <v>52</v>
      </c>
      <c r="K4" s="592" t="s">
        <v>54</v>
      </c>
      <c r="L4" s="5" t="s">
        <v>56</v>
      </c>
      <c r="M4" s="79" t="s">
        <v>78</v>
      </c>
    </row>
    <row r="5" spans="2:13" ht="15">
      <c r="B5" s="589"/>
      <c r="C5" s="589"/>
      <c r="D5" s="22" t="s">
        <v>96</v>
      </c>
      <c r="E5" s="50" t="s">
        <v>99</v>
      </c>
      <c r="F5" s="22" t="s">
        <v>72</v>
      </c>
      <c r="G5" s="5" t="s">
        <v>44</v>
      </c>
      <c r="H5" s="5" t="s">
        <v>1</v>
      </c>
      <c r="I5" s="25" t="s">
        <v>3</v>
      </c>
      <c r="J5" s="25" t="s">
        <v>4</v>
      </c>
      <c r="K5" s="592"/>
      <c r="L5" s="21" t="s">
        <v>55</v>
      </c>
      <c r="M5" s="79" t="s">
        <v>131</v>
      </c>
    </row>
    <row r="6" spans="2:13" ht="15">
      <c r="B6" s="589"/>
      <c r="C6" s="597"/>
      <c r="D6" s="21"/>
      <c r="E6" s="51"/>
      <c r="F6" s="21"/>
      <c r="G6" s="130" t="s">
        <v>47</v>
      </c>
      <c r="H6" s="25" t="s">
        <v>49</v>
      </c>
      <c r="I6" s="25" t="s">
        <v>50</v>
      </c>
      <c r="J6" s="22" t="s">
        <v>57</v>
      </c>
      <c r="K6" s="21" t="s">
        <v>58</v>
      </c>
      <c r="L6" s="22"/>
      <c r="M6" s="79" t="s">
        <v>132</v>
      </c>
    </row>
    <row r="7" spans="2:13" s="62" customFormat="1">
      <c r="B7" s="595" t="s">
        <v>23</v>
      </c>
      <c r="C7" s="283">
        <v>2022</v>
      </c>
      <c r="D7" s="93">
        <v>206</v>
      </c>
      <c r="E7" s="93">
        <v>72</v>
      </c>
      <c r="F7" s="92">
        <v>2172</v>
      </c>
      <c r="G7" s="287">
        <v>37</v>
      </c>
      <c r="H7" s="92">
        <v>367</v>
      </c>
      <c r="I7" s="284">
        <v>366</v>
      </c>
      <c r="J7" s="285">
        <v>3</v>
      </c>
      <c r="K7" s="284">
        <v>450</v>
      </c>
      <c r="L7" s="284">
        <f>G7+H7+K7</f>
        <v>854</v>
      </c>
      <c r="M7" s="243">
        <f t="shared" ref="M7:M15" si="0">+L7/F7</f>
        <v>0.39318600368324125</v>
      </c>
    </row>
    <row r="8" spans="2:13" s="62" customFormat="1">
      <c r="B8" s="595"/>
      <c r="C8" s="283">
        <v>2021</v>
      </c>
      <c r="D8" s="93">
        <v>166</v>
      </c>
      <c r="E8" s="93">
        <v>60</v>
      </c>
      <c r="F8" s="92">
        <v>1575</v>
      </c>
      <c r="G8" s="286">
        <v>29</v>
      </c>
      <c r="H8" s="92">
        <v>340</v>
      </c>
      <c r="I8" s="284">
        <v>337</v>
      </c>
      <c r="J8" s="285">
        <v>3</v>
      </c>
      <c r="K8" s="284">
        <v>274</v>
      </c>
      <c r="L8" s="284">
        <f>G8+H8+K8</f>
        <v>643</v>
      </c>
      <c r="M8" s="243">
        <f t="shared" si="0"/>
        <v>0.40825396825396826</v>
      </c>
    </row>
    <row r="9" spans="2:13">
      <c r="B9" s="595"/>
      <c r="C9" s="283">
        <v>2020</v>
      </c>
      <c r="D9" s="93">
        <v>107</v>
      </c>
      <c r="E9" s="93">
        <v>48</v>
      </c>
      <c r="F9" s="92">
        <v>1161</v>
      </c>
      <c r="G9" s="286">
        <v>21</v>
      </c>
      <c r="H9" s="92">
        <v>206</v>
      </c>
      <c r="I9" s="284">
        <v>200</v>
      </c>
      <c r="J9" s="92">
        <v>2</v>
      </c>
      <c r="K9" s="284">
        <v>277</v>
      </c>
      <c r="L9" s="284">
        <f>G9+H9+K9</f>
        <v>504</v>
      </c>
      <c r="M9" s="243">
        <f t="shared" si="0"/>
        <v>0.43410852713178294</v>
      </c>
    </row>
    <row r="10" spans="2:13">
      <c r="B10" s="595"/>
      <c r="C10" s="283">
        <v>2019</v>
      </c>
      <c r="D10" s="93">
        <v>76</v>
      </c>
      <c r="E10" s="93">
        <v>51</v>
      </c>
      <c r="F10" s="92">
        <v>895</v>
      </c>
      <c r="G10" s="286">
        <v>20</v>
      </c>
      <c r="H10" s="92">
        <v>264</v>
      </c>
      <c r="I10" s="284">
        <v>261</v>
      </c>
      <c r="J10" s="92">
        <v>6</v>
      </c>
      <c r="K10" s="284">
        <v>217</v>
      </c>
      <c r="L10" s="284">
        <f>G10+H10+K10</f>
        <v>501</v>
      </c>
      <c r="M10" s="243">
        <f t="shared" si="0"/>
        <v>0.55977653631284918</v>
      </c>
    </row>
    <row r="11" spans="2:13" hidden="1">
      <c r="B11" s="595"/>
      <c r="C11" s="283">
        <v>2018</v>
      </c>
      <c r="D11" s="93">
        <v>74</v>
      </c>
      <c r="E11" s="93">
        <v>40</v>
      </c>
      <c r="F11" s="4">
        <v>809</v>
      </c>
      <c r="G11" s="287">
        <v>20</v>
      </c>
      <c r="H11" s="4">
        <v>195</v>
      </c>
      <c r="I11" s="288">
        <v>191</v>
      </c>
      <c r="J11" s="4">
        <v>4</v>
      </c>
      <c r="K11" s="288">
        <v>189</v>
      </c>
      <c r="L11" s="284">
        <f t="shared" ref="L11:L106" si="1">+G11+H11+K11</f>
        <v>404</v>
      </c>
      <c r="M11" s="243">
        <f t="shared" si="0"/>
        <v>0.49938195302843014</v>
      </c>
    </row>
    <row r="12" spans="2:13" hidden="1">
      <c r="B12" s="595"/>
      <c r="C12" s="283">
        <v>2017</v>
      </c>
      <c r="D12" s="93">
        <v>69</v>
      </c>
      <c r="E12" s="93">
        <v>32</v>
      </c>
      <c r="F12" s="4">
        <v>796</v>
      </c>
      <c r="G12" s="287">
        <v>10</v>
      </c>
      <c r="H12" s="4">
        <v>161</v>
      </c>
      <c r="I12" s="288">
        <v>156</v>
      </c>
      <c r="J12" s="4">
        <v>5</v>
      </c>
      <c r="K12" s="288">
        <v>162</v>
      </c>
      <c r="L12" s="284">
        <f t="shared" si="1"/>
        <v>333</v>
      </c>
      <c r="M12" s="243">
        <f t="shared" si="0"/>
        <v>0.41834170854271358</v>
      </c>
    </row>
    <row r="13" spans="2:13" hidden="1">
      <c r="B13" s="595"/>
      <c r="C13" s="283">
        <v>2016</v>
      </c>
      <c r="D13" s="93">
        <v>65</v>
      </c>
      <c r="E13" s="93">
        <v>33</v>
      </c>
      <c r="F13" s="4">
        <v>771</v>
      </c>
      <c r="G13" s="287">
        <v>4</v>
      </c>
      <c r="H13" s="4">
        <v>148</v>
      </c>
      <c r="I13" s="288">
        <v>148</v>
      </c>
      <c r="J13" s="4">
        <v>0</v>
      </c>
      <c r="K13" s="288">
        <v>194</v>
      </c>
      <c r="L13" s="284">
        <f t="shared" si="1"/>
        <v>346</v>
      </c>
      <c r="M13" s="243">
        <f t="shared" si="0"/>
        <v>0.44876783398184178</v>
      </c>
    </row>
    <row r="14" spans="2:13" hidden="1">
      <c r="B14" s="600"/>
      <c r="C14" s="283">
        <v>2015</v>
      </c>
      <c r="D14" s="183">
        <v>67</v>
      </c>
      <c r="E14" s="93">
        <v>38</v>
      </c>
      <c r="F14" s="4">
        <v>738</v>
      </c>
      <c r="G14" s="313">
        <v>18</v>
      </c>
      <c r="H14" s="289">
        <v>187</v>
      </c>
      <c r="I14" s="289">
        <v>184</v>
      </c>
      <c r="J14" s="289">
        <v>3</v>
      </c>
      <c r="K14" s="288">
        <v>182</v>
      </c>
      <c r="L14" s="284">
        <f t="shared" si="1"/>
        <v>387</v>
      </c>
      <c r="M14" s="243">
        <f t="shared" si="0"/>
        <v>0.52439024390243905</v>
      </c>
    </row>
    <row r="15" spans="2:13">
      <c r="B15" s="599" t="s">
        <v>24</v>
      </c>
      <c r="C15" s="290">
        <v>2022</v>
      </c>
      <c r="D15" s="241">
        <v>33</v>
      </c>
      <c r="E15" s="241">
        <v>17</v>
      </c>
      <c r="F15" s="291">
        <v>377</v>
      </c>
      <c r="G15" s="287">
        <v>41</v>
      </c>
      <c r="H15" s="4">
        <v>57</v>
      </c>
      <c r="I15" s="288">
        <v>57</v>
      </c>
      <c r="J15" s="4">
        <v>0</v>
      </c>
      <c r="K15" s="293">
        <v>90</v>
      </c>
      <c r="L15" s="294">
        <f t="shared" si="1"/>
        <v>188</v>
      </c>
      <c r="M15" s="295">
        <f t="shared" si="0"/>
        <v>0.49867374005305037</v>
      </c>
    </row>
    <row r="16" spans="2:13">
      <c r="B16" s="595"/>
      <c r="C16" s="283">
        <v>2021</v>
      </c>
      <c r="D16" s="93">
        <v>28</v>
      </c>
      <c r="E16" s="93">
        <v>14</v>
      </c>
      <c r="F16" s="4">
        <v>314</v>
      </c>
      <c r="G16" s="287">
        <v>42</v>
      </c>
      <c r="H16" s="4">
        <v>46</v>
      </c>
      <c r="I16" s="288">
        <v>34</v>
      </c>
      <c r="J16" s="4">
        <v>0</v>
      </c>
      <c r="K16" s="288">
        <v>42</v>
      </c>
      <c r="L16" s="284">
        <f t="shared" si="1"/>
        <v>130</v>
      </c>
      <c r="M16" s="243">
        <f t="shared" ref="M16:M19" si="2">+L16/F16</f>
        <v>0.4140127388535032</v>
      </c>
    </row>
    <row r="17" spans="2:13">
      <c r="B17" s="595"/>
      <c r="C17" s="283">
        <v>2020</v>
      </c>
      <c r="D17" s="93">
        <v>24</v>
      </c>
      <c r="E17" s="93">
        <v>16</v>
      </c>
      <c r="F17" s="4">
        <v>269</v>
      </c>
      <c r="G17" s="287">
        <v>19</v>
      </c>
      <c r="H17" s="4">
        <v>52</v>
      </c>
      <c r="I17" s="288">
        <v>61</v>
      </c>
      <c r="J17" s="4">
        <v>0</v>
      </c>
      <c r="K17" s="288">
        <v>40</v>
      </c>
      <c r="L17" s="284">
        <f t="shared" si="1"/>
        <v>111</v>
      </c>
      <c r="M17" s="243">
        <f t="shared" si="2"/>
        <v>0.41263940520446096</v>
      </c>
    </row>
    <row r="18" spans="2:13">
      <c r="B18" s="595"/>
      <c r="C18" s="283">
        <v>2019</v>
      </c>
      <c r="D18" s="93">
        <v>22</v>
      </c>
      <c r="E18" s="93">
        <v>13</v>
      </c>
      <c r="F18" s="92">
        <v>263</v>
      </c>
      <c r="G18" s="286">
        <v>22</v>
      </c>
      <c r="H18" s="92">
        <v>79</v>
      </c>
      <c r="I18" s="284">
        <v>79</v>
      </c>
      <c r="J18" s="92">
        <v>0</v>
      </c>
      <c r="K18" s="284">
        <v>44</v>
      </c>
      <c r="L18" s="284">
        <f t="shared" si="1"/>
        <v>145</v>
      </c>
      <c r="M18" s="243">
        <f t="shared" si="2"/>
        <v>0.5513307984790875</v>
      </c>
    </row>
    <row r="19" spans="2:13">
      <c r="B19" s="599" t="s">
        <v>25</v>
      </c>
      <c r="C19" s="304">
        <v>2022</v>
      </c>
      <c r="D19" s="305">
        <v>591</v>
      </c>
      <c r="E19" s="312">
        <v>351</v>
      </c>
      <c r="F19" s="307">
        <v>6744</v>
      </c>
      <c r="G19" s="287">
        <v>1074</v>
      </c>
      <c r="H19" s="293">
        <v>1959</v>
      </c>
      <c r="I19" s="288">
        <v>1942</v>
      </c>
      <c r="J19" s="4">
        <v>19</v>
      </c>
      <c r="K19" s="293">
        <v>1014</v>
      </c>
      <c r="L19" s="294">
        <f t="shared" si="1"/>
        <v>4047</v>
      </c>
      <c r="M19" s="328">
        <f t="shared" si="2"/>
        <v>0.60008896797153022</v>
      </c>
    </row>
    <row r="20" spans="2:13">
      <c r="B20" s="595"/>
      <c r="C20" s="308">
        <v>2021</v>
      </c>
      <c r="D20" s="309">
        <v>570</v>
      </c>
      <c r="E20" s="306">
        <v>329</v>
      </c>
      <c r="F20" s="310">
        <v>6236</v>
      </c>
      <c r="G20" s="287">
        <v>1035</v>
      </c>
      <c r="H20" s="4">
        <v>1122</v>
      </c>
      <c r="I20" s="288">
        <v>1100</v>
      </c>
      <c r="J20" s="4">
        <v>26</v>
      </c>
      <c r="K20" s="288">
        <v>1040</v>
      </c>
      <c r="L20" s="284">
        <f t="shared" si="1"/>
        <v>3197</v>
      </c>
      <c r="M20" s="243">
        <f t="shared" ref="M20:M27" si="3">+L20/F20</f>
        <v>0.51266837716484925</v>
      </c>
    </row>
    <row r="21" spans="2:13">
      <c r="B21" s="595"/>
      <c r="C21" s="308">
        <v>2020</v>
      </c>
      <c r="D21" s="309">
        <v>513</v>
      </c>
      <c r="E21" s="306">
        <v>314</v>
      </c>
      <c r="F21" s="310">
        <v>5836</v>
      </c>
      <c r="G21" s="287">
        <v>902</v>
      </c>
      <c r="H21" s="4">
        <v>1697</v>
      </c>
      <c r="I21" s="288">
        <v>1699</v>
      </c>
      <c r="J21" s="4">
        <v>24</v>
      </c>
      <c r="K21" s="288">
        <v>1041</v>
      </c>
      <c r="L21" s="284">
        <f t="shared" si="1"/>
        <v>3640</v>
      </c>
      <c r="M21" s="243">
        <f t="shared" si="3"/>
        <v>0.62371487320082253</v>
      </c>
    </row>
    <row r="22" spans="2:13">
      <c r="B22" s="595"/>
      <c r="C22" s="94">
        <v>2019</v>
      </c>
      <c r="D22" s="244">
        <v>478</v>
      </c>
      <c r="E22" s="92">
        <v>332</v>
      </c>
      <c r="F22" s="232">
        <v>5604</v>
      </c>
      <c r="G22" s="286">
        <v>995</v>
      </c>
      <c r="H22" s="92">
        <v>1737</v>
      </c>
      <c r="I22" s="284">
        <v>1710</v>
      </c>
      <c r="J22" s="92">
        <v>32</v>
      </c>
      <c r="K22" s="284">
        <v>867</v>
      </c>
      <c r="L22" s="284">
        <f t="shared" si="1"/>
        <v>3599</v>
      </c>
      <c r="M22" s="243">
        <f t="shared" si="3"/>
        <v>0.64221984296930767</v>
      </c>
    </row>
    <row r="23" spans="2:13">
      <c r="B23" s="595"/>
      <c r="C23" s="308">
        <v>2018</v>
      </c>
      <c r="D23" s="309">
        <v>461</v>
      </c>
      <c r="E23" s="306">
        <v>314</v>
      </c>
      <c r="F23" s="310">
        <v>5322</v>
      </c>
      <c r="G23" s="287">
        <v>1012</v>
      </c>
      <c r="H23" s="4">
        <v>1676</v>
      </c>
      <c r="I23" s="288">
        <v>1657</v>
      </c>
      <c r="J23" s="4">
        <v>26</v>
      </c>
      <c r="K23" s="288">
        <v>690</v>
      </c>
      <c r="L23" s="284">
        <f t="shared" si="1"/>
        <v>3378</v>
      </c>
      <c r="M23" s="243">
        <f t="shared" si="3"/>
        <v>0.63472378804960539</v>
      </c>
    </row>
    <row r="24" spans="2:13" hidden="1">
      <c r="B24" s="595"/>
      <c r="C24" s="308">
        <v>2017</v>
      </c>
      <c r="D24" s="309">
        <v>442</v>
      </c>
      <c r="E24" s="306">
        <v>290</v>
      </c>
      <c r="F24" s="310">
        <v>5165</v>
      </c>
      <c r="G24" s="287">
        <v>996</v>
      </c>
      <c r="H24" s="4">
        <v>1609</v>
      </c>
      <c r="I24" s="288">
        <v>1587</v>
      </c>
      <c r="J24" s="4">
        <v>23</v>
      </c>
      <c r="K24" s="288">
        <v>570</v>
      </c>
      <c r="L24" s="284">
        <f t="shared" si="1"/>
        <v>3175</v>
      </c>
      <c r="M24" s="243">
        <f t="shared" si="3"/>
        <v>0.61471442400774445</v>
      </c>
    </row>
    <row r="25" spans="2:13" hidden="1">
      <c r="B25" s="595"/>
      <c r="C25" s="308">
        <v>2016</v>
      </c>
      <c r="D25" s="309">
        <v>439</v>
      </c>
      <c r="E25" s="306">
        <v>283</v>
      </c>
      <c r="F25" s="310">
        <v>5056</v>
      </c>
      <c r="G25" s="287">
        <v>964</v>
      </c>
      <c r="H25" s="4">
        <v>1541</v>
      </c>
      <c r="I25" s="288">
        <v>1523</v>
      </c>
      <c r="J25" s="4">
        <v>24</v>
      </c>
      <c r="K25" s="288">
        <v>571</v>
      </c>
      <c r="L25" s="284">
        <f t="shared" si="1"/>
        <v>3076</v>
      </c>
      <c r="M25" s="243">
        <f t="shared" si="3"/>
        <v>0.60838607594936711</v>
      </c>
    </row>
    <row r="26" spans="2:13" hidden="1">
      <c r="B26" s="600"/>
      <c r="C26" s="308">
        <v>2015</v>
      </c>
      <c r="D26" s="309">
        <v>464</v>
      </c>
      <c r="E26" s="306">
        <v>299</v>
      </c>
      <c r="F26" s="310">
        <v>4952</v>
      </c>
      <c r="G26" s="301">
        <v>1017</v>
      </c>
      <c r="H26" s="289">
        <v>1649</v>
      </c>
      <c r="I26" s="289">
        <v>1633</v>
      </c>
      <c r="J26" s="289">
        <v>22</v>
      </c>
      <c r="K26" s="288">
        <v>372</v>
      </c>
      <c r="L26" s="302">
        <f t="shared" si="1"/>
        <v>3038</v>
      </c>
      <c r="M26" s="243">
        <f t="shared" si="3"/>
        <v>0.6134894991922456</v>
      </c>
    </row>
    <row r="27" spans="2:13">
      <c r="B27" s="599" t="s">
        <v>26</v>
      </c>
      <c r="C27" s="311">
        <v>2022</v>
      </c>
      <c r="D27" s="312">
        <v>41</v>
      </c>
      <c r="E27" s="312">
        <v>27</v>
      </c>
      <c r="F27" s="291">
        <v>453</v>
      </c>
      <c r="G27" s="212">
        <v>76</v>
      </c>
      <c r="H27" s="315">
        <v>135</v>
      </c>
      <c r="I27" s="288">
        <v>135</v>
      </c>
      <c r="J27" s="4">
        <v>0</v>
      </c>
      <c r="K27" s="293">
        <v>101</v>
      </c>
      <c r="L27" s="294">
        <f t="shared" si="1"/>
        <v>312</v>
      </c>
      <c r="M27" s="295">
        <f t="shared" si="3"/>
        <v>0.6887417218543046</v>
      </c>
    </row>
    <row r="28" spans="2:13">
      <c r="B28" s="595"/>
      <c r="C28" s="296">
        <v>2021</v>
      </c>
      <c r="D28" s="297">
        <v>40</v>
      </c>
      <c r="E28" s="297">
        <v>26</v>
      </c>
      <c r="F28" s="4">
        <v>445</v>
      </c>
      <c r="G28" s="287">
        <v>102</v>
      </c>
      <c r="H28" s="4">
        <v>47</v>
      </c>
      <c r="I28" s="288">
        <v>55</v>
      </c>
      <c r="J28" s="4">
        <v>0</v>
      </c>
      <c r="K28" s="288">
        <v>122</v>
      </c>
      <c r="L28" s="284">
        <f t="shared" si="1"/>
        <v>271</v>
      </c>
      <c r="M28" s="243">
        <f t="shared" ref="M28:M35" si="4">+L28/F28</f>
        <v>0.60898876404494384</v>
      </c>
    </row>
    <row r="29" spans="2:13">
      <c r="B29" s="595"/>
      <c r="C29" s="283">
        <v>2020</v>
      </c>
      <c r="D29" s="93">
        <v>39</v>
      </c>
      <c r="E29" s="93">
        <v>21</v>
      </c>
      <c r="F29" s="92">
        <v>435</v>
      </c>
      <c r="G29" s="286">
        <v>83</v>
      </c>
      <c r="H29" s="92">
        <v>253</v>
      </c>
      <c r="I29" s="284">
        <v>250</v>
      </c>
      <c r="J29" s="92">
        <v>0</v>
      </c>
      <c r="K29" s="284">
        <v>33</v>
      </c>
      <c r="L29" s="284">
        <f t="shared" si="1"/>
        <v>369</v>
      </c>
      <c r="M29" s="496">
        <f t="shared" si="4"/>
        <v>0.84827586206896555</v>
      </c>
    </row>
    <row r="30" spans="2:13">
      <c r="B30" s="595"/>
      <c r="C30" s="283">
        <v>2019</v>
      </c>
      <c r="D30" s="93">
        <v>28</v>
      </c>
      <c r="E30" s="93">
        <v>20</v>
      </c>
      <c r="F30" s="92">
        <v>323</v>
      </c>
      <c r="G30" s="286">
        <v>86</v>
      </c>
      <c r="H30" s="92">
        <v>54</v>
      </c>
      <c r="I30" s="284">
        <v>54</v>
      </c>
      <c r="J30" s="92">
        <v>0</v>
      </c>
      <c r="K30" s="284">
        <v>86</v>
      </c>
      <c r="L30" s="284">
        <f t="shared" si="1"/>
        <v>226</v>
      </c>
      <c r="M30" s="243">
        <f t="shared" si="4"/>
        <v>0.69969040247678016</v>
      </c>
    </row>
    <row r="31" spans="2:13" hidden="1">
      <c r="B31" s="595"/>
      <c r="C31" s="296">
        <v>2018</v>
      </c>
      <c r="D31" s="297">
        <v>27</v>
      </c>
      <c r="E31" s="297">
        <v>18</v>
      </c>
      <c r="F31" s="4">
        <v>317</v>
      </c>
      <c r="G31" s="287">
        <v>51</v>
      </c>
      <c r="H31" s="4">
        <v>56</v>
      </c>
      <c r="I31" s="288">
        <v>56</v>
      </c>
      <c r="J31" s="4">
        <v>0</v>
      </c>
      <c r="K31" s="288">
        <v>73</v>
      </c>
      <c r="L31" s="284">
        <f t="shared" si="1"/>
        <v>180</v>
      </c>
      <c r="M31" s="243">
        <f t="shared" si="4"/>
        <v>0.56782334384858046</v>
      </c>
    </row>
    <row r="32" spans="2:13" hidden="1">
      <c r="B32" s="595"/>
      <c r="C32" s="296">
        <v>2017</v>
      </c>
      <c r="D32" s="297">
        <v>23</v>
      </c>
      <c r="E32" s="297">
        <v>17</v>
      </c>
      <c r="F32" s="4">
        <v>276</v>
      </c>
      <c r="G32" s="287">
        <v>50</v>
      </c>
      <c r="H32" s="4">
        <v>70</v>
      </c>
      <c r="I32" s="288">
        <v>70</v>
      </c>
      <c r="J32" s="4">
        <v>0</v>
      </c>
      <c r="K32" s="288">
        <v>71</v>
      </c>
      <c r="L32" s="284">
        <f t="shared" si="1"/>
        <v>191</v>
      </c>
      <c r="M32" s="243">
        <f t="shared" si="4"/>
        <v>0.69202898550724634</v>
      </c>
    </row>
    <row r="33" spans="2:13" hidden="1">
      <c r="B33" s="595"/>
      <c r="C33" s="296">
        <v>2016</v>
      </c>
      <c r="D33" s="297">
        <v>20</v>
      </c>
      <c r="E33" s="297">
        <v>16</v>
      </c>
      <c r="F33" s="4">
        <v>234</v>
      </c>
      <c r="G33" s="287">
        <v>45</v>
      </c>
      <c r="H33" s="4">
        <v>53</v>
      </c>
      <c r="I33" s="288">
        <v>53</v>
      </c>
      <c r="J33" s="4">
        <v>0</v>
      </c>
      <c r="K33" s="288">
        <v>74</v>
      </c>
      <c r="L33" s="284">
        <f t="shared" si="1"/>
        <v>172</v>
      </c>
      <c r="M33" s="243">
        <f t="shared" si="4"/>
        <v>0.7350427350427351</v>
      </c>
    </row>
    <row r="34" spans="2:13" hidden="1">
      <c r="B34" s="600"/>
      <c r="C34" s="298">
        <v>2015</v>
      </c>
      <c r="D34" s="299">
        <v>18</v>
      </c>
      <c r="E34" s="299">
        <v>10</v>
      </c>
      <c r="F34" s="4">
        <v>216</v>
      </c>
      <c r="G34" s="500">
        <v>53</v>
      </c>
      <c r="H34" s="499">
        <v>28</v>
      </c>
      <c r="I34" s="289">
        <v>28</v>
      </c>
      <c r="J34" s="289">
        <v>0</v>
      </c>
      <c r="K34" s="289">
        <v>33</v>
      </c>
      <c r="L34" s="284">
        <f t="shared" si="1"/>
        <v>114</v>
      </c>
      <c r="M34" s="243">
        <f t="shared" si="4"/>
        <v>0.52777777777777779</v>
      </c>
    </row>
    <row r="35" spans="2:13">
      <c r="B35" s="599" t="s">
        <v>86</v>
      </c>
      <c r="C35" s="311">
        <v>2022</v>
      </c>
      <c r="D35" s="312">
        <v>53</v>
      </c>
      <c r="E35" s="312">
        <v>41</v>
      </c>
      <c r="F35" s="291">
        <v>591</v>
      </c>
      <c r="G35" s="495">
        <v>144</v>
      </c>
      <c r="H35" s="4">
        <v>164</v>
      </c>
      <c r="I35" s="288">
        <v>164</v>
      </c>
      <c r="J35" s="4">
        <v>0</v>
      </c>
      <c r="K35" s="288">
        <v>146</v>
      </c>
      <c r="L35" s="294">
        <f t="shared" si="1"/>
        <v>454</v>
      </c>
      <c r="M35" s="295">
        <f t="shared" si="4"/>
        <v>0.76818950930626062</v>
      </c>
    </row>
    <row r="36" spans="2:13">
      <c r="B36" s="595"/>
      <c r="C36" s="296">
        <v>2021</v>
      </c>
      <c r="D36" s="297">
        <v>48</v>
      </c>
      <c r="E36" s="297">
        <v>38</v>
      </c>
      <c r="F36" s="4">
        <v>566</v>
      </c>
      <c r="G36" s="287">
        <v>176</v>
      </c>
      <c r="H36" s="4">
        <v>101</v>
      </c>
      <c r="I36" s="288">
        <v>116</v>
      </c>
      <c r="J36" s="4">
        <v>1</v>
      </c>
      <c r="K36" s="288">
        <v>153</v>
      </c>
      <c r="L36" s="284">
        <f t="shared" si="1"/>
        <v>430</v>
      </c>
      <c r="M36" s="243">
        <f t="shared" ref="M36:M59" si="5">+L36/F36</f>
        <v>0.75971731448763247</v>
      </c>
    </row>
    <row r="37" spans="2:13">
      <c r="B37" s="595"/>
      <c r="C37" s="283">
        <v>2020</v>
      </c>
      <c r="D37" s="93">
        <v>49</v>
      </c>
      <c r="E37" s="93">
        <v>37</v>
      </c>
      <c r="F37" s="92">
        <v>562</v>
      </c>
      <c r="G37" s="286">
        <v>124</v>
      </c>
      <c r="H37" s="92">
        <v>181</v>
      </c>
      <c r="I37" s="284">
        <v>315</v>
      </c>
      <c r="J37" s="92">
        <v>1</v>
      </c>
      <c r="K37" s="284">
        <v>145</v>
      </c>
      <c r="L37" s="284">
        <f t="shared" si="1"/>
        <v>450</v>
      </c>
      <c r="M37" s="496">
        <f t="shared" si="5"/>
        <v>0.80071174377224197</v>
      </c>
    </row>
    <row r="38" spans="2:13">
      <c r="B38" s="595"/>
      <c r="C38" s="283">
        <v>2019</v>
      </c>
      <c r="D38" s="93">
        <v>43</v>
      </c>
      <c r="E38" s="93">
        <v>36</v>
      </c>
      <c r="F38" s="92">
        <v>515</v>
      </c>
      <c r="G38" s="286">
        <v>168</v>
      </c>
      <c r="H38" s="92">
        <v>143</v>
      </c>
      <c r="I38" s="284">
        <v>141</v>
      </c>
      <c r="J38" s="92">
        <v>2</v>
      </c>
      <c r="K38" s="284">
        <v>104</v>
      </c>
      <c r="L38" s="302">
        <f t="shared" si="1"/>
        <v>415</v>
      </c>
      <c r="M38" s="542">
        <f t="shared" si="5"/>
        <v>0.80582524271844658</v>
      </c>
    </row>
    <row r="39" spans="2:13" hidden="1">
      <c r="B39" s="595"/>
      <c r="C39" s="296">
        <v>2018</v>
      </c>
      <c r="D39" s="297">
        <v>43</v>
      </c>
      <c r="E39" s="297">
        <v>33</v>
      </c>
      <c r="F39" s="4">
        <v>510</v>
      </c>
      <c r="G39" s="287">
        <v>162</v>
      </c>
      <c r="H39" s="4">
        <v>139</v>
      </c>
      <c r="I39" s="288">
        <v>139</v>
      </c>
      <c r="J39" s="4">
        <v>0</v>
      </c>
      <c r="K39" s="288">
        <v>91</v>
      </c>
      <c r="L39" s="284">
        <f t="shared" si="1"/>
        <v>392</v>
      </c>
      <c r="M39" s="243">
        <f t="shared" si="5"/>
        <v>0.7686274509803922</v>
      </c>
    </row>
    <row r="40" spans="2:13" hidden="1">
      <c r="B40" s="595"/>
      <c r="C40" s="296">
        <v>2017</v>
      </c>
      <c r="D40" s="297">
        <v>43</v>
      </c>
      <c r="E40" s="297">
        <v>35</v>
      </c>
      <c r="F40" s="4">
        <v>503</v>
      </c>
      <c r="G40" s="287">
        <v>158</v>
      </c>
      <c r="H40" s="4">
        <v>156</v>
      </c>
      <c r="I40" s="288">
        <v>154</v>
      </c>
      <c r="J40" s="4">
        <v>2</v>
      </c>
      <c r="K40" s="288">
        <v>74</v>
      </c>
      <c r="L40" s="284">
        <f t="shared" si="1"/>
        <v>388</v>
      </c>
      <c r="M40" s="243">
        <f t="shared" si="5"/>
        <v>0.77137176938369778</v>
      </c>
    </row>
    <row r="41" spans="2:13" hidden="1">
      <c r="B41" s="595"/>
      <c r="C41" s="296">
        <v>2016</v>
      </c>
      <c r="D41" s="297">
        <v>41</v>
      </c>
      <c r="E41" s="297">
        <v>36</v>
      </c>
      <c r="F41" s="4">
        <v>482</v>
      </c>
      <c r="G41" s="287">
        <v>160</v>
      </c>
      <c r="H41" s="4">
        <v>160</v>
      </c>
      <c r="I41" s="288">
        <v>160</v>
      </c>
      <c r="J41" s="4">
        <v>0</v>
      </c>
      <c r="K41" s="288">
        <v>60</v>
      </c>
      <c r="L41" s="284">
        <f t="shared" si="1"/>
        <v>380</v>
      </c>
      <c r="M41" s="243">
        <f t="shared" si="5"/>
        <v>0.78838174273858919</v>
      </c>
    </row>
    <row r="42" spans="2:13" hidden="1">
      <c r="B42" s="600"/>
      <c r="C42" s="296">
        <v>2015</v>
      </c>
      <c r="D42" s="297">
        <v>40</v>
      </c>
      <c r="E42" s="297">
        <v>34</v>
      </c>
      <c r="F42" s="4">
        <v>429</v>
      </c>
      <c r="G42" s="313">
        <v>164</v>
      </c>
      <c r="H42" s="289">
        <v>146</v>
      </c>
      <c r="I42" s="289">
        <v>145</v>
      </c>
      <c r="J42" s="289">
        <v>1</v>
      </c>
      <c r="K42" s="288">
        <v>61</v>
      </c>
      <c r="L42" s="314">
        <f t="shared" si="1"/>
        <v>371</v>
      </c>
      <c r="M42" s="303">
        <f t="shared" si="5"/>
        <v>0.86480186480186483</v>
      </c>
    </row>
    <row r="43" spans="2:13">
      <c r="B43" s="599" t="s">
        <v>28</v>
      </c>
      <c r="C43" s="311">
        <v>2022</v>
      </c>
      <c r="D43" s="312">
        <v>712</v>
      </c>
      <c r="E43" s="312">
        <v>420</v>
      </c>
      <c r="F43" s="291">
        <v>8117</v>
      </c>
      <c r="G43" s="287">
        <v>666</v>
      </c>
      <c r="H43" s="315">
        <v>2068</v>
      </c>
      <c r="I43" s="288">
        <v>2059</v>
      </c>
      <c r="J43" s="4">
        <v>14</v>
      </c>
      <c r="K43" s="293">
        <v>2087</v>
      </c>
      <c r="L43" s="284">
        <f t="shared" si="1"/>
        <v>4821</v>
      </c>
      <c r="M43" s="243">
        <f t="shared" si="5"/>
        <v>0.59393864728347912</v>
      </c>
    </row>
    <row r="44" spans="2:13">
      <c r="B44" s="595"/>
      <c r="C44" s="296">
        <v>2021</v>
      </c>
      <c r="D44" s="297">
        <v>635</v>
      </c>
      <c r="E44" s="297">
        <v>382</v>
      </c>
      <c r="F44" s="4">
        <v>7244</v>
      </c>
      <c r="G44" s="287">
        <v>577</v>
      </c>
      <c r="H44" s="4">
        <v>939</v>
      </c>
      <c r="I44" s="288">
        <v>908</v>
      </c>
      <c r="J44" s="4">
        <v>20</v>
      </c>
      <c r="K44" s="288">
        <v>1932</v>
      </c>
      <c r="L44" s="284">
        <f t="shared" si="1"/>
        <v>3448</v>
      </c>
      <c r="M44" s="243">
        <f t="shared" si="5"/>
        <v>0.47598012147984536</v>
      </c>
    </row>
    <row r="45" spans="2:13">
      <c r="B45" s="595"/>
      <c r="C45" s="283">
        <v>2020</v>
      </c>
      <c r="D45" s="93">
        <v>609</v>
      </c>
      <c r="E45" s="93">
        <v>371</v>
      </c>
      <c r="F45" s="92">
        <v>7017</v>
      </c>
      <c r="G45" s="286">
        <v>359</v>
      </c>
      <c r="H45" s="92">
        <v>3363</v>
      </c>
      <c r="I45" s="284">
        <v>3402</v>
      </c>
      <c r="J45" s="92">
        <v>27</v>
      </c>
      <c r="K45" s="284">
        <v>1664</v>
      </c>
      <c r="L45" s="284">
        <f t="shared" si="1"/>
        <v>5386</v>
      </c>
      <c r="M45" s="496">
        <f t="shared" si="5"/>
        <v>0.76756448624768414</v>
      </c>
    </row>
    <row r="46" spans="2:13">
      <c r="B46" s="595"/>
      <c r="C46" s="283">
        <v>2019</v>
      </c>
      <c r="D46" s="93">
        <v>597</v>
      </c>
      <c r="E46" s="93">
        <v>410</v>
      </c>
      <c r="F46" s="92">
        <v>6964</v>
      </c>
      <c r="G46" s="286">
        <v>631</v>
      </c>
      <c r="H46" s="92">
        <v>2018</v>
      </c>
      <c r="I46" s="284">
        <v>1993</v>
      </c>
      <c r="J46" s="92">
        <v>29</v>
      </c>
      <c r="K46" s="284">
        <v>1659</v>
      </c>
      <c r="L46" s="284">
        <f t="shared" si="1"/>
        <v>4308</v>
      </c>
      <c r="M46" s="243">
        <f t="shared" si="5"/>
        <v>0.61860999425617458</v>
      </c>
    </row>
    <row r="47" spans="2:13" hidden="1">
      <c r="B47" s="595"/>
      <c r="C47" s="316">
        <v>2018</v>
      </c>
      <c r="D47" s="20">
        <v>581</v>
      </c>
      <c r="E47" s="20">
        <v>385</v>
      </c>
      <c r="F47" s="4">
        <v>6806</v>
      </c>
      <c r="G47" s="287">
        <v>712</v>
      </c>
      <c r="H47" s="4">
        <v>1939</v>
      </c>
      <c r="I47" s="288">
        <v>1914</v>
      </c>
      <c r="J47" s="4">
        <v>32</v>
      </c>
      <c r="K47" s="288">
        <v>1597</v>
      </c>
      <c r="L47" s="284">
        <f t="shared" si="1"/>
        <v>4248</v>
      </c>
      <c r="M47" s="243">
        <f t="shared" si="5"/>
        <v>0.62415515721422277</v>
      </c>
    </row>
    <row r="48" spans="2:13" ht="16.149999999999999" hidden="1" customHeight="1">
      <c r="B48" s="595"/>
      <c r="C48" s="316">
        <v>2017</v>
      </c>
      <c r="D48" s="20">
        <v>571</v>
      </c>
      <c r="E48" s="20">
        <v>365</v>
      </c>
      <c r="F48" s="4">
        <v>6570</v>
      </c>
      <c r="G48" s="287">
        <v>616</v>
      </c>
      <c r="H48" s="4">
        <v>1934</v>
      </c>
      <c r="I48" s="288">
        <v>1900</v>
      </c>
      <c r="J48" s="4">
        <v>38</v>
      </c>
      <c r="K48" s="288">
        <v>1367</v>
      </c>
      <c r="L48" s="284">
        <f t="shared" si="1"/>
        <v>3917</v>
      </c>
      <c r="M48" s="243">
        <f t="shared" si="5"/>
        <v>0.5961948249619482</v>
      </c>
    </row>
    <row r="49" spans="2:13" hidden="1">
      <c r="B49" s="595"/>
      <c r="C49" s="316">
        <v>2016</v>
      </c>
      <c r="D49" s="20">
        <v>551</v>
      </c>
      <c r="E49" s="20">
        <v>316</v>
      </c>
      <c r="F49" s="4">
        <v>6277</v>
      </c>
      <c r="G49" s="287">
        <v>572</v>
      </c>
      <c r="H49" s="4">
        <v>1868</v>
      </c>
      <c r="I49" s="288">
        <v>1834</v>
      </c>
      <c r="J49" s="4">
        <v>37</v>
      </c>
      <c r="K49" s="288">
        <v>1152</v>
      </c>
      <c r="L49" s="284">
        <f t="shared" si="1"/>
        <v>3592</v>
      </c>
      <c r="M49" s="243">
        <f t="shared" si="5"/>
        <v>0.57224788911900593</v>
      </c>
    </row>
    <row r="50" spans="2:13" hidden="1">
      <c r="B50" s="600"/>
      <c r="C50" s="317">
        <v>2015</v>
      </c>
      <c r="D50" s="60">
        <v>561</v>
      </c>
      <c r="E50" s="60">
        <v>350</v>
      </c>
      <c r="F50" s="4">
        <v>5921</v>
      </c>
      <c r="G50" s="287">
        <v>544</v>
      </c>
      <c r="H50" s="4">
        <v>1877</v>
      </c>
      <c r="I50" s="288">
        <v>1834</v>
      </c>
      <c r="J50" s="289">
        <v>44</v>
      </c>
      <c r="K50" s="289">
        <v>1022</v>
      </c>
      <c r="L50" s="284">
        <f t="shared" si="1"/>
        <v>3443</v>
      </c>
      <c r="M50" s="543">
        <f t="shared" si="5"/>
        <v>0.58148961324100656</v>
      </c>
    </row>
    <row r="51" spans="2:13" ht="15" customHeight="1">
      <c r="B51" s="599" t="s">
        <v>29</v>
      </c>
      <c r="C51" s="318">
        <v>2022</v>
      </c>
      <c r="D51" s="104">
        <v>2320</v>
      </c>
      <c r="E51" s="104">
        <f>1310</f>
        <v>1310</v>
      </c>
      <c r="F51" s="291">
        <v>25968</v>
      </c>
      <c r="G51" s="498">
        <v>3523</v>
      </c>
      <c r="H51" s="293">
        <v>7487</v>
      </c>
      <c r="I51" s="293">
        <v>7478</v>
      </c>
      <c r="J51" s="4">
        <v>13</v>
      </c>
      <c r="K51" s="288">
        <v>3620</v>
      </c>
      <c r="L51" s="294">
        <f t="shared" si="1"/>
        <v>14630</v>
      </c>
      <c r="M51" s="328">
        <f t="shared" si="5"/>
        <v>0.56338570548367217</v>
      </c>
    </row>
    <row r="52" spans="2:13">
      <c r="B52" s="595"/>
      <c r="C52" s="316">
        <v>2021</v>
      </c>
      <c r="D52" s="20">
        <v>2077</v>
      </c>
      <c r="E52" s="20">
        <v>1191</v>
      </c>
      <c r="F52" s="4">
        <v>22534</v>
      </c>
      <c r="G52" s="287">
        <v>3381</v>
      </c>
      <c r="H52" s="4">
        <v>7123</v>
      </c>
      <c r="I52" s="288">
        <v>7139</v>
      </c>
      <c r="J52" s="4">
        <v>17</v>
      </c>
      <c r="K52" s="288">
        <v>4832</v>
      </c>
      <c r="L52" s="284">
        <f t="shared" si="1"/>
        <v>15336</v>
      </c>
      <c r="M52" s="243">
        <f t="shared" si="5"/>
        <v>0.68057158072246382</v>
      </c>
    </row>
    <row r="53" spans="2:13">
      <c r="B53" s="595"/>
      <c r="C53" s="283">
        <v>2020</v>
      </c>
      <c r="D53" s="93">
        <v>1845</v>
      </c>
      <c r="E53" s="93">
        <v>1123</v>
      </c>
      <c r="F53" s="92">
        <v>21075</v>
      </c>
      <c r="G53" s="286">
        <v>2813</v>
      </c>
      <c r="H53" s="92">
        <f>7619+141</f>
        <v>7760</v>
      </c>
      <c r="I53" s="284">
        <v>7496</v>
      </c>
      <c r="J53" s="92">
        <v>23</v>
      </c>
      <c r="K53" s="284">
        <f>4320+81</f>
        <v>4401</v>
      </c>
      <c r="L53" s="284">
        <f t="shared" si="1"/>
        <v>14974</v>
      </c>
      <c r="M53" s="243">
        <f t="shared" si="5"/>
        <v>0.71051008303677343</v>
      </c>
    </row>
    <row r="54" spans="2:13">
      <c r="B54" s="595"/>
      <c r="C54" s="283">
        <v>2019</v>
      </c>
      <c r="D54" s="93">
        <v>1601</v>
      </c>
      <c r="E54" s="93">
        <v>1153</v>
      </c>
      <c r="F54" s="92">
        <v>18668</v>
      </c>
      <c r="G54" s="286">
        <v>3394</v>
      </c>
      <c r="H54" s="92">
        <v>6525</v>
      </c>
      <c r="I54" s="284">
        <v>6517</v>
      </c>
      <c r="J54" s="92">
        <v>14</v>
      </c>
      <c r="K54" s="284">
        <v>2732</v>
      </c>
      <c r="L54" s="284">
        <f t="shared" si="1"/>
        <v>12651</v>
      </c>
      <c r="M54" s="243">
        <f t="shared" si="5"/>
        <v>0.67768373687593741</v>
      </c>
    </row>
    <row r="55" spans="2:13" hidden="1">
      <c r="B55" s="595"/>
      <c r="C55" s="316">
        <v>2018</v>
      </c>
      <c r="D55" s="20">
        <v>1517</v>
      </c>
      <c r="E55" s="20">
        <f>1032-48</f>
        <v>984</v>
      </c>
      <c r="F55" s="4">
        <v>17490</v>
      </c>
      <c r="G55" s="287">
        <v>3102</v>
      </c>
      <c r="H55" s="4">
        <v>6023</v>
      </c>
      <c r="I55" s="288">
        <v>6010</v>
      </c>
      <c r="J55" s="4">
        <v>17</v>
      </c>
      <c r="K55" s="288">
        <v>2300</v>
      </c>
      <c r="L55" s="284">
        <f t="shared" si="1"/>
        <v>11425</v>
      </c>
      <c r="M55" s="243">
        <f t="shared" si="5"/>
        <v>0.65323041738136078</v>
      </c>
    </row>
    <row r="56" spans="2:13" hidden="1">
      <c r="B56" s="595"/>
      <c r="C56" s="316">
        <v>2017</v>
      </c>
      <c r="D56" s="20">
        <v>1443</v>
      </c>
      <c r="E56" s="20">
        <f>953-124</f>
        <v>829</v>
      </c>
      <c r="F56" s="4">
        <v>16753</v>
      </c>
      <c r="G56" s="287">
        <v>2856</v>
      </c>
      <c r="H56" s="4">
        <v>5702</v>
      </c>
      <c r="I56" s="288">
        <v>5697</v>
      </c>
      <c r="J56" s="4">
        <v>11</v>
      </c>
      <c r="K56" s="288">
        <v>1948</v>
      </c>
      <c r="L56" s="284">
        <f t="shared" si="1"/>
        <v>10506</v>
      </c>
      <c r="M56" s="243">
        <f t="shared" si="5"/>
        <v>0.62711156210827912</v>
      </c>
    </row>
    <row r="57" spans="2:13" hidden="1">
      <c r="B57" s="595"/>
      <c r="C57" s="316">
        <v>2016</v>
      </c>
      <c r="D57" s="20">
        <v>1382</v>
      </c>
      <c r="E57" s="20">
        <f>940-48</f>
        <v>892</v>
      </c>
      <c r="F57" s="4">
        <v>15976</v>
      </c>
      <c r="G57" s="287">
        <v>2715</v>
      </c>
      <c r="H57" s="4">
        <v>5626</v>
      </c>
      <c r="I57" s="288">
        <v>5620</v>
      </c>
      <c r="J57" s="4">
        <v>7</v>
      </c>
      <c r="K57" s="288">
        <v>1848</v>
      </c>
      <c r="L57" s="284">
        <f t="shared" si="1"/>
        <v>10189</v>
      </c>
      <c r="M57" s="243">
        <f t="shared" si="5"/>
        <v>0.63776915373059584</v>
      </c>
    </row>
    <row r="58" spans="2:13" hidden="1">
      <c r="B58" s="600"/>
      <c r="C58" s="317">
        <v>2015</v>
      </c>
      <c r="D58" s="60">
        <v>1390</v>
      </c>
      <c r="E58" s="20">
        <f>974-88</f>
        <v>886</v>
      </c>
      <c r="F58" s="4">
        <v>15221</v>
      </c>
      <c r="G58" s="313">
        <v>2703</v>
      </c>
      <c r="H58" s="4">
        <v>5783</v>
      </c>
      <c r="I58" s="288">
        <v>5784</v>
      </c>
      <c r="J58" s="4">
        <v>10</v>
      </c>
      <c r="K58" s="288">
        <v>1597</v>
      </c>
      <c r="L58" s="284">
        <f t="shared" si="1"/>
        <v>10083</v>
      </c>
      <c r="M58" s="243">
        <f t="shared" si="5"/>
        <v>0.66244004993101635</v>
      </c>
    </row>
    <row r="59" spans="2:13" ht="15" customHeight="1">
      <c r="B59" s="599" t="s">
        <v>30</v>
      </c>
      <c r="C59" s="318">
        <v>2022</v>
      </c>
      <c r="D59" s="104">
        <v>341</v>
      </c>
      <c r="E59" s="104">
        <v>198</v>
      </c>
      <c r="F59" s="291">
        <v>3733</v>
      </c>
      <c r="G59" s="287">
        <v>961</v>
      </c>
      <c r="H59" s="293">
        <v>595</v>
      </c>
      <c r="I59" s="293">
        <v>593</v>
      </c>
      <c r="J59" s="293">
        <v>3</v>
      </c>
      <c r="K59" s="293">
        <v>669</v>
      </c>
      <c r="L59" s="294">
        <f t="shared" si="1"/>
        <v>2225</v>
      </c>
      <c r="M59" s="295">
        <f t="shared" si="5"/>
        <v>0.5960353603000268</v>
      </c>
    </row>
    <row r="60" spans="2:13">
      <c r="B60" s="595"/>
      <c r="C60" s="316">
        <v>2021</v>
      </c>
      <c r="D60" s="20">
        <v>286</v>
      </c>
      <c r="E60" s="20">
        <v>179</v>
      </c>
      <c r="F60" s="4">
        <v>3137</v>
      </c>
      <c r="G60" s="287">
        <v>939</v>
      </c>
      <c r="H60" s="4">
        <v>753</v>
      </c>
      <c r="I60" s="288">
        <v>750</v>
      </c>
      <c r="J60" s="4">
        <v>7</v>
      </c>
      <c r="K60" s="288">
        <v>605</v>
      </c>
      <c r="L60" s="284">
        <f t="shared" si="1"/>
        <v>2297</v>
      </c>
      <c r="M60" s="243">
        <f t="shared" ref="M60:M67" si="6">+L60/F60</f>
        <v>0.73222824354478799</v>
      </c>
    </row>
    <row r="61" spans="2:13">
      <c r="B61" s="595"/>
      <c r="C61" s="283">
        <v>2020</v>
      </c>
      <c r="D61" s="93">
        <v>241</v>
      </c>
      <c r="E61" s="93">
        <v>169</v>
      </c>
      <c r="F61" s="92">
        <v>2764</v>
      </c>
      <c r="G61" s="286">
        <v>811</v>
      </c>
      <c r="H61" s="92">
        <v>423</v>
      </c>
      <c r="I61" s="284">
        <v>422</v>
      </c>
      <c r="J61" s="92">
        <v>5</v>
      </c>
      <c r="K61" s="284">
        <v>550</v>
      </c>
      <c r="L61" s="284">
        <f t="shared" si="1"/>
        <v>1784</v>
      </c>
      <c r="M61" s="243">
        <f t="shared" si="6"/>
        <v>0.64544138929088279</v>
      </c>
    </row>
    <row r="62" spans="2:13">
      <c r="B62" s="595"/>
      <c r="C62" s="283">
        <v>2019</v>
      </c>
      <c r="D62" s="93">
        <v>221</v>
      </c>
      <c r="E62" s="93">
        <v>174</v>
      </c>
      <c r="F62" s="92">
        <v>2547</v>
      </c>
      <c r="G62" s="286">
        <v>860</v>
      </c>
      <c r="H62" s="92">
        <v>620</v>
      </c>
      <c r="I62" s="284">
        <v>619</v>
      </c>
      <c r="J62" s="92">
        <v>4</v>
      </c>
      <c r="K62" s="284">
        <v>423</v>
      </c>
      <c r="L62" s="284">
        <f t="shared" si="1"/>
        <v>1903</v>
      </c>
      <c r="M62" s="542">
        <f t="shared" si="6"/>
        <v>0.74715351393796625</v>
      </c>
    </row>
    <row r="63" spans="2:13" hidden="1">
      <c r="B63" s="595"/>
      <c r="C63" s="316">
        <v>2018</v>
      </c>
      <c r="D63" s="20">
        <v>198</v>
      </c>
      <c r="E63" s="20">
        <v>183</v>
      </c>
      <c r="F63" s="4">
        <v>2313</v>
      </c>
      <c r="G63" s="287">
        <v>939</v>
      </c>
      <c r="H63" s="4">
        <v>720</v>
      </c>
      <c r="I63" s="288">
        <v>718</v>
      </c>
      <c r="J63" s="4">
        <v>8</v>
      </c>
      <c r="K63" s="288">
        <v>419</v>
      </c>
      <c r="L63" s="284">
        <f t="shared" si="1"/>
        <v>2078</v>
      </c>
      <c r="M63" s="243">
        <f t="shared" si="6"/>
        <v>0.89840034587116302</v>
      </c>
    </row>
    <row r="64" spans="2:13" hidden="1">
      <c r="B64" s="595"/>
      <c r="C64" s="316">
        <v>2017</v>
      </c>
      <c r="D64" s="20">
        <v>182</v>
      </c>
      <c r="E64" s="20">
        <v>170</v>
      </c>
      <c r="F64" s="4">
        <v>2070</v>
      </c>
      <c r="G64" s="287">
        <v>929</v>
      </c>
      <c r="H64" s="4">
        <v>665</v>
      </c>
      <c r="I64" s="288">
        <v>662</v>
      </c>
      <c r="J64" s="4">
        <v>4</v>
      </c>
      <c r="K64" s="288">
        <v>298</v>
      </c>
      <c r="L64" s="284">
        <f t="shared" si="1"/>
        <v>1892</v>
      </c>
      <c r="M64" s="243">
        <f t="shared" si="6"/>
        <v>0.91400966183574883</v>
      </c>
    </row>
    <row r="65" spans="2:13" hidden="1">
      <c r="B65" s="595"/>
      <c r="C65" s="316">
        <v>2016</v>
      </c>
      <c r="D65" s="20">
        <v>171</v>
      </c>
      <c r="E65" s="20">
        <v>163</v>
      </c>
      <c r="F65" s="4">
        <v>1982</v>
      </c>
      <c r="G65" s="287">
        <v>929</v>
      </c>
      <c r="H65" s="4">
        <v>616</v>
      </c>
      <c r="I65" s="288">
        <v>615</v>
      </c>
      <c r="J65" s="4">
        <v>1</v>
      </c>
      <c r="K65" s="288">
        <v>242</v>
      </c>
      <c r="L65" s="284">
        <f t="shared" si="1"/>
        <v>1787</v>
      </c>
      <c r="M65" s="243">
        <f t="shared" si="6"/>
        <v>0.90161453077699294</v>
      </c>
    </row>
    <row r="66" spans="2:13" hidden="1">
      <c r="B66" s="600"/>
      <c r="C66" s="317">
        <v>2015</v>
      </c>
      <c r="D66" s="60">
        <v>176</v>
      </c>
      <c r="E66" s="20">
        <v>172</v>
      </c>
      <c r="F66" s="4">
        <v>1894</v>
      </c>
      <c r="G66" s="287">
        <v>940</v>
      </c>
      <c r="H66" s="289">
        <v>633</v>
      </c>
      <c r="I66" s="289">
        <v>631</v>
      </c>
      <c r="J66" s="4">
        <v>2</v>
      </c>
      <c r="K66" s="289">
        <v>188</v>
      </c>
      <c r="L66" s="302">
        <f t="shared" si="1"/>
        <v>1761</v>
      </c>
      <c r="M66" s="303">
        <f t="shared" si="6"/>
        <v>0.92977824709609291</v>
      </c>
    </row>
    <row r="67" spans="2:13" ht="15" customHeight="1">
      <c r="B67" s="599" t="s">
        <v>31</v>
      </c>
      <c r="C67" s="240">
        <v>2022</v>
      </c>
      <c r="D67" s="319">
        <v>640</v>
      </c>
      <c r="E67" s="320">
        <v>395</v>
      </c>
      <c r="F67" s="307">
        <v>7144</v>
      </c>
      <c r="G67" s="292">
        <v>1653</v>
      </c>
      <c r="H67" s="315">
        <v>1192</v>
      </c>
      <c r="I67" s="288">
        <v>1192</v>
      </c>
      <c r="J67" s="293">
        <v>1</v>
      </c>
      <c r="K67" s="288">
        <v>1639</v>
      </c>
      <c r="L67" s="294">
        <f t="shared" si="1"/>
        <v>4484</v>
      </c>
      <c r="M67" s="243">
        <f t="shared" si="6"/>
        <v>0.62765957446808507</v>
      </c>
    </row>
    <row r="68" spans="2:13">
      <c r="B68" s="595"/>
      <c r="C68" s="13">
        <v>2021</v>
      </c>
      <c r="D68" s="321">
        <v>579</v>
      </c>
      <c r="E68" s="4">
        <v>361</v>
      </c>
      <c r="F68" s="310">
        <v>6339</v>
      </c>
      <c r="G68" s="287">
        <v>994</v>
      </c>
      <c r="H68" s="4">
        <v>2137</v>
      </c>
      <c r="I68" s="288">
        <v>2164</v>
      </c>
      <c r="J68" s="4">
        <v>3</v>
      </c>
      <c r="K68" s="288">
        <v>1650</v>
      </c>
      <c r="L68" s="284">
        <f t="shared" si="1"/>
        <v>4781</v>
      </c>
      <c r="M68" s="243">
        <f t="shared" ref="M68:M75" si="7">+L68/F68</f>
        <v>0.75421990850291842</v>
      </c>
    </row>
    <row r="69" spans="2:13">
      <c r="B69" s="595"/>
      <c r="C69" s="94">
        <v>2020</v>
      </c>
      <c r="D69" s="244">
        <v>518</v>
      </c>
      <c r="E69" s="92">
        <v>318</v>
      </c>
      <c r="F69" s="232">
        <v>5891</v>
      </c>
      <c r="G69" s="286">
        <v>861</v>
      </c>
      <c r="H69" s="92">
        <v>1213</v>
      </c>
      <c r="I69" s="284">
        <v>1232</v>
      </c>
      <c r="J69" s="92">
        <v>7</v>
      </c>
      <c r="K69" s="284">
        <v>1566</v>
      </c>
      <c r="L69" s="284">
        <f t="shared" si="1"/>
        <v>3640</v>
      </c>
      <c r="M69" s="243">
        <f t="shared" si="7"/>
        <v>0.61789169920217279</v>
      </c>
    </row>
    <row r="70" spans="2:13">
      <c r="B70" s="595"/>
      <c r="C70" s="94">
        <v>2019</v>
      </c>
      <c r="D70" s="244">
        <v>450</v>
      </c>
      <c r="E70" s="92">
        <v>313</v>
      </c>
      <c r="F70" s="232">
        <v>5214</v>
      </c>
      <c r="G70" s="286">
        <v>1753</v>
      </c>
      <c r="H70" s="92">
        <v>801</v>
      </c>
      <c r="I70" s="284">
        <v>801</v>
      </c>
      <c r="J70" s="92">
        <v>2</v>
      </c>
      <c r="K70" s="284">
        <v>914</v>
      </c>
      <c r="L70" s="284">
        <f t="shared" si="1"/>
        <v>3468</v>
      </c>
      <c r="M70" s="243">
        <f t="shared" si="7"/>
        <v>0.66513233601841193</v>
      </c>
    </row>
    <row r="71" spans="2:13" hidden="1">
      <c r="B71" s="595"/>
      <c r="C71" s="13">
        <v>2018</v>
      </c>
      <c r="D71" s="321">
        <v>435</v>
      </c>
      <c r="E71" s="4">
        <v>295</v>
      </c>
      <c r="F71" s="310">
        <v>4961</v>
      </c>
      <c r="G71" s="287">
        <v>1619</v>
      </c>
      <c r="H71" s="4">
        <v>779</v>
      </c>
      <c r="I71" s="288">
        <v>778</v>
      </c>
      <c r="J71" s="4">
        <v>1</v>
      </c>
      <c r="K71" s="288">
        <v>786</v>
      </c>
      <c r="L71" s="284">
        <f t="shared" si="1"/>
        <v>3184</v>
      </c>
      <c r="M71" s="243">
        <f t="shared" si="7"/>
        <v>0.64180608748236245</v>
      </c>
    </row>
    <row r="72" spans="2:13" hidden="1">
      <c r="B72" s="595"/>
      <c r="C72" s="13">
        <v>2017</v>
      </c>
      <c r="D72" s="321">
        <v>409</v>
      </c>
      <c r="E72" s="4">
        <v>272</v>
      </c>
      <c r="F72" s="310">
        <v>4756</v>
      </c>
      <c r="G72" s="287">
        <v>1543</v>
      </c>
      <c r="H72" s="4">
        <v>763</v>
      </c>
      <c r="I72" s="288">
        <v>762</v>
      </c>
      <c r="J72" s="4">
        <v>1</v>
      </c>
      <c r="K72" s="288">
        <v>666</v>
      </c>
      <c r="L72" s="284">
        <f t="shared" si="1"/>
        <v>2972</v>
      </c>
      <c r="M72" s="243">
        <f t="shared" si="7"/>
        <v>0.6248948696383515</v>
      </c>
    </row>
    <row r="73" spans="2:13" hidden="1">
      <c r="B73" s="595"/>
      <c r="C73" s="13">
        <v>2016</v>
      </c>
      <c r="D73" s="321">
        <v>411</v>
      </c>
      <c r="E73" s="4">
        <v>276</v>
      </c>
      <c r="F73" s="310">
        <v>4767</v>
      </c>
      <c r="G73" s="287">
        <v>1589</v>
      </c>
      <c r="H73" s="4">
        <v>747</v>
      </c>
      <c r="I73" s="288">
        <v>747</v>
      </c>
      <c r="J73" s="4">
        <v>2</v>
      </c>
      <c r="K73" s="288">
        <v>656</v>
      </c>
      <c r="L73" s="284">
        <f t="shared" si="1"/>
        <v>2992</v>
      </c>
      <c r="M73" s="243">
        <f t="shared" si="7"/>
        <v>0.62764841619467171</v>
      </c>
    </row>
    <row r="74" spans="2:13" hidden="1">
      <c r="B74" s="600"/>
      <c r="C74" s="13">
        <v>2015</v>
      </c>
      <c r="D74" s="322">
        <v>490</v>
      </c>
      <c r="E74" s="60">
        <v>347</v>
      </c>
      <c r="F74" s="323">
        <v>4823</v>
      </c>
      <c r="G74" s="313">
        <v>1538</v>
      </c>
      <c r="H74" s="4">
        <v>889</v>
      </c>
      <c r="I74" s="288">
        <v>890</v>
      </c>
      <c r="J74" s="289">
        <v>5</v>
      </c>
      <c r="K74" s="288">
        <v>647</v>
      </c>
      <c r="L74" s="302">
        <f t="shared" si="1"/>
        <v>3074</v>
      </c>
      <c r="M74" s="543">
        <f t="shared" si="7"/>
        <v>0.63736263736263732</v>
      </c>
    </row>
    <row r="75" spans="2:13" ht="15" customHeight="1">
      <c r="B75" s="599" t="s">
        <v>32</v>
      </c>
      <c r="C75" s="318">
        <v>2022</v>
      </c>
      <c r="D75" s="104">
        <v>267</v>
      </c>
      <c r="E75" s="104">
        <v>160</v>
      </c>
      <c r="F75" s="291">
        <v>3047</v>
      </c>
      <c r="G75" s="212">
        <v>555</v>
      </c>
      <c r="H75" s="293">
        <v>546</v>
      </c>
      <c r="I75" s="293">
        <v>545</v>
      </c>
      <c r="J75" s="4">
        <v>1</v>
      </c>
      <c r="K75" s="293">
        <v>661</v>
      </c>
      <c r="L75" s="294">
        <f t="shared" si="1"/>
        <v>1762</v>
      </c>
      <c r="M75" s="328">
        <f t="shared" si="7"/>
        <v>0.57827371184771903</v>
      </c>
    </row>
    <row r="76" spans="2:13">
      <c r="B76" s="595"/>
      <c r="C76" s="316">
        <v>2021</v>
      </c>
      <c r="D76" s="20">
        <v>239</v>
      </c>
      <c r="E76" s="20">
        <v>140</v>
      </c>
      <c r="F76" s="4">
        <v>2624</v>
      </c>
      <c r="G76" s="287">
        <v>481</v>
      </c>
      <c r="H76" s="4">
        <v>501</v>
      </c>
      <c r="I76" s="288">
        <v>524</v>
      </c>
      <c r="J76" s="4">
        <v>3</v>
      </c>
      <c r="K76" s="288">
        <v>586</v>
      </c>
      <c r="L76" s="284">
        <f t="shared" si="1"/>
        <v>1568</v>
      </c>
      <c r="M76" s="243">
        <f t="shared" ref="M76:M82" si="8">+L76/F76</f>
        <v>0.59756097560975607</v>
      </c>
    </row>
    <row r="77" spans="2:13">
      <c r="B77" s="595"/>
      <c r="C77" s="283">
        <v>2020</v>
      </c>
      <c r="D77" s="93">
        <v>218</v>
      </c>
      <c r="E77" s="93">
        <v>129</v>
      </c>
      <c r="F77" s="92">
        <v>2475</v>
      </c>
      <c r="G77" s="286">
        <v>503</v>
      </c>
      <c r="H77" s="92">
        <v>185</v>
      </c>
      <c r="I77" s="284">
        <v>187</v>
      </c>
      <c r="J77" s="92">
        <v>1</v>
      </c>
      <c r="K77" s="284">
        <v>612</v>
      </c>
      <c r="L77" s="284">
        <f t="shared" si="1"/>
        <v>1300</v>
      </c>
      <c r="M77" s="243">
        <f t="shared" si="8"/>
        <v>0.5252525252525253</v>
      </c>
    </row>
    <row r="78" spans="2:13">
      <c r="B78" s="595"/>
      <c r="C78" s="283">
        <v>2019</v>
      </c>
      <c r="D78" s="93">
        <v>198</v>
      </c>
      <c r="E78" s="93">
        <v>120</v>
      </c>
      <c r="F78" s="92">
        <v>2323</v>
      </c>
      <c r="G78" s="286">
        <v>457</v>
      </c>
      <c r="H78" s="92">
        <v>429</v>
      </c>
      <c r="I78" s="284">
        <v>427</v>
      </c>
      <c r="J78" s="92">
        <v>2</v>
      </c>
      <c r="K78" s="284">
        <v>458</v>
      </c>
      <c r="L78" s="284">
        <f t="shared" si="1"/>
        <v>1344</v>
      </c>
      <c r="M78" s="542">
        <f t="shared" si="8"/>
        <v>0.57856220404649161</v>
      </c>
    </row>
    <row r="79" spans="2:13" hidden="1">
      <c r="B79" s="595"/>
      <c r="C79" s="316">
        <v>2018</v>
      </c>
      <c r="D79" s="20">
        <v>198</v>
      </c>
      <c r="E79" s="20">
        <v>115</v>
      </c>
      <c r="F79" s="4">
        <v>2319</v>
      </c>
      <c r="G79" s="287">
        <v>459</v>
      </c>
      <c r="H79" s="4">
        <v>412</v>
      </c>
      <c r="I79" s="288">
        <v>411</v>
      </c>
      <c r="J79" s="4">
        <v>2</v>
      </c>
      <c r="K79" s="288">
        <v>406</v>
      </c>
      <c r="L79" s="284">
        <f t="shared" si="1"/>
        <v>1277</v>
      </c>
      <c r="M79" s="243">
        <f t="shared" si="8"/>
        <v>0.55066839154808112</v>
      </c>
    </row>
    <row r="80" spans="2:13" hidden="1">
      <c r="B80" s="595"/>
      <c r="C80" s="316">
        <v>2017</v>
      </c>
      <c r="D80" s="20">
        <v>197</v>
      </c>
      <c r="E80" s="20">
        <v>114</v>
      </c>
      <c r="F80" s="4">
        <v>2276</v>
      </c>
      <c r="G80" s="287">
        <v>452</v>
      </c>
      <c r="H80" s="4">
        <v>390</v>
      </c>
      <c r="I80" s="288">
        <v>388</v>
      </c>
      <c r="J80" s="4">
        <v>3</v>
      </c>
      <c r="K80" s="288">
        <v>359</v>
      </c>
      <c r="L80" s="284">
        <f t="shared" si="1"/>
        <v>1201</v>
      </c>
      <c r="M80" s="243">
        <f t="shared" si="8"/>
        <v>0.52768014059753954</v>
      </c>
    </row>
    <row r="81" spans="2:13" hidden="1">
      <c r="B81" s="595"/>
      <c r="C81" s="316">
        <v>2016</v>
      </c>
      <c r="D81" s="20">
        <v>195</v>
      </c>
      <c r="E81" s="20">
        <v>121</v>
      </c>
      <c r="F81" s="4">
        <v>2243</v>
      </c>
      <c r="G81" s="287">
        <v>496</v>
      </c>
      <c r="H81" s="4">
        <v>383</v>
      </c>
      <c r="I81" s="288">
        <v>383</v>
      </c>
      <c r="J81" s="4">
        <v>0</v>
      </c>
      <c r="K81" s="288">
        <v>334</v>
      </c>
      <c r="L81" s="284">
        <f t="shared" si="1"/>
        <v>1213</v>
      </c>
      <c r="M81" s="243">
        <f t="shared" si="8"/>
        <v>0.54079358002674993</v>
      </c>
    </row>
    <row r="82" spans="2:13" hidden="1">
      <c r="B82" s="600"/>
      <c r="C82" s="317">
        <v>2015</v>
      </c>
      <c r="D82" s="20">
        <v>207</v>
      </c>
      <c r="E82" s="60">
        <v>132</v>
      </c>
      <c r="F82" s="300">
        <v>2099</v>
      </c>
      <c r="G82" s="287">
        <v>496</v>
      </c>
      <c r="H82" s="289">
        <v>425</v>
      </c>
      <c r="I82" s="288">
        <v>424</v>
      </c>
      <c r="J82" s="4">
        <v>1</v>
      </c>
      <c r="K82" s="289">
        <v>263</v>
      </c>
      <c r="L82" s="284">
        <f t="shared" si="1"/>
        <v>1184</v>
      </c>
      <c r="M82" s="303">
        <f t="shared" si="8"/>
        <v>0.56407813244402094</v>
      </c>
    </row>
    <row r="83" spans="2:13" ht="15" customHeight="1">
      <c r="B83" s="601" t="s">
        <v>33</v>
      </c>
      <c r="C83" s="240">
        <v>2022</v>
      </c>
      <c r="D83" s="319">
        <v>26</v>
      </c>
      <c r="E83" s="320">
        <v>37</v>
      </c>
      <c r="F83" s="307">
        <v>312</v>
      </c>
      <c r="G83" s="501">
        <v>190</v>
      </c>
      <c r="H83" s="315">
        <v>60</v>
      </c>
      <c r="I83" s="293">
        <v>60</v>
      </c>
      <c r="J83" s="293">
        <v>0</v>
      </c>
      <c r="K83" s="288">
        <v>207</v>
      </c>
      <c r="L83" s="294">
        <f t="shared" si="1"/>
        <v>457</v>
      </c>
      <c r="M83" s="324" t="s">
        <v>77</v>
      </c>
    </row>
    <row r="84" spans="2:13">
      <c r="B84" s="602"/>
      <c r="C84" s="13">
        <v>2021</v>
      </c>
      <c r="D84" s="321">
        <v>28</v>
      </c>
      <c r="E84" s="4">
        <v>21</v>
      </c>
      <c r="F84" s="310">
        <v>332</v>
      </c>
      <c r="G84" s="287">
        <v>198</v>
      </c>
      <c r="H84" s="4">
        <v>62</v>
      </c>
      <c r="I84" s="288">
        <v>59</v>
      </c>
      <c r="J84" s="4">
        <v>2</v>
      </c>
      <c r="K84" s="288">
        <v>174</v>
      </c>
      <c r="L84" s="284">
        <f t="shared" si="1"/>
        <v>434</v>
      </c>
      <c r="M84" s="324" t="s">
        <v>77</v>
      </c>
    </row>
    <row r="85" spans="2:13">
      <c r="B85" s="602"/>
      <c r="C85" s="94">
        <v>2020</v>
      </c>
      <c r="D85" s="244">
        <v>28</v>
      </c>
      <c r="E85" s="92">
        <v>21</v>
      </c>
      <c r="F85" s="325">
        <v>327</v>
      </c>
      <c r="G85" s="286">
        <v>177</v>
      </c>
      <c r="H85" s="92">
        <v>20</v>
      </c>
      <c r="I85" s="284">
        <v>20</v>
      </c>
      <c r="J85" s="92">
        <v>1</v>
      </c>
      <c r="K85" s="284">
        <v>165</v>
      </c>
      <c r="L85" s="284">
        <f t="shared" si="1"/>
        <v>362</v>
      </c>
      <c r="M85" s="324" t="s">
        <v>77</v>
      </c>
    </row>
    <row r="86" spans="2:13">
      <c r="B86" s="602"/>
      <c r="C86" s="94">
        <v>2019</v>
      </c>
      <c r="D86" s="244">
        <v>29</v>
      </c>
      <c r="E86" s="92">
        <v>36</v>
      </c>
      <c r="F86" s="325" t="s">
        <v>77</v>
      </c>
      <c r="G86" s="286">
        <v>163</v>
      </c>
      <c r="H86" s="92">
        <v>50</v>
      </c>
      <c r="I86" s="284">
        <v>50</v>
      </c>
      <c r="J86" s="92">
        <v>0</v>
      </c>
      <c r="K86" s="284">
        <v>187</v>
      </c>
      <c r="L86" s="284">
        <f t="shared" si="1"/>
        <v>400</v>
      </c>
      <c r="M86" s="324" t="s">
        <v>77</v>
      </c>
    </row>
    <row r="87" spans="2:13" hidden="1">
      <c r="B87" s="602"/>
      <c r="C87" s="13">
        <v>2018</v>
      </c>
      <c r="D87" s="321">
        <v>26</v>
      </c>
      <c r="E87" s="4">
        <v>31</v>
      </c>
      <c r="F87" s="326" t="s">
        <v>77</v>
      </c>
      <c r="G87" s="287">
        <v>147</v>
      </c>
      <c r="H87" s="4">
        <v>44</v>
      </c>
      <c r="I87" s="288">
        <v>43</v>
      </c>
      <c r="J87" s="4">
        <v>1</v>
      </c>
      <c r="K87" s="288">
        <v>125</v>
      </c>
      <c r="L87" s="284">
        <f t="shared" si="1"/>
        <v>316</v>
      </c>
      <c r="M87" s="324" t="s">
        <v>77</v>
      </c>
    </row>
    <row r="88" spans="2:13" hidden="1">
      <c r="B88" s="602"/>
      <c r="C88" s="13">
        <v>2017</v>
      </c>
      <c r="D88" s="321">
        <v>25</v>
      </c>
      <c r="E88" s="4">
        <v>31</v>
      </c>
      <c r="F88" s="326" t="s">
        <v>77</v>
      </c>
      <c r="G88" s="287">
        <v>167</v>
      </c>
      <c r="H88" s="4">
        <v>64</v>
      </c>
      <c r="I88" s="288">
        <v>64</v>
      </c>
      <c r="J88" s="4">
        <v>0</v>
      </c>
      <c r="K88" s="288">
        <v>92</v>
      </c>
      <c r="L88" s="284">
        <f t="shared" si="1"/>
        <v>323</v>
      </c>
      <c r="M88" s="324" t="s">
        <v>77</v>
      </c>
    </row>
    <row r="89" spans="2:13" ht="16.149999999999999" hidden="1" customHeight="1">
      <c r="B89" s="602"/>
      <c r="C89" s="13">
        <v>2016</v>
      </c>
      <c r="D89" s="321">
        <v>23</v>
      </c>
      <c r="E89" s="4">
        <v>30</v>
      </c>
      <c r="F89" s="326" t="s">
        <v>77</v>
      </c>
      <c r="G89" s="287">
        <v>168</v>
      </c>
      <c r="H89" s="4">
        <v>63</v>
      </c>
      <c r="I89" s="288">
        <v>63</v>
      </c>
      <c r="J89" s="4">
        <v>0</v>
      </c>
      <c r="K89" s="288">
        <v>97</v>
      </c>
      <c r="L89" s="284">
        <f t="shared" si="1"/>
        <v>328</v>
      </c>
      <c r="M89" s="324" t="s">
        <v>77</v>
      </c>
    </row>
    <row r="90" spans="2:13" hidden="1">
      <c r="B90" s="603"/>
      <c r="C90" s="13">
        <v>2015</v>
      </c>
      <c r="D90" s="322">
        <v>20</v>
      </c>
      <c r="E90" s="4">
        <v>30</v>
      </c>
      <c r="F90" s="326" t="s">
        <v>77</v>
      </c>
      <c r="G90" s="301">
        <v>180</v>
      </c>
      <c r="H90" s="4">
        <v>35</v>
      </c>
      <c r="I90" s="288">
        <v>35</v>
      </c>
      <c r="J90" s="4">
        <v>0</v>
      </c>
      <c r="K90" s="288">
        <v>97</v>
      </c>
      <c r="L90" s="284">
        <f t="shared" si="1"/>
        <v>312</v>
      </c>
      <c r="M90" s="324" t="s">
        <v>77</v>
      </c>
    </row>
    <row r="91" spans="2:13" ht="15" customHeight="1">
      <c r="B91" s="599" t="s">
        <v>34</v>
      </c>
      <c r="C91" s="240">
        <v>2022</v>
      </c>
      <c r="D91" s="319">
        <v>420</v>
      </c>
      <c r="E91" s="320">
        <v>325</v>
      </c>
      <c r="F91" s="327">
        <v>4744</v>
      </c>
      <c r="G91" s="287">
        <v>401</v>
      </c>
      <c r="H91" s="293">
        <v>1195</v>
      </c>
      <c r="I91" s="293">
        <v>1194</v>
      </c>
      <c r="J91" s="293">
        <v>1</v>
      </c>
      <c r="K91" s="293">
        <v>2124</v>
      </c>
      <c r="L91" s="294">
        <f t="shared" si="1"/>
        <v>3720</v>
      </c>
      <c r="M91" s="328">
        <f t="shared" ref="M91:M99" si="9">+L91/F91</f>
        <v>0.78414839797639124</v>
      </c>
    </row>
    <row r="92" spans="2:13">
      <c r="B92" s="595"/>
      <c r="C92" s="13">
        <v>2021</v>
      </c>
      <c r="D92" s="321">
        <v>379</v>
      </c>
      <c r="E92" s="4">
        <v>242</v>
      </c>
      <c r="F92" s="326">
        <v>4230</v>
      </c>
      <c r="G92" s="287">
        <v>277</v>
      </c>
      <c r="H92" s="4">
        <v>1521</v>
      </c>
      <c r="I92" s="288">
        <v>1471</v>
      </c>
      <c r="J92" s="4">
        <v>0</v>
      </c>
      <c r="K92" s="288">
        <v>2090</v>
      </c>
      <c r="L92" s="284">
        <f t="shared" si="1"/>
        <v>3888</v>
      </c>
      <c r="M92" s="243">
        <f t="shared" si="9"/>
        <v>0.91914893617021276</v>
      </c>
    </row>
    <row r="93" spans="2:13">
      <c r="B93" s="595"/>
      <c r="C93" s="94">
        <v>2020</v>
      </c>
      <c r="D93" s="244">
        <v>328</v>
      </c>
      <c r="E93" s="92">
        <v>212</v>
      </c>
      <c r="F93" s="232">
        <v>3776</v>
      </c>
      <c r="G93" s="286">
        <v>243</v>
      </c>
      <c r="H93" s="92">
        <v>763</v>
      </c>
      <c r="I93" s="284">
        <v>786</v>
      </c>
      <c r="J93" s="92">
        <v>1</v>
      </c>
      <c r="K93" s="284">
        <v>1937</v>
      </c>
      <c r="L93" s="284">
        <f t="shared" si="1"/>
        <v>2943</v>
      </c>
      <c r="M93" s="243">
        <f t="shared" si="9"/>
        <v>0.77939618644067798</v>
      </c>
    </row>
    <row r="94" spans="2:13">
      <c r="B94" s="595"/>
      <c r="C94" s="94">
        <v>2019</v>
      </c>
      <c r="D94" s="244">
        <v>273</v>
      </c>
      <c r="E94" s="92">
        <v>246</v>
      </c>
      <c r="F94" s="232">
        <v>3178</v>
      </c>
      <c r="G94" s="286">
        <v>397</v>
      </c>
      <c r="H94" s="92">
        <v>618</v>
      </c>
      <c r="I94" s="284">
        <v>614</v>
      </c>
      <c r="J94" s="92">
        <v>5</v>
      </c>
      <c r="K94" s="284">
        <v>1634</v>
      </c>
      <c r="L94" s="302">
        <f t="shared" si="1"/>
        <v>2649</v>
      </c>
      <c r="M94" s="243">
        <f t="shared" si="9"/>
        <v>0.83354310887350536</v>
      </c>
    </row>
    <row r="95" spans="2:13" hidden="1">
      <c r="B95" s="595"/>
      <c r="C95" s="13">
        <v>2018</v>
      </c>
      <c r="D95" s="321">
        <v>255</v>
      </c>
      <c r="E95" s="4">
        <v>216</v>
      </c>
      <c r="F95" s="310">
        <v>2947</v>
      </c>
      <c r="G95" s="287">
        <v>352</v>
      </c>
      <c r="H95" s="4">
        <v>609</v>
      </c>
      <c r="I95" s="288">
        <v>606</v>
      </c>
      <c r="J95" s="4">
        <v>3</v>
      </c>
      <c r="K95" s="288">
        <v>1265</v>
      </c>
      <c r="L95" s="284">
        <f t="shared" si="1"/>
        <v>2226</v>
      </c>
      <c r="M95" s="243">
        <f t="shared" si="9"/>
        <v>0.75534441805225649</v>
      </c>
    </row>
    <row r="96" spans="2:13" hidden="1">
      <c r="B96" s="595"/>
      <c r="C96" s="13">
        <v>2017</v>
      </c>
      <c r="D96" s="321">
        <v>231</v>
      </c>
      <c r="E96" s="4">
        <v>193</v>
      </c>
      <c r="F96" s="310">
        <v>2671</v>
      </c>
      <c r="G96" s="287">
        <v>366</v>
      </c>
      <c r="H96" s="4">
        <v>597</v>
      </c>
      <c r="I96" s="288">
        <v>597</v>
      </c>
      <c r="J96" s="4">
        <v>0</v>
      </c>
      <c r="K96" s="288">
        <v>1091</v>
      </c>
      <c r="L96" s="284">
        <f t="shared" si="1"/>
        <v>2054</v>
      </c>
      <c r="M96" s="243">
        <f t="shared" si="9"/>
        <v>0.76900037439161362</v>
      </c>
    </row>
    <row r="97" spans="2:13" hidden="1">
      <c r="B97" s="595"/>
      <c r="C97" s="13">
        <v>2016</v>
      </c>
      <c r="D97" s="321">
        <v>218</v>
      </c>
      <c r="E97" s="4">
        <v>180</v>
      </c>
      <c r="F97" s="310">
        <v>2538</v>
      </c>
      <c r="G97" s="287">
        <v>300</v>
      </c>
      <c r="H97" s="4">
        <v>601</v>
      </c>
      <c r="I97" s="288">
        <v>596</v>
      </c>
      <c r="J97" s="4">
        <v>5</v>
      </c>
      <c r="K97" s="288">
        <v>1022</v>
      </c>
      <c r="L97" s="284">
        <f t="shared" si="1"/>
        <v>1923</v>
      </c>
      <c r="M97" s="243">
        <f t="shared" si="9"/>
        <v>0.75768321513002368</v>
      </c>
    </row>
    <row r="98" spans="2:13" hidden="1">
      <c r="B98" s="600"/>
      <c r="C98" s="13">
        <v>2015</v>
      </c>
      <c r="D98" s="322">
        <v>225</v>
      </c>
      <c r="E98" s="4">
        <v>190</v>
      </c>
      <c r="F98" s="323">
        <v>2396</v>
      </c>
      <c r="G98" s="301">
        <v>326</v>
      </c>
      <c r="H98" s="289">
        <v>607</v>
      </c>
      <c r="I98" s="288">
        <v>603</v>
      </c>
      <c r="J98" s="4">
        <v>5</v>
      </c>
      <c r="K98" s="289">
        <v>959</v>
      </c>
      <c r="L98" s="302">
        <f t="shared" si="1"/>
        <v>1892</v>
      </c>
      <c r="M98" s="243">
        <f t="shared" si="9"/>
        <v>0.78964941569282132</v>
      </c>
    </row>
    <row r="99" spans="2:13" ht="15" customHeight="1">
      <c r="B99" s="599" t="s">
        <v>35</v>
      </c>
      <c r="C99" s="240">
        <v>2022</v>
      </c>
      <c r="D99" s="319">
        <v>1010</v>
      </c>
      <c r="E99" s="320">
        <v>711</v>
      </c>
      <c r="F99" s="307">
        <v>11647</v>
      </c>
      <c r="G99" s="287">
        <v>2907</v>
      </c>
      <c r="H99" s="315">
        <v>1964</v>
      </c>
      <c r="I99" s="293">
        <v>1963</v>
      </c>
      <c r="J99" s="293">
        <v>1</v>
      </c>
      <c r="K99" s="329">
        <v>3030</v>
      </c>
      <c r="L99" s="284">
        <f t="shared" si="1"/>
        <v>7901</v>
      </c>
      <c r="M99" s="295">
        <f t="shared" si="9"/>
        <v>0.67837211299046962</v>
      </c>
    </row>
    <row r="100" spans="2:13">
      <c r="B100" s="595"/>
      <c r="C100" s="13">
        <v>2021</v>
      </c>
      <c r="D100" s="321">
        <v>958</v>
      </c>
      <c r="E100" s="4">
        <v>625</v>
      </c>
      <c r="F100" s="310">
        <v>11054</v>
      </c>
      <c r="G100" s="287">
        <v>2902</v>
      </c>
      <c r="H100" s="4">
        <v>2013</v>
      </c>
      <c r="I100" s="288">
        <v>1982</v>
      </c>
      <c r="J100" s="4">
        <v>0</v>
      </c>
      <c r="K100" s="288">
        <v>2833</v>
      </c>
      <c r="L100" s="284">
        <f t="shared" si="1"/>
        <v>7748</v>
      </c>
      <c r="M100" s="243">
        <f t="shared" ref="M100:M107" si="10">+L100/F100</f>
        <v>0.70092274289849832</v>
      </c>
    </row>
    <row r="101" spans="2:13">
      <c r="B101" s="595"/>
      <c r="C101" s="94">
        <v>2020</v>
      </c>
      <c r="D101" s="244">
        <v>916</v>
      </c>
      <c r="E101" s="92">
        <v>571</v>
      </c>
      <c r="F101" s="232">
        <v>10532</v>
      </c>
      <c r="G101" s="286">
        <v>3662</v>
      </c>
      <c r="H101" s="92">
        <v>935</v>
      </c>
      <c r="I101" s="284">
        <v>915</v>
      </c>
      <c r="J101" s="92">
        <v>0</v>
      </c>
      <c r="K101" s="284">
        <v>2625</v>
      </c>
      <c r="L101" s="284">
        <f t="shared" si="1"/>
        <v>7222</v>
      </c>
      <c r="M101" s="243">
        <f t="shared" si="10"/>
        <v>0.68571971135586784</v>
      </c>
    </row>
    <row r="102" spans="2:13">
      <c r="B102" s="595"/>
      <c r="C102" s="94">
        <v>2019</v>
      </c>
      <c r="D102" s="244">
        <v>832</v>
      </c>
      <c r="E102" s="92">
        <v>592</v>
      </c>
      <c r="F102" s="232">
        <v>9693</v>
      </c>
      <c r="G102" s="286">
        <v>2761</v>
      </c>
      <c r="H102" s="92">
        <v>1511</v>
      </c>
      <c r="I102" s="284">
        <v>1511</v>
      </c>
      <c r="J102" s="92">
        <v>3</v>
      </c>
      <c r="K102" s="284">
        <v>2134</v>
      </c>
      <c r="L102" s="302">
        <f t="shared" si="1"/>
        <v>6406</v>
      </c>
      <c r="M102" s="243">
        <f t="shared" si="10"/>
        <v>0.66088930155782522</v>
      </c>
    </row>
    <row r="103" spans="2:13" hidden="1">
      <c r="B103" s="595"/>
      <c r="C103" s="13">
        <v>2018</v>
      </c>
      <c r="D103" s="321">
        <v>773</v>
      </c>
      <c r="E103" s="4">
        <v>547</v>
      </c>
      <c r="F103" s="310">
        <v>8921</v>
      </c>
      <c r="G103" s="287">
        <v>2534</v>
      </c>
      <c r="H103" s="4">
        <v>1479</v>
      </c>
      <c r="I103" s="288">
        <v>1477</v>
      </c>
      <c r="J103" s="4">
        <v>2</v>
      </c>
      <c r="K103" s="288">
        <v>1951</v>
      </c>
      <c r="L103" s="284">
        <f t="shared" si="1"/>
        <v>5964</v>
      </c>
      <c r="M103" s="243">
        <f t="shared" si="10"/>
        <v>0.66853491761013339</v>
      </c>
    </row>
    <row r="104" spans="2:13" hidden="1">
      <c r="B104" s="595"/>
      <c r="C104" s="13">
        <v>2017</v>
      </c>
      <c r="D104" s="321">
        <v>726</v>
      </c>
      <c r="E104" s="4">
        <v>501</v>
      </c>
      <c r="F104" s="310">
        <v>8250</v>
      </c>
      <c r="G104" s="287">
        <v>2226</v>
      </c>
      <c r="H104" s="4">
        <v>1467</v>
      </c>
      <c r="I104" s="288">
        <v>1464</v>
      </c>
      <c r="J104" s="4">
        <v>3</v>
      </c>
      <c r="K104" s="288">
        <v>1734</v>
      </c>
      <c r="L104" s="284">
        <f t="shared" si="1"/>
        <v>5427</v>
      </c>
      <c r="M104" s="243">
        <f t="shared" si="10"/>
        <v>0.65781818181818186</v>
      </c>
    </row>
    <row r="105" spans="2:13" hidden="1">
      <c r="B105" s="595"/>
      <c r="C105" s="13">
        <v>2016</v>
      </c>
      <c r="D105" s="321">
        <v>648</v>
      </c>
      <c r="E105" s="4">
        <v>457</v>
      </c>
      <c r="F105" s="310">
        <v>7309</v>
      </c>
      <c r="G105" s="287">
        <v>2162</v>
      </c>
      <c r="H105" s="4">
        <v>1255</v>
      </c>
      <c r="I105" s="288">
        <v>1253</v>
      </c>
      <c r="J105" s="4">
        <v>2</v>
      </c>
      <c r="K105" s="288">
        <v>1358</v>
      </c>
      <c r="L105" s="284">
        <f t="shared" si="1"/>
        <v>4775</v>
      </c>
      <c r="M105" s="243">
        <f t="shared" si="10"/>
        <v>0.65330414557394989</v>
      </c>
    </row>
    <row r="106" spans="2:13" hidden="1">
      <c r="B106" s="600"/>
      <c r="C106" s="13">
        <v>2015</v>
      </c>
      <c r="D106" s="321">
        <v>605</v>
      </c>
      <c r="E106" s="4">
        <v>442</v>
      </c>
      <c r="F106" s="310">
        <v>6126</v>
      </c>
      <c r="G106" s="287">
        <v>1814</v>
      </c>
      <c r="H106" s="289">
        <v>1137</v>
      </c>
      <c r="I106" s="289">
        <v>1137</v>
      </c>
      <c r="J106" s="4">
        <v>0</v>
      </c>
      <c r="K106" s="288">
        <v>1296</v>
      </c>
      <c r="L106" s="314">
        <f t="shared" si="1"/>
        <v>4247</v>
      </c>
      <c r="M106" s="243">
        <f t="shared" si="10"/>
        <v>0.69327456741756444</v>
      </c>
    </row>
    <row r="107" spans="2:13" ht="15" customHeight="1">
      <c r="B107" s="599" t="s">
        <v>36</v>
      </c>
      <c r="C107" s="240">
        <v>2022</v>
      </c>
      <c r="D107" s="319">
        <v>543</v>
      </c>
      <c r="E107" s="104">
        <v>356</v>
      </c>
      <c r="F107" s="307">
        <v>6053</v>
      </c>
      <c r="G107" s="495">
        <v>1228</v>
      </c>
      <c r="H107" s="4">
        <v>1243</v>
      </c>
      <c r="I107" s="288">
        <v>1243</v>
      </c>
      <c r="J107" s="293">
        <v>1</v>
      </c>
      <c r="K107" s="293">
        <v>1396</v>
      </c>
      <c r="L107" s="284">
        <f>+G107+H107+K107</f>
        <v>3867</v>
      </c>
      <c r="M107" s="295">
        <f t="shared" si="10"/>
        <v>0.63885676524037671</v>
      </c>
    </row>
    <row r="108" spans="2:13">
      <c r="B108" s="595"/>
      <c r="C108" s="13">
        <v>2021</v>
      </c>
      <c r="D108" s="321">
        <v>488</v>
      </c>
      <c r="E108" s="4">
        <v>326</v>
      </c>
      <c r="F108" s="310">
        <v>5550</v>
      </c>
      <c r="G108" s="287">
        <v>952</v>
      </c>
      <c r="H108" s="4">
        <v>1762</v>
      </c>
      <c r="I108" s="288">
        <v>1760</v>
      </c>
      <c r="J108" s="4">
        <v>2</v>
      </c>
      <c r="K108" s="288">
        <v>1557</v>
      </c>
      <c r="L108" s="284">
        <f>+G108+H108+K108</f>
        <v>4271</v>
      </c>
      <c r="M108" s="243">
        <f t="shared" ref="M108:M115" si="11">+L108/F108</f>
        <v>0.76954954954954957</v>
      </c>
    </row>
    <row r="109" spans="2:13">
      <c r="B109" s="595"/>
      <c r="C109" s="94">
        <v>2020</v>
      </c>
      <c r="D109" s="244">
        <v>485</v>
      </c>
      <c r="E109" s="92">
        <v>305</v>
      </c>
      <c r="F109" s="232">
        <v>5594</v>
      </c>
      <c r="G109" s="286">
        <v>860</v>
      </c>
      <c r="H109" s="92">
        <v>1008</v>
      </c>
      <c r="I109" s="284">
        <v>999</v>
      </c>
      <c r="J109" s="92">
        <v>5</v>
      </c>
      <c r="K109" s="284">
        <v>1500</v>
      </c>
      <c r="L109" s="284">
        <f>+G109+H109+K109</f>
        <v>3368</v>
      </c>
      <c r="M109" s="243">
        <f t="shared" si="11"/>
        <v>0.60207365033964966</v>
      </c>
    </row>
    <row r="110" spans="2:13">
      <c r="B110" s="595"/>
      <c r="C110" s="94">
        <v>2019</v>
      </c>
      <c r="D110" s="244">
        <v>439</v>
      </c>
      <c r="E110" s="92">
        <v>295</v>
      </c>
      <c r="F110" s="232">
        <v>5131</v>
      </c>
      <c r="G110" s="286">
        <v>1225</v>
      </c>
      <c r="H110" s="92">
        <v>1147</v>
      </c>
      <c r="I110" s="284">
        <v>1142</v>
      </c>
      <c r="J110" s="92">
        <v>7</v>
      </c>
      <c r="K110" s="284">
        <v>881</v>
      </c>
      <c r="L110" s="284">
        <f>+G110+H110+K110</f>
        <v>3253</v>
      </c>
      <c r="M110" s="243">
        <f t="shared" si="11"/>
        <v>0.63398947573572406</v>
      </c>
    </row>
    <row r="111" spans="2:13" hidden="1">
      <c r="B111" s="595"/>
      <c r="C111" s="13">
        <v>2018</v>
      </c>
      <c r="D111" s="321">
        <v>405</v>
      </c>
      <c r="E111" s="4">
        <v>249</v>
      </c>
      <c r="F111" s="310">
        <v>4648</v>
      </c>
      <c r="G111" s="287">
        <v>1137</v>
      </c>
      <c r="H111" s="4">
        <v>946</v>
      </c>
      <c r="I111" s="288">
        <v>945</v>
      </c>
      <c r="J111" s="4">
        <v>2</v>
      </c>
      <c r="K111" s="288">
        <v>611</v>
      </c>
      <c r="L111" s="284">
        <f>+G111+H111+K111</f>
        <v>2694</v>
      </c>
      <c r="M111" s="243">
        <f t="shared" si="11"/>
        <v>0.57960413080895012</v>
      </c>
    </row>
    <row r="112" spans="2:13" hidden="1">
      <c r="B112" s="595"/>
      <c r="C112" s="13">
        <v>2017</v>
      </c>
      <c r="D112" s="321">
        <v>361</v>
      </c>
      <c r="E112" s="4">
        <v>231</v>
      </c>
      <c r="F112" s="310">
        <v>4110</v>
      </c>
      <c r="G112" s="287">
        <v>1113</v>
      </c>
      <c r="H112" s="4">
        <v>856</v>
      </c>
      <c r="I112" s="288">
        <v>851</v>
      </c>
      <c r="J112" s="4">
        <v>6</v>
      </c>
      <c r="K112" s="288">
        <v>606</v>
      </c>
      <c r="L112" s="284">
        <f t="shared" ref="L112:L157" si="12">+G112+H112+K112</f>
        <v>2575</v>
      </c>
      <c r="M112" s="243">
        <f t="shared" si="11"/>
        <v>0.62652068126520677</v>
      </c>
    </row>
    <row r="113" spans="2:13" hidden="1">
      <c r="B113" s="595"/>
      <c r="C113" s="13">
        <v>2016</v>
      </c>
      <c r="D113" s="321">
        <v>335</v>
      </c>
      <c r="E113" s="4">
        <v>233</v>
      </c>
      <c r="F113" s="310">
        <v>3793</v>
      </c>
      <c r="G113" s="287">
        <v>1109</v>
      </c>
      <c r="H113" s="4">
        <v>835</v>
      </c>
      <c r="I113" s="288">
        <v>835</v>
      </c>
      <c r="J113" s="4">
        <v>0</v>
      </c>
      <c r="K113" s="288">
        <v>491</v>
      </c>
      <c r="L113" s="284">
        <f t="shared" si="12"/>
        <v>2435</v>
      </c>
      <c r="M113" s="243">
        <f t="shared" si="11"/>
        <v>0.64197205378328503</v>
      </c>
    </row>
    <row r="114" spans="2:13" hidden="1">
      <c r="B114" s="600"/>
      <c r="C114" s="13">
        <v>2015</v>
      </c>
      <c r="D114" s="322">
        <v>371</v>
      </c>
      <c r="E114" s="60">
        <v>258</v>
      </c>
      <c r="F114" s="310">
        <v>3634</v>
      </c>
      <c r="G114" s="287">
        <v>1238</v>
      </c>
      <c r="H114" s="289">
        <v>859</v>
      </c>
      <c r="I114" s="289">
        <v>856</v>
      </c>
      <c r="J114" s="4">
        <v>4</v>
      </c>
      <c r="K114" s="289">
        <v>422</v>
      </c>
      <c r="L114" s="284">
        <f t="shared" si="12"/>
        <v>2519</v>
      </c>
      <c r="M114" s="243">
        <f t="shared" si="11"/>
        <v>0.6931755641166758</v>
      </c>
    </row>
    <row r="115" spans="2:13" ht="15" customHeight="1">
      <c r="B115" s="599" t="s">
        <v>172</v>
      </c>
      <c r="C115" s="318">
        <v>2022</v>
      </c>
      <c r="D115" s="104">
        <v>2</v>
      </c>
      <c r="E115" s="104">
        <v>3</v>
      </c>
      <c r="F115" s="291">
        <v>24</v>
      </c>
      <c r="G115" s="292">
        <v>21</v>
      </c>
      <c r="H115" s="315">
        <v>2</v>
      </c>
      <c r="I115" s="288">
        <v>2</v>
      </c>
      <c r="J115" s="293">
        <v>0</v>
      </c>
      <c r="K115" s="288">
        <v>1</v>
      </c>
      <c r="L115" s="294">
        <f t="shared" si="12"/>
        <v>24</v>
      </c>
      <c r="M115" s="295">
        <f t="shared" si="11"/>
        <v>1</v>
      </c>
    </row>
    <row r="116" spans="2:13">
      <c r="B116" s="595"/>
      <c r="C116" s="316">
        <v>2021</v>
      </c>
      <c r="D116" s="184">
        <v>2</v>
      </c>
      <c r="E116" s="20">
        <v>2</v>
      </c>
      <c r="F116" s="4">
        <v>24</v>
      </c>
      <c r="G116" s="287">
        <v>14</v>
      </c>
      <c r="H116" s="4">
        <v>3</v>
      </c>
      <c r="I116" s="288">
        <v>3</v>
      </c>
      <c r="J116" s="4">
        <v>0</v>
      </c>
      <c r="K116" s="288">
        <v>7</v>
      </c>
      <c r="L116" s="284">
        <f t="shared" si="12"/>
        <v>24</v>
      </c>
      <c r="M116" s="243">
        <f>+L116/F116</f>
        <v>1</v>
      </c>
    </row>
    <row r="117" spans="2:13">
      <c r="B117" s="595"/>
      <c r="C117" s="316">
        <v>2020</v>
      </c>
      <c r="D117" s="184">
        <v>2</v>
      </c>
      <c r="E117" s="20">
        <v>2</v>
      </c>
      <c r="F117" s="4">
        <v>24</v>
      </c>
      <c r="G117" s="287">
        <v>12</v>
      </c>
      <c r="H117" s="4">
        <v>0</v>
      </c>
      <c r="I117" s="288">
        <v>0</v>
      </c>
      <c r="J117" s="4">
        <v>0</v>
      </c>
      <c r="K117" s="288">
        <v>12</v>
      </c>
      <c r="L117" s="284">
        <f t="shared" si="12"/>
        <v>24</v>
      </c>
      <c r="M117" s="243">
        <f>+L117/F117</f>
        <v>1</v>
      </c>
    </row>
    <row r="118" spans="2:13">
      <c r="B118" s="595"/>
      <c r="C118" s="316">
        <v>2019</v>
      </c>
      <c r="D118" s="184">
        <v>1</v>
      </c>
      <c r="E118" s="20">
        <v>1</v>
      </c>
      <c r="F118" s="4">
        <v>8</v>
      </c>
      <c r="G118" s="287">
        <v>4</v>
      </c>
      <c r="H118" s="4">
        <v>3</v>
      </c>
      <c r="I118" s="288">
        <v>3</v>
      </c>
      <c r="J118" s="4">
        <v>0</v>
      </c>
      <c r="K118" s="288">
        <v>1</v>
      </c>
      <c r="L118" s="284">
        <f>+G118+H118+K118</f>
        <v>8</v>
      </c>
      <c r="M118" s="243">
        <f>+L118/F118</f>
        <v>1</v>
      </c>
    </row>
    <row r="119" spans="2:13" hidden="1">
      <c r="B119" s="595"/>
      <c r="C119" s="316">
        <v>2018</v>
      </c>
      <c r="D119" s="184">
        <v>0</v>
      </c>
      <c r="E119" s="20">
        <v>0</v>
      </c>
      <c r="F119" s="4">
        <v>0</v>
      </c>
      <c r="G119" s="287">
        <v>0</v>
      </c>
      <c r="H119" s="4">
        <v>0</v>
      </c>
      <c r="I119" s="288">
        <v>0</v>
      </c>
      <c r="J119" s="4">
        <v>0</v>
      </c>
      <c r="K119" s="288">
        <v>0</v>
      </c>
      <c r="L119" s="284">
        <f t="shared" si="12"/>
        <v>0</v>
      </c>
      <c r="M119" s="544" t="s">
        <v>77</v>
      </c>
    </row>
    <row r="120" spans="2:13" hidden="1">
      <c r="B120" s="595"/>
      <c r="C120" s="316">
        <v>2017</v>
      </c>
      <c r="D120" s="184">
        <v>0</v>
      </c>
      <c r="E120" s="20">
        <v>0</v>
      </c>
      <c r="F120" s="4">
        <v>0</v>
      </c>
      <c r="G120" s="287">
        <v>0</v>
      </c>
      <c r="H120" s="4">
        <v>0</v>
      </c>
      <c r="I120" s="288">
        <v>0</v>
      </c>
      <c r="J120" s="4">
        <v>0</v>
      </c>
      <c r="K120" s="288">
        <v>0</v>
      </c>
      <c r="L120" s="284">
        <f t="shared" si="12"/>
        <v>0</v>
      </c>
      <c r="M120" s="324" t="s">
        <v>77</v>
      </c>
    </row>
    <row r="121" spans="2:13" hidden="1">
      <c r="B121" s="595"/>
      <c r="C121" s="316">
        <v>2016</v>
      </c>
      <c r="D121" s="184">
        <v>0</v>
      </c>
      <c r="E121" s="20">
        <v>0</v>
      </c>
      <c r="F121" s="4">
        <v>0</v>
      </c>
      <c r="G121" s="287">
        <v>0</v>
      </c>
      <c r="H121" s="4">
        <v>0</v>
      </c>
      <c r="I121" s="288">
        <v>0</v>
      </c>
      <c r="J121" s="4">
        <v>0</v>
      </c>
      <c r="K121" s="288">
        <v>0</v>
      </c>
      <c r="L121" s="284">
        <f t="shared" si="12"/>
        <v>0</v>
      </c>
      <c r="M121" s="324" t="s">
        <v>77</v>
      </c>
    </row>
    <row r="122" spans="2:13" hidden="1">
      <c r="B122" s="600"/>
      <c r="C122" s="317">
        <v>2015</v>
      </c>
      <c r="D122" s="60">
        <v>0</v>
      </c>
      <c r="E122" s="60">
        <v>0</v>
      </c>
      <c r="F122" s="4">
        <v>0</v>
      </c>
      <c r="G122" s="287">
        <v>0</v>
      </c>
      <c r="H122" s="289">
        <v>0</v>
      </c>
      <c r="I122" s="289">
        <v>0</v>
      </c>
      <c r="J122" s="4">
        <v>0</v>
      </c>
      <c r="K122" s="288">
        <v>0</v>
      </c>
      <c r="L122" s="284">
        <f t="shared" si="12"/>
        <v>0</v>
      </c>
      <c r="M122" s="497" t="s">
        <v>77</v>
      </c>
    </row>
    <row r="123" spans="2:13" ht="15" customHeight="1">
      <c r="B123" s="601" t="s">
        <v>38</v>
      </c>
      <c r="C123" s="240">
        <v>2022</v>
      </c>
      <c r="D123" s="319">
        <v>120</v>
      </c>
      <c r="E123" s="320">
        <v>63</v>
      </c>
      <c r="F123" s="307">
        <v>1320</v>
      </c>
      <c r="G123" s="495">
        <v>118</v>
      </c>
      <c r="H123" s="4">
        <v>177</v>
      </c>
      <c r="I123" s="288">
        <v>177</v>
      </c>
      <c r="J123" s="293">
        <v>0</v>
      </c>
      <c r="K123" s="293">
        <f>377+5</f>
        <v>382</v>
      </c>
      <c r="L123" s="294">
        <f t="shared" si="12"/>
        <v>677</v>
      </c>
      <c r="M123" s="328">
        <f t="shared" ref="M123:M131" si="13">+L123/F123</f>
        <v>0.51287878787878793</v>
      </c>
    </row>
    <row r="124" spans="2:13">
      <c r="B124" s="602"/>
      <c r="C124" s="13">
        <v>2021</v>
      </c>
      <c r="D124" s="321">
        <v>100</v>
      </c>
      <c r="E124" s="4">
        <v>40</v>
      </c>
      <c r="F124" s="310">
        <v>1038</v>
      </c>
      <c r="G124" s="287">
        <v>106</v>
      </c>
      <c r="H124" s="4">
        <v>150</v>
      </c>
      <c r="I124" s="288">
        <v>150</v>
      </c>
      <c r="J124" s="4">
        <v>0</v>
      </c>
      <c r="K124" s="288">
        <v>258</v>
      </c>
      <c r="L124" s="284">
        <f t="shared" si="12"/>
        <v>514</v>
      </c>
      <c r="M124" s="243">
        <f t="shared" si="13"/>
        <v>0.4951830443159923</v>
      </c>
    </row>
    <row r="125" spans="2:13">
      <c r="B125" s="602"/>
      <c r="C125" s="94">
        <v>2020</v>
      </c>
      <c r="D125" s="244">
        <v>84</v>
      </c>
      <c r="E125" s="92">
        <v>31</v>
      </c>
      <c r="F125" s="232">
        <v>934</v>
      </c>
      <c r="G125" s="286">
        <v>64</v>
      </c>
      <c r="H125" s="92">
        <v>30</v>
      </c>
      <c r="I125" s="284">
        <v>30</v>
      </c>
      <c r="J125" s="92">
        <v>1</v>
      </c>
      <c r="K125" s="284">
        <v>244</v>
      </c>
      <c r="L125" s="284">
        <f t="shared" si="12"/>
        <v>338</v>
      </c>
      <c r="M125" s="243">
        <f t="shared" si="13"/>
        <v>0.36188436830835119</v>
      </c>
    </row>
    <row r="126" spans="2:13">
      <c r="B126" s="602"/>
      <c r="C126" s="94">
        <v>2019</v>
      </c>
      <c r="D126" s="244">
        <v>73</v>
      </c>
      <c r="E126" s="92">
        <v>38</v>
      </c>
      <c r="F126" s="232">
        <v>851</v>
      </c>
      <c r="G126" s="286">
        <v>74</v>
      </c>
      <c r="H126" s="92">
        <v>63</v>
      </c>
      <c r="I126" s="284">
        <v>63</v>
      </c>
      <c r="J126" s="92">
        <v>0</v>
      </c>
      <c r="K126" s="284">
        <v>224</v>
      </c>
      <c r="L126" s="284">
        <f t="shared" si="12"/>
        <v>361</v>
      </c>
      <c r="M126" s="243">
        <f t="shared" si="13"/>
        <v>0.42420681551116335</v>
      </c>
    </row>
    <row r="127" spans="2:13" hidden="1">
      <c r="B127" s="602"/>
      <c r="C127" s="13">
        <v>2018</v>
      </c>
      <c r="D127" s="321">
        <v>70</v>
      </c>
      <c r="E127" s="4">
        <v>32</v>
      </c>
      <c r="F127" s="310">
        <v>767</v>
      </c>
      <c r="G127" s="287">
        <v>63</v>
      </c>
      <c r="H127" s="4">
        <v>35</v>
      </c>
      <c r="I127" s="288">
        <v>35</v>
      </c>
      <c r="J127" s="4">
        <v>0</v>
      </c>
      <c r="K127" s="288">
        <v>192</v>
      </c>
      <c r="L127" s="284">
        <f t="shared" si="12"/>
        <v>290</v>
      </c>
      <c r="M127" s="243">
        <f t="shared" si="13"/>
        <v>0.37809647979139505</v>
      </c>
    </row>
    <row r="128" spans="2:13" hidden="1">
      <c r="B128" s="602"/>
      <c r="C128" s="13">
        <v>2017</v>
      </c>
      <c r="D128" s="321">
        <v>71</v>
      </c>
      <c r="E128" s="4">
        <v>27</v>
      </c>
      <c r="F128" s="310">
        <v>828</v>
      </c>
      <c r="G128" s="287">
        <v>69</v>
      </c>
      <c r="H128" s="4">
        <v>45</v>
      </c>
      <c r="I128" s="288">
        <v>45</v>
      </c>
      <c r="J128" s="4">
        <v>0</v>
      </c>
      <c r="K128" s="288">
        <v>177</v>
      </c>
      <c r="L128" s="284">
        <f t="shared" si="12"/>
        <v>291</v>
      </c>
      <c r="M128" s="243">
        <f t="shared" si="13"/>
        <v>0.35144927536231885</v>
      </c>
    </row>
    <row r="129" spans="1:13" hidden="1">
      <c r="B129" s="602"/>
      <c r="C129" s="13">
        <v>2016</v>
      </c>
      <c r="D129" s="321">
        <v>73</v>
      </c>
      <c r="E129" s="4">
        <v>30</v>
      </c>
      <c r="F129" s="310">
        <v>782</v>
      </c>
      <c r="G129" s="287">
        <v>58</v>
      </c>
      <c r="H129" s="4">
        <v>67</v>
      </c>
      <c r="I129" s="288">
        <v>67</v>
      </c>
      <c r="J129" s="4">
        <v>0</v>
      </c>
      <c r="K129" s="288">
        <v>153</v>
      </c>
      <c r="L129" s="284">
        <f t="shared" si="12"/>
        <v>278</v>
      </c>
      <c r="M129" s="243">
        <f t="shared" si="13"/>
        <v>0.35549872122762149</v>
      </c>
    </row>
    <row r="130" spans="1:13" hidden="1">
      <c r="B130" s="603"/>
      <c r="C130" s="13">
        <v>2015</v>
      </c>
      <c r="D130" s="322">
        <v>82</v>
      </c>
      <c r="E130" s="4">
        <v>44</v>
      </c>
      <c r="F130" s="323">
        <v>642</v>
      </c>
      <c r="G130" s="313">
        <v>63</v>
      </c>
      <c r="H130" s="289">
        <v>92</v>
      </c>
      <c r="I130" s="289">
        <v>92</v>
      </c>
      <c r="J130" s="289">
        <v>0</v>
      </c>
      <c r="K130" s="289">
        <v>139</v>
      </c>
      <c r="L130" s="284">
        <f t="shared" si="12"/>
        <v>294</v>
      </c>
      <c r="M130" s="243">
        <f t="shared" si="13"/>
        <v>0.45794392523364486</v>
      </c>
    </row>
    <row r="131" spans="1:13" ht="15" customHeight="1">
      <c r="B131" s="601" t="s">
        <v>39</v>
      </c>
      <c r="C131" s="240">
        <v>2022</v>
      </c>
      <c r="D131" s="319">
        <v>164</v>
      </c>
      <c r="E131" s="320">
        <v>106</v>
      </c>
      <c r="F131" s="307">
        <v>1747</v>
      </c>
      <c r="G131" s="287">
        <v>53</v>
      </c>
      <c r="H131" s="4">
        <v>150</v>
      </c>
      <c r="I131" s="288">
        <v>150</v>
      </c>
      <c r="J131" s="4">
        <v>0</v>
      </c>
      <c r="K131" s="288">
        <v>951</v>
      </c>
      <c r="L131" s="294">
        <f t="shared" si="12"/>
        <v>1154</v>
      </c>
      <c r="M131" s="295">
        <f t="shared" si="13"/>
        <v>0.66056096164854039</v>
      </c>
    </row>
    <row r="132" spans="1:13">
      <c r="B132" s="602"/>
      <c r="C132" s="13">
        <v>2021</v>
      </c>
      <c r="D132" s="321">
        <v>135</v>
      </c>
      <c r="E132" s="4">
        <v>41</v>
      </c>
      <c r="F132" s="310">
        <v>1402</v>
      </c>
      <c r="G132" s="287">
        <v>53</v>
      </c>
      <c r="H132" s="4">
        <v>126</v>
      </c>
      <c r="I132" s="288">
        <v>114</v>
      </c>
      <c r="J132" s="4">
        <v>0</v>
      </c>
      <c r="K132" s="288">
        <v>875</v>
      </c>
      <c r="L132" s="284">
        <f t="shared" si="12"/>
        <v>1054</v>
      </c>
      <c r="M132" s="243">
        <f>+L132/F132</f>
        <v>0.75178316690442226</v>
      </c>
    </row>
    <row r="133" spans="1:13">
      <c r="A133" s="17"/>
      <c r="B133" s="602"/>
      <c r="C133" s="94">
        <v>2020</v>
      </c>
      <c r="D133" s="244">
        <v>105</v>
      </c>
      <c r="E133" s="92">
        <v>37</v>
      </c>
      <c r="F133" s="232">
        <v>1126</v>
      </c>
      <c r="G133" s="286">
        <v>52</v>
      </c>
      <c r="H133" s="92">
        <v>97</v>
      </c>
      <c r="I133" s="284">
        <v>97</v>
      </c>
      <c r="J133" s="92">
        <v>0</v>
      </c>
      <c r="K133" s="284">
        <v>771</v>
      </c>
      <c r="L133" s="284">
        <f t="shared" si="12"/>
        <v>920</v>
      </c>
      <c r="M133" s="243">
        <f>+L133/F133</f>
        <v>0.81705150976909413</v>
      </c>
    </row>
    <row r="134" spans="1:13">
      <c r="A134" s="17"/>
      <c r="B134" s="602"/>
      <c r="C134" s="94">
        <v>2019</v>
      </c>
      <c r="D134" s="244">
        <v>92</v>
      </c>
      <c r="E134" s="92">
        <v>81</v>
      </c>
      <c r="F134" s="232">
        <v>1061</v>
      </c>
      <c r="G134" s="286">
        <v>45</v>
      </c>
      <c r="H134" s="92">
        <v>104</v>
      </c>
      <c r="I134" s="284">
        <v>103</v>
      </c>
      <c r="J134" s="92">
        <v>1</v>
      </c>
      <c r="K134" s="284">
        <v>709</v>
      </c>
      <c r="L134" s="284">
        <f t="shared" si="12"/>
        <v>858</v>
      </c>
      <c r="M134" s="243">
        <f>+L134/F134</f>
        <v>0.8086710650329878</v>
      </c>
    </row>
    <row r="135" spans="1:13" hidden="1">
      <c r="A135" s="17"/>
      <c r="B135" s="602"/>
      <c r="C135" s="13">
        <v>2018</v>
      </c>
      <c r="D135" s="321">
        <v>82</v>
      </c>
      <c r="E135" s="4">
        <v>67</v>
      </c>
      <c r="F135" s="310">
        <v>897</v>
      </c>
      <c r="G135" s="287">
        <v>48</v>
      </c>
      <c r="H135" s="4">
        <v>63</v>
      </c>
      <c r="I135" s="288">
        <v>63</v>
      </c>
      <c r="J135" s="4">
        <v>0</v>
      </c>
      <c r="K135" s="288">
        <v>544</v>
      </c>
      <c r="L135" s="284">
        <f t="shared" si="12"/>
        <v>655</v>
      </c>
      <c r="M135" s="243">
        <f>+L135/F135</f>
        <v>0.73021181716833894</v>
      </c>
    </row>
    <row r="136" spans="1:13" hidden="1">
      <c r="A136" s="17"/>
      <c r="B136" s="602"/>
      <c r="C136" s="13">
        <v>2017</v>
      </c>
      <c r="D136" s="321">
        <v>74</v>
      </c>
      <c r="E136" s="4">
        <v>56</v>
      </c>
      <c r="F136" s="310">
        <v>773</v>
      </c>
      <c r="G136" s="287">
        <v>41</v>
      </c>
      <c r="H136" s="4">
        <v>71</v>
      </c>
      <c r="I136" s="288">
        <v>71</v>
      </c>
      <c r="J136" s="4">
        <v>0</v>
      </c>
      <c r="K136" s="288">
        <v>426</v>
      </c>
      <c r="L136" s="284">
        <f t="shared" si="12"/>
        <v>538</v>
      </c>
      <c r="M136" s="243">
        <f t="shared" ref="M136:M155" si="14">+L136/F136</f>
        <v>0.69598965071151353</v>
      </c>
    </row>
    <row r="137" spans="1:13" hidden="1">
      <c r="A137" s="17"/>
      <c r="B137" s="602"/>
      <c r="C137" s="13">
        <v>2016</v>
      </c>
      <c r="D137" s="321">
        <v>63</v>
      </c>
      <c r="E137" s="4">
        <v>46</v>
      </c>
      <c r="F137" s="310">
        <v>719</v>
      </c>
      <c r="G137" s="287">
        <v>30</v>
      </c>
      <c r="H137" s="4">
        <v>34</v>
      </c>
      <c r="I137" s="288">
        <v>34</v>
      </c>
      <c r="J137" s="4">
        <v>0</v>
      </c>
      <c r="K137" s="288">
        <v>379</v>
      </c>
      <c r="L137" s="284">
        <f t="shared" si="12"/>
        <v>443</v>
      </c>
      <c r="M137" s="243">
        <f t="shared" si="14"/>
        <v>0.61613351877607792</v>
      </c>
    </row>
    <row r="138" spans="1:13" hidden="1">
      <c r="A138" s="17"/>
      <c r="B138" s="603"/>
      <c r="C138" s="13">
        <v>2015</v>
      </c>
      <c r="D138" s="321">
        <v>89</v>
      </c>
      <c r="E138" s="4">
        <v>39</v>
      </c>
      <c r="F138" s="323">
        <v>782</v>
      </c>
      <c r="G138" s="313">
        <v>42</v>
      </c>
      <c r="H138" s="4">
        <v>30</v>
      </c>
      <c r="I138" s="288">
        <v>30</v>
      </c>
      <c r="J138" s="289">
        <v>0</v>
      </c>
      <c r="K138" s="288">
        <v>300</v>
      </c>
      <c r="L138" s="284">
        <f t="shared" si="12"/>
        <v>372</v>
      </c>
      <c r="M138" s="243">
        <f t="shared" si="14"/>
        <v>0.47570332480818417</v>
      </c>
    </row>
    <row r="139" spans="1:13">
      <c r="A139" s="17"/>
      <c r="B139" s="599" t="s">
        <v>40</v>
      </c>
      <c r="C139" s="318">
        <v>2022</v>
      </c>
      <c r="D139" s="104">
        <v>152</v>
      </c>
      <c r="E139" s="104">
        <v>82</v>
      </c>
      <c r="F139" s="104">
        <v>1633</v>
      </c>
      <c r="G139" s="212">
        <v>221</v>
      </c>
      <c r="H139" s="293">
        <v>255</v>
      </c>
      <c r="I139" s="293">
        <v>255</v>
      </c>
      <c r="J139" s="4">
        <v>0</v>
      </c>
      <c r="K139" s="330">
        <v>421</v>
      </c>
      <c r="L139" s="294">
        <f t="shared" si="12"/>
        <v>897</v>
      </c>
      <c r="M139" s="295">
        <f t="shared" si="14"/>
        <v>0.54929577464788737</v>
      </c>
    </row>
    <row r="140" spans="1:13">
      <c r="A140" s="17"/>
      <c r="B140" s="595"/>
      <c r="C140" s="316">
        <v>2021</v>
      </c>
      <c r="D140" s="20">
        <v>133</v>
      </c>
      <c r="E140" s="20">
        <v>70</v>
      </c>
      <c r="F140" s="4">
        <v>1431</v>
      </c>
      <c r="G140" s="287">
        <v>115</v>
      </c>
      <c r="H140" s="4">
        <v>197</v>
      </c>
      <c r="I140" s="288">
        <v>229</v>
      </c>
      <c r="J140" s="4">
        <v>0</v>
      </c>
      <c r="K140" s="288">
        <v>511</v>
      </c>
      <c r="L140" s="284">
        <f t="shared" si="12"/>
        <v>823</v>
      </c>
      <c r="M140" s="243">
        <f>+L140/F140</f>
        <v>0.57512229210342414</v>
      </c>
    </row>
    <row r="141" spans="1:13">
      <c r="A141" s="17"/>
      <c r="B141" s="595"/>
      <c r="C141" s="283">
        <v>2020</v>
      </c>
      <c r="D141" s="93">
        <v>135</v>
      </c>
      <c r="E141" s="93">
        <v>68</v>
      </c>
      <c r="F141" s="92">
        <v>1514</v>
      </c>
      <c r="G141" s="286">
        <v>89</v>
      </c>
      <c r="H141" s="92">
        <v>148</v>
      </c>
      <c r="I141" s="284">
        <v>133</v>
      </c>
      <c r="J141" s="92">
        <v>1</v>
      </c>
      <c r="K141" s="284">
        <v>569</v>
      </c>
      <c r="L141" s="284">
        <f t="shared" si="12"/>
        <v>806</v>
      </c>
      <c r="M141" s="243">
        <f>+L141/F141</f>
        <v>0.53236459709379125</v>
      </c>
    </row>
    <row r="142" spans="1:13">
      <c r="A142" s="17"/>
      <c r="B142" s="595"/>
      <c r="C142" s="283">
        <v>2019</v>
      </c>
      <c r="D142" s="93">
        <v>120</v>
      </c>
      <c r="E142" s="93">
        <v>74</v>
      </c>
      <c r="F142" s="363">
        <v>1383</v>
      </c>
      <c r="G142" s="286">
        <v>218</v>
      </c>
      <c r="H142" s="92">
        <v>214</v>
      </c>
      <c r="I142" s="284">
        <v>214</v>
      </c>
      <c r="J142" s="92">
        <v>0</v>
      </c>
      <c r="K142" s="284">
        <v>357</v>
      </c>
      <c r="L142" s="284">
        <f t="shared" si="12"/>
        <v>789</v>
      </c>
      <c r="M142" s="243">
        <f>+L142/F142</f>
        <v>0.57049891540130149</v>
      </c>
    </row>
    <row r="143" spans="1:13" hidden="1">
      <c r="A143" s="17"/>
      <c r="B143" s="595"/>
      <c r="C143" s="283">
        <v>2018</v>
      </c>
      <c r="D143" s="93">
        <v>116</v>
      </c>
      <c r="E143" s="93">
        <v>67</v>
      </c>
      <c r="F143" s="4">
        <v>1335</v>
      </c>
      <c r="G143" s="287">
        <v>225</v>
      </c>
      <c r="H143" s="4">
        <v>224</v>
      </c>
      <c r="I143" s="288">
        <v>223</v>
      </c>
      <c r="J143" s="4">
        <v>1</v>
      </c>
      <c r="K143" s="288">
        <v>262</v>
      </c>
      <c r="L143" s="284">
        <f t="shared" si="12"/>
        <v>711</v>
      </c>
      <c r="M143" s="243">
        <f>+L143/F143</f>
        <v>0.53258426966292138</v>
      </c>
    </row>
    <row r="144" spans="1:13" hidden="1">
      <c r="A144" s="17"/>
      <c r="B144" s="595"/>
      <c r="C144" s="283">
        <v>2017</v>
      </c>
      <c r="D144" s="93">
        <v>110</v>
      </c>
      <c r="E144" s="93">
        <v>62</v>
      </c>
      <c r="F144" s="4">
        <v>1244</v>
      </c>
      <c r="G144" s="287">
        <v>263</v>
      </c>
      <c r="H144" s="4">
        <v>177</v>
      </c>
      <c r="I144" s="288">
        <v>177</v>
      </c>
      <c r="J144" s="4">
        <v>0</v>
      </c>
      <c r="K144" s="288">
        <v>190</v>
      </c>
      <c r="L144" s="284">
        <f t="shared" si="12"/>
        <v>630</v>
      </c>
      <c r="M144" s="243">
        <f t="shared" si="14"/>
        <v>0.50643086816720262</v>
      </c>
    </row>
    <row r="145" spans="1:13" hidden="1">
      <c r="A145" s="17"/>
      <c r="B145" s="595"/>
      <c r="C145" s="296">
        <v>2016</v>
      </c>
      <c r="D145" s="297">
        <v>113</v>
      </c>
      <c r="E145" s="297">
        <v>60</v>
      </c>
      <c r="F145" s="4">
        <v>1263</v>
      </c>
      <c r="G145" s="287">
        <v>246</v>
      </c>
      <c r="H145" s="4">
        <v>190</v>
      </c>
      <c r="I145" s="288">
        <v>190</v>
      </c>
      <c r="J145" s="4">
        <v>0</v>
      </c>
      <c r="K145" s="288">
        <v>197</v>
      </c>
      <c r="L145" s="284">
        <f t="shared" si="12"/>
        <v>633</v>
      </c>
      <c r="M145" s="243">
        <f t="shared" si="14"/>
        <v>0.50118764845605701</v>
      </c>
    </row>
    <row r="146" spans="1:13" hidden="1">
      <c r="A146" s="17"/>
      <c r="B146" s="600"/>
      <c r="C146" s="298">
        <v>2015</v>
      </c>
      <c r="D146" s="299">
        <v>138</v>
      </c>
      <c r="E146" s="299">
        <v>86</v>
      </c>
      <c r="F146" s="300">
        <v>1325</v>
      </c>
      <c r="G146" s="287">
        <v>265</v>
      </c>
      <c r="H146" s="4">
        <v>210</v>
      </c>
      <c r="I146" s="288">
        <v>210</v>
      </c>
      <c r="J146" s="4">
        <v>0</v>
      </c>
      <c r="K146" s="288">
        <v>205</v>
      </c>
      <c r="L146" s="284">
        <f t="shared" si="12"/>
        <v>680</v>
      </c>
      <c r="M146" s="543">
        <f t="shared" si="14"/>
        <v>0.51320754716981132</v>
      </c>
    </row>
    <row r="147" spans="1:13">
      <c r="A147" s="17"/>
      <c r="B147" s="599" t="s">
        <v>41</v>
      </c>
      <c r="C147" s="311">
        <v>2022</v>
      </c>
      <c r="D147" s="312">
        <v>133</v>
      </c>
      <c r="E147" s="312">
        <v>60</v>
      </c>
      <c r="F147" s="4">
        <v>1484</v>
      </c>
      <c r="G147" s="331">
        <v>255</v>
      </c>
      <c r="H147" s="293">
        <v>261</v>
      </c>
      <c r="I147" s="293">
        <v>260</v>
      </c>
      <c r="J147" s="293">
        <v>1</v>
      </c>
      <c r="K147" s="293">
        <v>258</v>
      </c>
      <c r="L147" s="294">
        <f t="shared" si="12"/>
        <v>774</v>
      </c>
      <c r="M147" s="328">
        <f t="shared" si="14"/>
        <v>0.52156334231805934</v>
      </c>
    </row>
    <row r="148" spans="1:13">
      <c r="A148" s="17"/>
      <c r="B148" s="595"/>
      <c r="C148" s="296">
        <v>2021</v>
      </c>
      <c r="D148" s="297">
        <v>119</v>
      </c>
      <c r="E148" s="297">
        <v>52</v>
      </c>
      <c r="F148" s="4">
        <v>1278</v>
      </c>
      <c r="G148" s="287">
        <v>228</v>
      </c>
      <c r="H148" s="4">
        <v>160</v>
      </c>
      <c r="I148" s="288">
        <v>146</v>
      </c>
      <c r="J148" s="4">
        <v>2</v>
      </c>
      <c r="K148" s="288">
        <v>186</v>
      </c>
      <c r="L148" s="284">
        <f t="shared" si="12"/>
        <v>574</v>
      </c>
      <c r="M148" s="243">
        <f>+L148/F148</f>
        <v>0.44913928012519561</v>
      </c>
    </row>
    <row r="149" spans="1:13">
      <c r="A149" s="17"/>
      <c r="B149" s="595"/>
      <c r="C149" s="283">
        <v>2020</v>
      </c>
      <c r="D149" s="93">
        <v>102</v>
      </c>
      <c r="E149" s="93">
        <v>49</v>
      </c>
      <c r="F149" s="92">
        <v>1004</v>
      </c>
      <c r="G149" s="286">
        <v>204</v>
      </c>
      <c r="H149" s="92">
        <v>151</v>
      </c>
      <c r="I149" s="284">
        <v>167</v>
      </c>
      <c r="J149" s="92">
        <v>2</v>
      </c>
      <c r="K149" s="284">
        <v>220</v>
      </c>
      <c r="L149" s="284">
        <f t="shared" si="12"/>
        <v>575</v>
      </c>
      <c r="M149" s="243">
        <f>+L149/F149</f>
        <v>0.57270916334661359</v>
      </c>
    </row>
    <row r="150" spans="1:13">
      <c r="A150" s="17"/>
      <c r="B150" s="595"/>
      <c r="C150" s="283">
        <v>2019</v>
      </c>
      <c r="D150" s="93">
        <v>78</v>
      </c>
      <c r="E150" s="93">
        <v>66</v>
      </c>
      <c r="F150" s="92">
        <v>921</v>
      </c>
      <c r="G150" s="286">
        <v>258</v>
      </c>
      <c r="H150" s="92">
        <v>230</v>
      </c>
      <c r="I150" s="284">
        <v>230</v>
      </c>
      <c r="J150" s="92">
        <v>0</v>
      </c>
      <c r="K150" s="284">
        <v>216</v>
      </c>
      <c r="L150" s="284">
        <f t="shared" si="12"/>
        <v>704</v>
      </c>
      <c r="M150" s="542">
        <f>+L150/F150</f>
        <v>0.76438653637350706</v>
      </c>
    </row>
    <row r="151" spans="1:13" hidden="1">
      <c r="A151" s="17"/>
      <c r="B151" s="595"/>
      <c r="C151" s="296">
        <v>2018</v>
      </c>
      <c r="D151" s="297">
        <v>60</v>
      </c>
      <c r="E151" s="297">
        <v>40</v>
      </c>
      <c r="F151" s="4">
        <v>720</v>
      </c>
      <c r="G151" s="287">
        <v>145</v>
      </c>
      <c r="H151" s="4">
        <v>102</v>
      </c>
      <c r="I151" s="288">
        <v>102</v>
      </c>
      <c r="J151" s="4">
        <v>0</v>
      </c>
      <c r="K151" s="288">
        <v>175</v>
      </c>
      <c r="L151" s="284">
        <f t="shared" si="12"/>
        <v>422</v>
      </c>
      <c r="M151" s="243">
        <f>+L151/F151</f>
        <v>0.58611111111111114</v>
      </c>
    </row>
    <row r="152" spans="1:13" hidden="1">
      <c r="A152" s="17"/>
      <c r="B152" s="595"/>
      <c r="C152" s="296">
        <v>2017</v>
      </c>
      <c r="D152" s="297">
        <v>59</v>
      </c>
      <c r="E152" s="297">
        <v>41</v>
      </c>
      <c r="F152" s="4">
        <v>703</v>
      </c>
      <c r="G152" s="287">
        <v>150</v>
      </c>
      <c r="H152" s="4">
        <v>144</v>
      </c>
      <c r="I152" s="288">
        <v>143</v>
      </c>
      <c r="J152" s="4">
        <v>1</v>
      </c>
      <c r="K152" s="288">
        <v>139</v>
      </c>
      <c r="L152" s="284">
        <f t="shared" si="12"/>
        <v>433</v>
      </c>
      <c r="M152" s="243">
        <f t="shared" si="14"/>
        <v>0.61593172119487904</v>
      </c>
    </row>
    <row r="153" spans="1:13" hidden="1">
      <c r="A153" s="17"/>
      <c r="B153" s="595"/>
      <c r="C153" s="296">
        <v>2016</v>
      </c>
      <c r="D153" s="297">
        <v>64</v>
      </c>
      <c r="E153" s="297">
        <v>46</v>
      </c>
      <c r="F153" s="4">
        <v>757</v>
      </c>
      <c r="G153" s="287">
        <v>197</v>
      </c>
      <c r="H153" s="4">
        <v>135</v>
      </c>
      <c r="I153" s="288">
        <v>135</v>
      </c>
      <c r="J153" s="4">
        <v>0</v>
      </c>
      <c r="K153" s="288">
        <v>135</v>
      </c>
      <c r="L153" s="284">
        <f t="shared" si="12"/>
        <v>467</v>
      </c>
      <c r="M153" s="243">
        <f t="shared" si="14"/>
        <v>0.61690885072655222</v>
      </c>
    </row>
    <row r="154" spans="1:13" hidden="1">
      <c r="A154" s="17"/>
      <c r="B154" s="600"/>
      <c r="C154" s="298">
        <v>2015</v>
      </c>
      <c r="D154" s="299">
        <v>80</v>
      </c>
      <c r="E154" s="299">
        <v>60</v>
      </c>
      <c r="F154" s="4">
        <v>790</v>
      </c>
      <c r="G154" s="287">
        <v>237</v>
      </c>
      <c r="H154" s="4">
        <v>175</v>
      </c>
      <c r="I154" s="288">
        <v>173</v>
      </c>
      <c r="J154" s="4">
        <v>2</v>
      </c>
      <c r="K154" s="288">
        <v>127</v>
      </c>
      <c r="L154" s="302">
        <f t="shared" si="12"/>
        <v>539</v>
      </c>
      <c r="M154" s="303">
        <f t="shared" si="14"/>
        <v>0.6822784810126582</v>
      </c>
    </row>
    <row r="155" spans="1:13">
      <c r="A155" s="17"/>
      <c r="B155" s="604" t="s">
        <v>171</v>
      </c>
      <c r="C155" s="311">
        <v>2022</v>
      </c>
      <c r="D155" s="312">
        <v>1</v>
      </c>
      <c r="E155" s="312">
        <v>1</v>
      </c>
      <c r="F155" s="291">
        <v>12</v>
      </c>
      <c r="G155" s="332">
        <v>0</v>
      </c>
      <c r="H155" s="293">
        <v>12</v>
      </c>
      <c r="I155" s="293">
        <v>12</v>
      </c>
      <c r="J155" s="293">
        <v>0</v>
      </c>
      <c r="K155" s="293">
        <v>0</v>
      </c>
      <c r="L155" s="294">
        <f t="shared" si="12"/>
        <v>12</v>
      </c>
      <c r="M155" s="243">
        <f t="shared" si="14"/>
        <v>1</v>
      </c>
    </row>
    <row r="156" spans="1:13">
      <c r="A156" s="17"/>
      <c r="B156" s="605"/>
      <c r="C156" s="296">
        <v>2021</v>
      </c>
      <c r="D156" s="297">
        <v>1</v>
      </c>
      <c r="E156" s="297">
        <v>1</v>
      </c>
      <c r="F156" s="4">
        <v>12</v>
      </c>
      <c r="G156" s="287">
        <v>0</v>
      </c>
      <c r="H156" s="4">
        <v>12</v>
      </c>
      <c r="I156" s="288">
        <v>12</v>
      </c>
      <c r="J156" s="4">
        <v>0</v>
      </c>
      <c r="K156" s="288">
        <v>0</v>
      </c>
      <c r="L156" s="284">
        <f t="shared" si="12"/>
        <v>12</v>
      </c>
      <c r="M156" s="243">
        <v>1</v>
      </c>
    </row>
    <row r="157" spans="1:13">
      <c r="A157" s="17"/>
      <c r="B157" s="605"/>
      <c r="C157" s="296">
        <v>2020</v>
      </c>
      <c r="D157" s="297">
        <v>1</v>
      </c>
      <c r="E157" s="297">
        <v>1</v>
      </c>
      <c r="F157" s="4">
        <v>12</v>
      </c>
      <c r="G157" s="333">
        <v>0</v>
      </c>
      <c r="H157" s="4">
        <v>0</v>
      </c>
      <c r="I157" s="288">
        <v>0</v>
      </c>
      <c r="J157" s="4">
        <v>1</v>
      </c>
      <c r="K157" s="288">
        <v>1</v>
      </c>
      <c r="L157" s="284">
        <f t="shared" si="12"/>
        <v>1</v>
      </c>
      <c r="M157" s="243">
        <v>1</v>
      </c>
    </row>
    <row r="158" spans="1:13">
      <c r="A158" s="17"/>
      <c r="B158" s="605"/>
      <c r="C158" s="296">
        <v>2019</v>
      </c>
      <c r="D158" s="297">
        <v>1</v>
      </c>
      <c r="E158" s="297">
        <v>1</v>
      </c>
      <c r="F158" s="4">
        <v>12</v>
      </c>
      <c r="G158" s="333">
        <v>0</v>
      </c>
      <c r="H158" s="4">
        <v>12</v>
      </c>
      <c r="I158" s="288">
        <v>12</v>
      </c>
      <c r="J158" s="4">
        <v>0</v>
      </c>
      <c r="K158" s="288">
        <v>0</v>
      </c>
      <c r="L158" s="284">
        <v>12</v>
      </c>
      <c r="M158" s="542">
        <v>1</v>
      </c>
    </row>
    <row r="159" spans="1:13" hidden="1">
      <c r="A159" s="17"/>
      <c r="B159" s="605"/>
      <c r="C159" s="296">
        <v>2018</v>
      </c>
      <c r="D159" s="297">
        <v>0</v>
      </c>
      <c r="E159" s="297">
        <v>0</v>
      </c>
      <c r="F159" s="4">
        <v>0</v>
      </c>
      <c r="G159" s="333" t="s">
        <v>77</v>
      </c>
      <c r="H159" s="4">
        <v>0</v>
      </c>
      <c r="I159" s="288">
        <v>0</v>
      </c>
      <c r="J159" s="4">
        <v>0</v>
      </c>
      <c r="K159" s="288">
        <v>0</v>
      </c>
      <c r="L159" s="284">
        <v>0</v>
      </c>
      <c r="M159" s="324" t="s">
        <v>77</v>
      </c>
    </row>
    <row r="160" spans="1:13" hidden="1">
      <c r="A160" s="17"/>
      <c r="B160" s="605"/>
      <c r="C160" s="296">
        <v>2017</v>
      </c>
      <c r="D160" s="297">
        <v>0</v>
      </c>
      <c r="E160" s="297">
        <v>0</v>
      </c>
      <c r="F160" s="4">
        <v>0</v>
      </c>
      <c r="G160" s="333" t="s">
        <v>77</v>
      </c>
      <c r="H160" s="4">
        <v>0</v>
      </c>
      <c r="I160" s="288">
        <v>0</v>
      </c>
      <c r="J160" s="4">
        <v>0</v>
      </c>
      <c r="K160" s="288">
        <v>0</v>
      </c>
      <c r="L160" s="284">
        <v>0</v>
      </c>
      <c r="M160" s="324" t="s">
        <v>77</v>
      </c>
    </row>
    <row r="161" spans="1:13" hidden="1">
      <c r="A161" s="17"/>
      <c r="B161" s="605"/>
      <c r="C161" s="296">
        <v>2016</v>
      </c>
      <c r="D161" s="297">
        <v>0</v>
      </c>
      <c r="E161" s="297">
        <v>0</v>
      </c>
      <c r="F161" s="4">
        <v>0</v>
      </c>
      <c r="G161" s="333" t="s">
        <v>77</v>
      </c>
      <c r="H161" s="4">
        <v>0</v>
      </c>
      <c r="I161" s="288">
        <v>0</v>
      </c>
      <c r="J161" s="4">
        <v>0</v>
      </c>
      <c r="K161" s="288">
        <v>0</v>
      </c>
      <c r="L161" s="284">
        <v>0</v>
      </c>
      <c r="M161" s="324" t="s">
        <v>77</v>
      </c>
    </row>
    <row r="162" spans="1:13" hidden="1">
      <c r="A162" s="17"/>
      <c r="B162" s="606"/>
      <c r="C162" s="298">
        <v>2015</v>
      </c>
      <c r="D162" s="297">
        <v>0</v>
      </c>
      <c r="E162" s="297">
        <v>0</v>
      </c>
      <c r="F162" s="4">
        <v>0</v>
      </c>
      <c r="G162" s="333" t="s">
        <v>77</v>
      </c>
      <c r="H162" s="4">
        <v>0</v>
      </c>
      <c r="I162" s="288">
        <v>0</v>
      </c>
      <c r="J162" s="4">
        <v>0</v>
      </c>
      <c r="K162" s="289">
        <v>0</v>
      </c>
      <c r="L162" s="284">
        <v>0</v>
      </c>
      <c r="M162" s="334" t="s">
        <v>77</v>
      </c>
    </row>
    <row r="163" spans="1:13">
      <c r="A163" s="17"/>
      <c r="B163" s="599" t="s">
        <v>90</v>
      </c>
      <c r="C163" s="311">
        <v>2022</v>
      </c>
      <c r="D163" s="312">
        <f>618+5</f>
        <v>623</v>
      </c>
      <c r="E163" s="312">
        <v>136</v>
      </c>
      <c r="F163" s="291">
        <f>5355-12</f>
        <v>5343</v>
      </c>
      <c r="G163" s="335">
        <v>0</v>
      </c>
      <c r="H163" s="293">
        <v>0</v>
      </c>
      <c r="I163" s="293">
        <v>0</v>
      </c>
      <c r="J163" s="293">
        <v>0</v>
      </c>
      <c r="K163" s="288">
        <v>0</v>
      </c>
      <c r="L163" s="336">
        <v>0</v>
      </c>
      <c r="M163" s="324"/>
    </row>
    <row r="164" spans="1:13">
      <c r="A164" s="17"/>
      <c r="B164" s="595"/>
      <c r="C164" s="296">
        <v>2021</v>
      </c>
      <c r="D164" s="297">
        <f>435+5</f>
        <v>440</v>
      </c>
      <c r="E164" s="297">
        <v>122</v>
      </c>
      <c r="F164" s="4">
        <v>4368</v>
      </c>
      <c r="G164" s="333">
        <v>0</v>
      </c>
      <c r="H164" s="4">
        <v>0</v>
      </c>
      <c r="I164" s="288">
        <v>0</v>
      </c>
      <c r="J164" s="4">
        <v>0</v>
      </c>
      <c r="K164" s="288">
        <v>0</v>
      </c>
      <c r="L164" s="337">
        <v>0</v>
      </c>
      <c r="M164" s="338" t="s">
        <v>77</v>
      </c>
    </row>
    <row r="165" spans="1:13">
      <c r="A165" s="17"/>
      <c r="B165" s="595"/>
      <c r="C165" s="283">
        <v>2020</v>
      </c>
      <c r="D165" s="93">
        <f>330+5</f>
        <v>335</v>
      </c>
      <c r="E165" s="339">
        <v>97</v>
      </c>
      <c r="F165" s="92">
        <v>5659</v>
      </c>
      <c r="G165" s="340">
        <v>0</v>
      </c>
      <c r="H165" s="341">
        <v>0</v>
      </c>
      <c r="I165" s="337">
        <v>0</v>
      </c>
      <c r="J165" s="341">
        <v>0</v>
      </c>
      <c r="K165" s="337">
        <v>0</v>
      </c>
      <c r="L165" s="337">
        <v>0</v>
      </c>
      <c r="M165" s="338" t="s">
        <v>77</v>
      </c>
    </row>
    <row r="166" spans="1:13">
      <c r="A166" s="17"/>
      <c r="B166" s="595"/>
      <c r="C166" s="283">
        <v>2019</v>
      </c>
      <c r="D166" s="93">
        <v>235</v>
      </c>
      <c r="E166" s="339" t="s">
        <v>77</v>
      </c>
      <c r="F166" s="92">
        <v>2039</v>
      </c>
      <c r="G166" s="340" t="s">
        <v>77</v>
      </c>
      <c r="H166" s="341" t="s">
        <v>77</v>
      </c>
      <c r="I166" s="337" t="s">
        <v>77</v>
      </c>
      <c r="J166" s="341" t="s">
        <v>77</v>
      </c>
      <c r="K166" s="337" t="s">
        <v>77</v>
      </c>
      <c r="L166" s="337" t="s">
        <v>91</v>
      </c>
      <c r="M166" s="338" t="s">
        <v>77</v>
      </c>
    </row>
    <row r="167" spans="1:13" hidden="1">
      <c r="A167" s="17"/>
      <c r="B167" s="595"/>
      <c r="C167" s="283">
        <v>2018</v>
      </c>
      <c r="D167" s="93">
        <v>233</v>
      </c>
      <c r="E167" s="339" t="s">
        <v>77</v>
      </c>
      <c r="F167" s="92">
        <f>2285+744</f>
        <v>3029</v>
      </c>
      <c r="G167" s="340" t="s">
        <v>77</v>
      </c>
      <c r="H167" s="341" t="s">
        <v>77</v>
      </c>
      <c r="I167" s="337" t="s">
        <v>77</v>
      </c>
      <c r="J167" s="341" t="s">
        <v>77</v>
      </c>
      <c r="K167" s="337" t="s">
        <v>77</v>
      </c>
      <c r="L167" s="337" t="s">
        <v>91</v>
      </c>
      <c r="M167" s="324" t="s">
        <v>77</v>
      </c>
    </row>
    <row r="168" spans="1:13" hidden="1">
      <c r="A168" s="17"/>
      <c r="B168" s="595"/>
      <c r="C168" s="283">
        <v>2017</v>
      </c>
      <c r="D168" s="93">
        <v>272</v>
      </c>
      <c r="E168" s="339" t="s">
        <v>77</v>
      </c>
      <c r="F168" s="92">
        <f>2772+24</f>
        <v>2796</v>
      </c>
      <c r="G168" s="340" t="s">
        <v>77</v>
      </c>
      <c r="H168" s="341" t="s">
        <v>77</v>
      </c>
      <c r="I168" s="337" t="s">
        <v>77</v>
      </c>
      <c r="J168" s="341" t="s">
        <v>77</v>
      </c>
      <c r="K168" s="337" t="s">
        <v>77</v>
      </c>
      <c r="L168" s="337" t="s">
        <v>91</v>
      </c>
      <c r="M168" s="324" t="s">
        <v>77</v>
      </c>
    </row>
    <row r="169" spans="1:13" hidden="1">
      <c r="A169" s="17"/>
      <c r="B169" s="595"/>
      <c r="C169" s="283">
        <v>2016</v>
      </c>
      <c r="D169" s="93">
        <v>355</v>
      </c>
      <c r="E169" s="339" t="s">
        <v>77</v>
      </c>
      <c r="F169" s="92">
        <f>3345+24</f>
        <v>3369</v>
      </c>
      <c r="G169" s="340" t="s">
        <v>77</v>
      </c>
      <c r="H169" s="341" t="s">
        <v>77</v>
      </c>
      <c r="I169" s="337" t="s">
        <v>77</v>
      </c>
      <c r="J169" s="341" t="s">
        <v>77</v>
      </c>
      <c r="K169" s="337" t="s">
        <v>77</v>
      </c>
      <c r="L169" s="337" t="s">
        <v>91</v>
      </c>
      <c r="M169" s="324" t="s">
        <v>77</v>
      </c>
    </row>
    <row r="170" spans="1:13" hidden="1">
      <c r="A170" s="17"/>
      <c r="B170" s="595"/>
      <c r="C170" s="283">
        <v>2015</v>
      </c>
      <c r="D170" s="93">
        <v>378</v>
      </c>
      <c r="E170" s="339" t="s">
        <v>77</v>
      </c>
      <c r="F170" s="92">
        <v>3849</v>
      </c>
      <c r="G170" s="342" t="s">
        <v>77</v>
      </c>
      <c r="H170" s="343" t="s">
        <v>77</v>
      </c>
      <c r="I170" s="344" t="s">
        <v>77</v>
      </c>
      <c r="J170" s="343" t="s">
        <v>77</v>
      </c>
      <c r="K170" s="344" t="s">
        <v>77</v>
      </c>
      <c r="L170" s="337" t="s">
        <v>91</v>
      </c>
      <c r="M170" s="324" t="s">
        <v>77</v>
      </c>
    </row>
    <row r="171" spans="1:13" ht="15">
      <c r="B171" s="35" t="s">
        <v>187</v>
      </c>
      <c r="C171" s="35"/>
      <c r="D171" s="35"/>
      <c r="E171" s="35"/>
      <c r="F171" s="35"/>
      <c r="K171" s="54"/>
      <c r="L171" s="35"/>
      <c r="M171" s="35"/>
    </row>
    <row r="172" spans="1:13">
      <c r="B172" s="598"/>
      <c r="C172" s="17"/>
    </row>
    <row r="173" spans="1:13">
      <c r="B173" s="598"/>
      <c r="C173" s="17"/>
    </row>
    <row r="174" spans="1:13">
      <c r="B174" s="598"/>
      <c r="C174" s="17"/>
      <c r="J174" s="54"/>
    </row>
    <row r="175" spans="1:13">
      <c r="B175" s="598"/>
      <c r="C175" s="17"/>
    </row>
    <row r="176" spans="1:13">
      <c r="B176" s="598"/>
      <c r="C176" s="17"/>
    </row>
    <row r="177" spans="2:2">
      <c r="B177" s="17"/>
    </row>
    <row r="178" spans="2:2" ht="19.5" customHeight="1"/>
  </sheetData>
  <mergeCells count="25">
    <mergeCell ref="B155:B162"/>
    <mergeCell ref="K4:K5"/>
    <mergeCell ref="C4:C6"/>
    <mergeCell ref="B7:B14"/>
    <mergeCell ref="B15:B18"/>
    <mergeCell ref="B43:B50"/>
    <mergeCell ref="B19:B26"/>
    <mergeCell ref="B27:B34"/>
    <mergeCell ref="B35:B42"/>
    <mergeCell ref="B172:B176"/>
    <mergeCell ref="B4:B6"/>
    <mergeCell ref="B51:B58"/>
    <mergeCell ref="B59:B66"/>
    <mergeCell ref="B67:B74"/>
    <mergeCell ref="B75:B82"/>
    <mergeCell ref="B83:B90"/>
    <mergeCell ref="B91:B98"/>
    <mergeCell ref="B99:B106"/>
    <mergeCell ref="B107:B114"/>
    <mergeCell ref="B115:B122"/>
    <mergeCell ref="B163:B170"/>
    <mergeCell ref="B123:B130"/>
    <mergeCell ref="B131:B138"/>
    <mergeCell ref="B139:B146"/>
    <mergeCell ref="B147:B15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78"/>
  <sheetViews>
    <sheetView showGridLines="0" zoomScale="80" zoomScaleNormal="80" workbookViewId="0"/>
  </sheetViews>
  <sheetFormatPr defaultColWidth="8.85546875" defaultRowHeight="14.25"/>
  <cols>
    <col min="1" max="1" width="1.7109375" style="17" customWidth="1"/>
    <col min="2" max="2" width="26.85546875" style="31" customWidth="1"/>
    <col min="3" max="3" width="17.7109375" style="31" customWidth="1"/>
    <col min="4" max="4" width="25.7109375" style="31" hidden="1" customWidth="1"/>
    <col min="5" max="5" width="33.85546875" style="31" customWidth="1"/>
    <col min="6" max="6" width="42.5703125" style="31" customWidth="1"/>
    <col min="7" max="7" width="26.28515625" style="31" customWidth="1"/>
    <col min="8" max="8" width="29.5703125" style="31" customWidth="1"/>
    <col min="9" max="9" width="22.140625" style="31" customWidth="1"/>
    <col min="10" max="10" width="25.140625" style="31" customWidth="1"/>
    <col min="11" max="11" width="31.7109375" style="31" customWidth="1"/>
    <col min="12" max="16384" width="8.85546875" style="31"/>
  </cols>
  <sheetData>
    <row r="2" spans="2:11" ht="15">
      <c r="B2" s="57" t="s">
        <v>157</v>
      </c>
      <c r="C2" s="30"/>
      <c r="D2" s="30"/>
      <c r="E2" s="30"/>
      <c r="F2" s="30"/>
      <c r="G2" s="30"/>
      <c r="H2" s="30"/>
      <c r="I2" s="30"/>
    </row>
    <row r="4" spans="2:11" ht="15">
      <c r="B4" s="589" t="s">
        <v>21</v>
      </c>
      <c r="C4" s="589" t="s">
        <v>2</v>
      </c>
      <c r="D4" s="50" t="s">
        <v>53</v>
      </c>
      <c r="E4" s="25" t="s">
        <v>46</v>
      </c>
      <c r="F4" s="5" t="s">
        <v>48</v>
      </c>
      <c r="G4" s="25" t="s">
        <v>51</v>
      </c>
      <c r="H4" s="25" t="s">
        <v>52</v>
      </c>
      <c r="I4" s="592" t="s">
        <v>101</v>
      </c>
      <c r="J4" s="5" t="s">
        <v>56</v>
      </c>
      <c r="K4" s="5" t="s">
        <v>80</v>
      </c>
    </row>
    <row r="5" spans="2:11" ht="15">
      <c r="B5" s="589"/>
      <c r="C5" s="589"/>
      <c r="D5" s="50" t="s">
        <v>99</v>
      </c>
      <c r="E5" s="25" t="s">
        <v>44</v>
      </c>
      <c r="F5" s="5" t="s">
        <v>1</v>
      </c>
      <c r="G5" s="25" t="s">
        <v>3</v>
      </c>
      <c r="H5" s="25" t="s">
        <v>4</v>
      </c>
      <c r="I5" s="592"/>
      <c r="J5" s="10" t="s">
        <v>55</v>
      </c>
      <c r="K5" s="5" t="s">
        <v>65</v>
      </c>
    </row>
    <row r="6" spans="2:11" ht="15">
      <c r="B6" s="46" t="s">
        <v>100</v>
      </c>
      <c r="C6" s="589"/>
      <c r="D6" s="50"/>
      <c r="E6" s="25" t="s">
        <v>45</v>
      </c>
      <c r="F6" s="25" t="s">
        <v>47</v>
      </c>
      <c r="G6" s="25" t="s">
        <v>49</v>
      </c>
      <c r="H6" s="46" t="s">
        <v>50</v>
      </c>
      <c r="I6" s="48" t="s">
        <v>57</v>
      </c>
      <c r="J6" s="25" t="s">
        <v>73</v>
      </c>
      <c r="K6" s="25"/>
    </row>
    <row r="7" spans="2:11">
      <c r="B7" s="608" t="s">
        <v>66</v>
      </c>
      <c r="C7" s="99">
        <v>2022</v>
      </c>
      <c r="D7" s="94"/>
      <c r="E7" s="92">
        <v>125</v>
      </c>
      <c r="F7" s="93">
        <v>163</v>
      </c>
      <c r="G7" s="93">
        <v>179</v>
      </c>
      <c r="H7" s="99">
        <v>4</v>
      </c>
      <c r="I7" s="94">
        <v>0</v>
      </c>
      <c r="J7" s="20">
        <f>E7+F7+I7</f>
        <v>288</v>
      </c>
      <c r="K7" s="243">
        <f>+J7/J63</f>
        <v>5.4074352234322193E-3</v>
      </c>
    </row>
    <row r="8" spans="2:11">
      <c r="B8" s="608"/>
      <c r="C8" s="95">
        <v>2021</v>
      </c>
      <c r="D8" s="92"/>
      <c r="E8" s="92">
        <v>746</v>
      </c>
      <c r="F8" s="93">
        <v>882</v>
      </c>
      <c r="G8" s="93">
        <v>856</v>
      </c>
      <c r="H8" s="93">
        <v>7</v>
      </c>
      <c r="I8" s="92">
        <v>12</v>
      </c>
      <c r="J8" s="20">
        <f>E8+F8+I8</f>
        <v>1640</v>
      </c>
      <c r="K8" s="243">
        <f>+J8/J64</f>
        <v>3.1879944793266335E-2</v>
      </c>
    </row>
    <row r="9" spans="2:11">
      <c r="B9" s="608"/>
      <c r="C9" s="95">
        <v>2020</v>
      </c>
      <c r="D9" s="92"/>
      <c r="E9" s="92">
        <v>641</v>
      </c>
      <c r="F9" s="93">
        <v>818</v>
      </c>
      <c r="G9" s="92">
        <v>688</v>
      </c>
      <c r="H9" s="93">
        <v>15</v>
      </c>
      <c r="I9" s="92">
        <v>0</v>
      </c>
      <c r="J9" s="20">
        <f>E9+F9+I9</f>
        <v>1459</v>
      </c>
      <c r="K9" s="243">
        <f>+J9/J65</f>
        <v>2.9948477944044174E-2</v>
      </c>
    </row>
    <row r="10" spans="2:11">
      <c r="B10" s="608"/>
      <c r="C10" s="95">
        <v>2019</v>
      </c>
      <c r="D10" s="92">
        <v>181</v>
      </c>
      <c r="E10" s="92">
        <v>1088</v>
      </c>
      <c r="F10" s="93">
        <v>1043</v>
      </c>
      <c r="G10" s="92">
        <v>1013</v>
      </c>
      <c r="H10" s="93">
        <v>39</v>
      </c>
      <c r="I10" s="92">
        <v>17</v>
      </c>
      <c r="J10" s="20">
        <v>2148</v>
      </c>
      <c r="K10" s="243">
        <v>5.8088593217588837E-2</v>
      </c>
    </row>
    <row r="11" spans="2:11">
      <c r="B11" s="608"/>
      <c r="C11" s="345">
        <v>2018</v>
      </c>
      <c r="D11" s="346">
        <v>168</v>
      </c>
      <c r="E11" s="4">
        <v>1024</v>
      </c>
      <c r="F11" s="20">
        <v>988</v>
      </c>
      <c r="G11" s="4">
        <v>958</v>
      </c>
      <c r="H11" s="20">
        <v>40</v>
      </c>
      <c r="I11" s="4">
        <v>2</v>
      </c>
      <c r="J11" s="20">
        <f t="shared" ref="J11:J17" si="0">+E11+F11+I11</f>
        <v>2014</v>
      </c>
      <c r="K11" s="243">
        <f>+J11/J66</f>
        <v>5.0356294536817101E-2</v>
      </c>
    </row>
    <row r="12" spans="2:11">
      <c r="B12" s="608"/>
      <c r="C12" s="95">
        <v>2017</v>
      </c>
      <c r="D12" s="92">
        <v>166</v>
      </c>
      <c r="E12" s="4">
        <v>928</v>
      </c>
      <c r="F12" s="20">
        <v>1036</v>
      </c>
      <c r="G12" s="4">
        <v>993</v>
      </c>
      <c r="H12" s="20">
        <v>48</v>
      </c>
      <c r="I12" s="4">
        <v>4</v>
      </c>
      <c r="J12" s="20">
        <f t="shared" si="0"/>
        <v>1968</v>
      </c>
      <c r="K12" s="243">
        <v>5.1808017297789409E-2</v>
      </c>
    </row>
    <row r="13" spans="2:11">
      <c r="B13" s="608"/>
      <c r="C13" s="95">
        <v>2016</v>
      </c>
      <c r="D13" s="92">
        <v>153</v>
      </c>
      <c r="E13" s="4">
        <v>807</v>
      </c>
      <c r="F13" s="20">
        <v>974</v>
      </c>
      <c r="G13" s="4">
        <v>930</v>
      </c>
      <c r="H13" s="20">
        <v>50</v>
      </c>
      <c r="I13" s="4">
        <v>40</v>
      </c>
      <c r="J13" s="20">
        <f t="shared" si="0"/>
        <v>1821</v>
      </c>
      <c r="K13" s="243">
        <v>5.1808017297789409E-2</v>
      </c>
    </row>
    <row r="14" spans="2:11">
      <c r="B14" s="609"/>
      <c r="C14" s="95">
        <v>2015</v>
      </c>
      <c r="D14" s="92">
        <v>142</v>
      </c>
      <c r="E14" s="347">
        <v>725</v>
      </c>
      <c r="F14" s="60">
        <v>954</v>
      </c>
      <c r="G14" s="60">
        <v>901</v>
      </c>
      <c r="H14" s="60">
        <v>55</v>
      </c>
      <c r="I14" s="132">
        <v>21</v>
      </c>
      <c r="J14" s="60">
        <f t="shared" si="0"/>
        <v>1700</v>
      </c>
      <c r="K14" s="348">
        <v>4.9392759602533559E-2</v>
      </c>
    </row>
    <row r="15" spans="2:11">
      <c r="B15" s="607" t="s">
        <v>127</v>
      </c>
      <c r="C15" s="99">
        <v>2022</v>
      </c>
      <c r="D15" s="94"/>
      <c r="E15" s="92">
        <v>256</v>
      </c>
      <c r="F15" s="93">
        <v>93</v>
      </c>
      <c r="G15" s="92">
        <v>124</v>
      </c>
      <c r="H15" s="95">
        <v>0</v>
      </c>
      <c r="I15" s="94">
        <v>0</v>
      </c>
      <c r="J15" s="20">
        <f t="shared" si="0"/>
        <v>349</v>
      </c>
      <c r="K15" s="243">
        <f>+J15/J63</f>
        <v>6.5527600450619606E-3</v>
      </c>
    </row>
    <row r="16" spans="2:11">
      <c r="B16" s="608"/>
      <c r="C16" s="95">
        <v>2021</v>
      </c>
      <c r="D16" s="92"/>
      <c r="E16" s="92">
        <v>514</v>
      </c>
      <c r="F16" s="93">
        <v>719</v>
      </c>
      <c r="G16" s="92">
        <v>711</v>
      </c>
      <c r="H16" s="93">
        <v>2</v>
      </c>
      <c r="I16" s="92">
        <v>12</v>
      </c>
      <c r="J16" s="20">
        <f t="shared" si="0"/>
        <v>1245</v>
      </c>
      <c r="K16" s="243">
        <f>+J16/J64</f>
        <v>2.4201543455863773E-2</v>
      </c>
    </row>
    <row r="17" spans="2:11">
      <c r="B17" s="608"/>
      <c r="C17" s="95">
        <v>2020</v>
      </c>
      <c r="D17" s="92"/>
      <c r="E17" s="92">
        <v>562</v>
      </c>
      <c r="F17" s="93">
        <v>617</v>
      </c>
      <c r="G17" s="92">
        <v>583</v>
      </c>
      <c r="H17" s="93">
        <v>4</v>
      </c>
      <c r="I17" s="92">
        <v>12</v>
      </c>
      <c r="J17" s="20">
        <f t="shared" si="0"/>
        <v>1191</v>
      </c>
      <c r="K17" s="243">
        <f>+J17/J65</f>
        <v>2.4447318184617279E-2</v>
      </c>
    </row>
    <row r="18" spans="2:11">
      <c r="B18" s="608"/>
      <c r="C18" s="95">
        <v>2019</v>
      </c>
      <c r="D18" s="92">
        <v>138</v>
      </c>
      <c r="E18" s="92">
        <v>757</v>
      </c>
      <c r="F18" s="93">
        <v>860</v>
      </c>
      <c r="G18" s="92">
        <v>844</v>
      </c>
      <c r="H18" s="93">
        <v>21</v>
      </c>
      <c r="I18" s="92">
        <v>36</v>
      </c>
      <c r="J18" s="93">
        <v>1653</v>
      </c>
      <c r="K18" s="243">
        <v>3.9304913114139264E-2</v>
      </c>
    </row>
    <row r="19" spans="2:11">
      <c r="B19" s="608"/>
      <c r="C19" s="95">
        <v>2018</v>
      </c>
      <c r="D19" s="92">
        <v>131</v>
      </c>
      <c r="E19" s="92">
        <v>673</v>
      </c>
      <c r="F19" s="20">
        <v>859</v>
      </c>
      <c r="G19" s="4">
        <v>849</v>
      </c>
      <c r="H19" s="20">
        <v>15</v>
      </c>
      <c r="I19" s="4">
        <v>40</v>
      </c>
      <c r="J19" s="20">
        <f>+E19+F19+I19</f>
        <v>1572</v>
      </c>
      <c r="K19" s="243">
        <v>3.9304913114139264E-2</v>
      </c>
    </row>
    <row r="20" spans="2:11">
      <c r="B20" s="608"/>
      <c r="C20" s="95">
        <v>2017</v>
      </c>
      <c r="D20" s="92">
        <v>115</v>
      </c>
      <c r="E20" s="92">
        <v>565</v>
      </c>
      <c r="F20" s="20">
        <v>764</v>
      </c>
      <c r="G20" s="4">
        <v>753</v>
      </c>
      <c r="H20" s="20">
        <v>15</v>
      </c>
      <c r="I20" s="4">
        <v>31</v>
      </c>
      <c r="J20" s="20">
        <f>+E20+F20+I20</f>
        <v>1360</v>
      </c>
      <c r="K20" s="243">
        <v>3.6778625128454756E-2</v>
      </c>
    </row>
    <row r="21" spans="2:11">
      <c r="B21" s="608"/>
      <c r="C21" s="95">
        <v>2016</v>
      </c>
      <c r="D21" s="92">
        <v>108</v>
      </c>
      <c r="E21" s="4">
        <v>521</v>
      </c>
      <c r="F21" s="20">
        <v>750</v>
      </c>
      <c r="G21" s="4">
        <v>741</v>
      </c>
      <c r="H21" s="20">
        <v>10</v>
      </c>
      <c r="I21" s="4">
        <v>25</v>
      </c>
      <c r="J21" s="20">
        <f>+E21+F21+I21</f>
        <v>1296</v>
      </c>
      <c r="K21" s="243">
        <v>3.6871603744060996E-2</v>
      </c>
    </row>
    <row r="22" spans="2:11" ht="12" customHeight="1">
      <c r="B22" s="609"/>
      <c r="C22" s="133">
        <v>2015</v>
      </c>
      <c r="D22" s="4">
        <v>96</v>
      </c>
      <c r="E22" s="349">
        <v>520</v>
      </c>
      <c r="F22" s="20">
        <v>577</v>
      </c>
      <c r="G22" s="60">
        <v>568</v>
      </c>
      <c r="H22" s="20">
        <v>11</v>
      </c>
      <c r="I22" s="4">
        <v>46</v>
      </c>
      <c r="J22" s="60">
        <f>+E22+F22+I22</f>
        <v>1143</v>
      </c>
      <c r="K22" s="243">
        <v>3.3209367191585799E-2</v>
      </c>
    </row>
    <row r="23" spans="2:11">
      <c r="B23" s="607" t="s">
        <v>125</v>
      </c>
      <c r="C23" s="99">
        <v>2022</v>
      </c>
      <c r="D23" s="94"/>
      <c r="E23" s="92">
        <v>232</v>
      </c>
      <c r="F23" s="241">
        <v>261</v>
      </c>
      <c r="G23" s="93">
        <v>304</v>
      </c>
      <c r="H23" s="99">
        <v>6</v>
      </c>
      <c r="I23" s="350">
        <v>0</v>
      </c>
      <c r="J23" s="20">
        <f t="shared" ref="J23:J30" si="1">+E23+F23+I23</f>
        <v>493</v>
      </c>
      <c r="K23" s="351">
        <f>+J23/J63</f>
        <v>9.2564776567780702E-3</v>
      </c>
    </row>
    <row r="24" spans="2:11">
      <c r="B24" s="608"/>
      <c r="C24" s="95">
        <v>2021</v>
      </c>
      <c r="D24" s="92"/>
      <c r="E24" s="92">
        <v>914</v>
      </c>
      <c r="F24" s="93">
        <v>1490</v>
      </c>
      <c r="G24" s="92">
        <v>1496</v>
      </c>
      <c r="H24" s="93">
        <v>7</v>
      </c>
      <c r="I24" s="92">
        <v>51</v>
      </c>
      <c r="J24" s="20">
        <f t="shared" si="1"/>
        <v>2455</v>
      </c>
      <c r="K24" s="243">
        <f>+J24/J64</f>
        <v>4.7722722236261492E-2</v>
      </c>
    </row>
    <row r="25" spans="2:11">
      <c r="B25" s="608"/>
      <c r="C25" s="95">
        <v>2020</v>
      </c>
      <c r="D25" s="92"/>
      <c r="E25" s="92">
        <v>797</v>
      </c>
      <c r="F25" s="93">
        <v>1382</v>
      </c>
      <c r="G25" s="92">
        <v>1292</v>
      </c>
      <c r="H25" s="93">
        <v>7</v>
      </c>
      <c r="I25" s="92">
        <v>48</v>
      </c>
      <c r="J25" s="20">
        <f t="shared" si="1"/>
        <v>2227</v>
      </c>
      <c r="K25" s="243">
        <f>+J25/J65</f>
        <v>4.5712995463595869E-2</v>
      </c>
    </row>
    <row r="26" spans="2:11">
      <c r="B26" s="608"/>
      <c r="C26" s="95">
        <v>2019</v>
      </c>
      <c r="D26" s="92">
        <v>232</v>
      </c>
      <c r="E26" s="92">
        <v>1202</v>
      </c>
      <c r="F26" s="93">
        <v>1496</v>
      </c>
      <c r="G26" s="92">
        <v>1493</v>
      </c>
      <c r="H26" s="93">
        <v>5</v>
      </c>
      <c r="I26" s="92">
        <v>48</v>
      </c>
      <c r="J26" s="20">
        <f t="shared" si="1"/>
        <v>2746</v>
      </c>
      <c r="K26" s="243">
        <v>6.5008126015751969E-2</v>
      </c>
    </row>
    <row r="27" spans="2:11">
      <c r="B27" s="608"/>
      <c r="C27" s="345">
        <v>2018</v>
      </c>
      <c r="D27" s="346">
        <v>217</v>
      </c>
      <c r="E27" s="4">
        <v>1191</v>
      </c>
      <c r="F27" s="20">
        <v>1382</v>
      </c>
      <c r="G27" s="4">
        <v>1380</v>
      </c>
      <c r="H27" s="20">
        <v>6</v>
      </c>
      <c r="I27" s="4">
        <v>27</v>
      </c>
      <c r="J27" s="20">
        <f t="shared" si="1"/>
        <v>2600</v>
      </c>
      <c r="K27" s="243">
        <v>6.5008126015751969E-2</v>
      </c>
    </row>
    <row r="28" spans="2:11">
      <c r="B28" s="608"/>
      <c r="C28" s="345">
        <v>2017</v>
      </c>
      <c r="D28" s="346">
        <v>209</v>
      </c>
      <c r="E28" s="92">
        <v>1026</v>
      </c>
      <c r="F28" s="20">
        <v>1406</v>
      </c>
      <c r="G28" s="4">
        <v>1399</v>
      </c>
      <c r="H28" s="20">
        <v>9</v>
      </c>
      <c r="I28" s="4">
        <v>62</v>
      </c>
      <c r="J28" s="20">
        <f t="shared" si="1"/>
        <v>2494</v>
      </c>
      <c r="K28" s="243">
        <v>6.7445508139975116E-2</v>
      </c>
    </row>
    <row r="29" spans="2:11">
      <c r="B29" s="608"/>
      <c r="C29" s="345">
        <v>2016</v>
      </c>
      <c r="D29" s="346">
        <v>195</v>
      </c>
      <c r="E29" s="92">
        <v>958</v>
      </c>
      <c r="F29" s="20">
        <v>1310</v>
      </c>
      <c r="G29" s="4">
        <v>1308</v>
      </c>
      <c r="H29" s="20">
        <v>2</v>
      </c>
      <c r="I29" s="4">
        <v>59</v>
      </c>
      <c r="J29" s="20">
        <f t="shared" si="1"/>
        <v>2327</v>
      </c>
      <c r="K29" s="243">
        <v>6.6203874932430504E-2</v>
      </c>
    </row>
    <row r="30" spans="2:11">
      <c r="B30" s="609"/>
      <c r="C30" s="345">
        <v>2015</v>
      </c>
      <c r="D30" s="346">
        <v>169</v>
      </c>
      <c r="E30" s="347">
        <v>818</v>
      </c>
      <c r="F30" s="60">
        <v>1149</v>
      </c>
      <c r="G30" s="4">
        <v>1143</v>
      </c>
      <c r="H30" s="60">
        <v>8</v>
      </c>
      <c r="I30" s="132">
        <v>24</v>
      </c>
      <c r="J30" s="60">
        <f t="shared" si="1"/>
        <v>1991</v>
      </c>
      <c r="K30" s="348">
        <v>5.7847637863908417E-2</v>
      </c>
    </row>
    <row r="31" spans="2:11">
      <c r="B31" s="607" t="s">
        <v>122</v>
      </c>
      <c r="C31" s="99">
        <v>2022</v>
      </c>
      <c r="D31" s="115"/>
      <c r="E31" s="92">
        <v>476</v>
      </c>
      <c r="F31" s="93">
        <v>414</v>
      </c>
      <c r="G31" s="241">
        <v>487</v>
      </c>
      <c r="H31" s="99">
        <v>5</v>
      </c>
      <c r="I31" s="99">
        <v>5</v>
      </c>
      <c r="J31" s="20">
        <f t="shared" ref="J31:J38" si="2">+E31+F31+I31</f>
        <v>895</v>
      </c>
      <c r="K31" s="243">
        <f>+J31/J63</f>
        <v>1.6804355989485542E-2</v>
      </c>
    </row>
    <row r="32" spans="2:11">
      <c r="B32" s="608"/>
      <c r="C32" s="95">
        <v>2021</v>
      </c>
      <c r="D32" s="92"/>
      <c r="E32" s="93">
        <v>1456</v>
      </c>
      <c r="F32" s="93">
        <v>1857</v>
      </c>
      <c r="G32" s="93">
        <v>1838</v>
      </c>
      <c r="H32" s="93">
        <v>14</v>
      </c>
      <c r="I32" s="93">
        <v>55</v>
      </c>
      <c r="J32" s="20">
        <f t="shared" si="2"/>
        <v>3368</v>
      </c>
      <c r="K32" s="243">
        <f>+J32/J64</f>
        <v>6.5470520770561591E-2</v>
      </c>
    </row>
    <row r="33" spans="2:11">
      <c r="B33" s="608"/>
      <c r="C33" s="352">
        <v>2020</v>
      </c>
      <c r="D33" s="92"/>
      <c r="E33" s="93">
        <v>1210</v>
      </c>
      <c r="F33" s="93">
        <v>1783</v>
      </c>
      <c r="G33" s="93">
        <v>1605</v>
      </c>
      <c r="H33" s="93">
        <v>17</v>
      </c>
      <c r="I33" s="93">
        <v>57</v>
      </c>
      <c r="J33" s="20">
        <f t="shared" si="2"/>
        <v>3050</v>
      </c>
      <c r="K33" s="243">
        <f>+J33/J65</f>
        <v>6.260648233676129E-2</v>
      </c>
    </row>
    <row r="34" spans="2:11">
      <c r="B34" s="608"/>
      <c r="C34" s="352">
        <v>2019</v>
      </c>
      <c r="D34" s="92">
        <v>339</v>
      </c>
      <c r="E34" s="93">
        <v>1901</v>
      </c>
      <c r="F34" s="93">
        <v>1909</v>
      </c>
      <c r="G34" s="93">
        <v>1904</v>
      </c>
      <c r="H34" s="93">
        <v>10</v>
      </c>
      <c r="I34" s="93">
        <v>168</v>
      </c>
      <c r="J34" s="93">
        <f t="shared" si="2"/>
        <v>3978</v>
      </c>
      <c r="K34" s="243">
        <v>8.8736092011501441E-2</v>
      </c>
    </row>
    <row r="35" spans="2:11">
      <c r="B35" s="608"/>
      <c r="C35" s="345">
        <v>2018</v>
      </c>
      <c r="D35" s="346">
        <v>298</v>
      </c>
      <c r="E35" s="353">
        <v>1730</v>
      </c>
      <c r="F35" s="20">
        <v>1696</v>
      </c>
      <c r="G35" s="20">
        <v>1692</v>
      </c>
      <c r="H35" s="184">
        <v>6</v>
      </c>
      <c r="I35" s="20">
        <v>123</v>
      </c>
      <c r="J35" s="184">
        <f t="shared" si="2"/>
        <v>3549</v>
      </c>
      <c r="K35" s="243">
        <v>8.8736092011501441E-2</v>
      </c>
    </row>
    <row r="36" spans="2:11">
      <c r="B36" s="608"/>
      <c r="C36" s="345">
        <v>2017</v>
      </c>
      <c r="D36" s="346">
        <v>277</v>
      </c>
      <c r="E36" s="92">
        <v>1605</v>
      </c>
      <c r="F36" s="20">
        <v>1564</v>
      </c>
      <c r="G36" s="4">
        <v>1560</v>
      </c>
      <c r="H36" s="20">
        <v>4</v>
      </c>
      <c r="I36" s="4">
        <v>130</v>
      </c>
      <c r="J36" s="20">
        <f t="shared" si="2"/>
        <v>3299</v>
      </c>
      <c r="K36" s="243">
        <v>8.921520904321488E-2</v>
      </c>
    </row>
    <row r="37" spans="2:11" ht="15" customHeight="1">
      <c r="B37" s="608"/>
      <c r="C37" s="345">
        <v>2016</v>
      </c>
      <c r="D37" s="346">
        <v>249</v>
      </c>
      <c r="E37" s="92">
        <v>1327</v>
      </c>
      <c r="F37" s="20">
        <v>1532</v>
      </c>
      <c r="G37" s="4">
        <v>1530</v>
      </c>
      <c r="H37" s="20">
        <v>5</v>
      </c>
      <c r="I37" s="4">
        <v>92</v>
      </c>
      <c r="J37" s="20">
        <f t="shared" si="2"/>
        <v>2951</v>
      </c>
      <c r="K37" s="243">
        <v>8.3956869327719133E-2</v>
      </c>
    </row>
    <row r="38" spans="2:11">
      <c r="B38" s="609"/>
      <c r="C38" s="354">
        <v>2015</v>
      </c>
      <c r="D38" s="346">
        <v>258</v>
      </c>
      <c r="E38" s="349">
        <v>1391</v>
      </c>
      <c r="F38" s="60">
        <v>1539</v>
      </c>
      <c r="G38" s="4">
        <v>1536</v>
      </c>
      <c r="H38" s="20">
        <v>4</v>
      </c>
      <c r="I38" s="4">
        <v>83</v>
      </c>
      <c r="J38" s="20">
        <f t="shared" si="2"/>
        <v>3013</v>
      </c>
      <c r="K38" s="355">
        <v>8.7541402754372707E-2</v>
      </c>
    </row>
    <row r="39" spans="2:11">
      <c r="B39" s="607" t="s">
        <v>123</v>
      </c>
      <c r="C39" s="95">
        <v>2022</v>
      </c>
      <c r="D39" s="94"/>
      <c r="E39" s="92">
        <v>1225</v>
      </c>
      <c r="F39" s="93">
        <v>1091</v>
      </c>
      <c r="G39" s="241">
        <v>1324</v>
      </c>
      <c r="H39" s="99">
        <v>15</v>
      </c>
      <c r="I39" s="350">
        <v>46</v>
      </c>
      <c r="J39" s="241">
        <f>+E39+F39+I39</f>
        <v>2362</v>
      </c>
      <c r="K39" s="243">
        <f>+J39/J63</f>
        <v>4.4348479158843407E-2</v>
      </c>
    </row>
    <row r="40" spans="2:11">
      <c r="B40" s="608"/>
      <c r="C40" s="95">
        <v>2021</v>
      </c>
      <c r="D40" s="92"/>
      <c r="E40" s="92">
        <v>2148</v>
      </c>
      <c r="F40" s="353">
        <v>3196</v>
      </c>
      <c r="G40" s="93">
        <v>3201</v>
      </c>
      <c r="H40" s="93">
        <v>7</v>
      </c>
      <c r="I40" s="92">
        <v>107</v>
      </c>
      <c r="J40" s="93">
        <f>+E40+F40+I40</f>
        <v>5451</v>
      </c>
      <c r="K40" s="243">
        <f>+J40/J64</f>
        <v>0.10596193845615536</v>
      </c>
    </row>
    <row r="41" spans="2:11">
      <c r="B41" s="608"/>
      <c r="C41" s="95">
        <v>2020</v>
      </c>
      <c r="D41" s="92"/>
      <c r="E41" s="92">
        <v>2086</v>
      </c>
      <c r="F41" s="93">
        <v>2768</v>
      </c>
      <c r="G41" s="92">
        <v>2774</v>
      </c>
      <c r="H41" s="93">
        <v>8</v>
      </c>
      <c r="I41" s="92">
        <v>140</v>
      </c>
      <c r="J41" s="93">
        <f>+E41+F41+I41</f>
        <v>4994</v>
      </c>
      <c r="K41" s="243">
        <f>+J41/J65</f>
        <v>0.10251041730812653</v>
      </c>
    </row>
    <row r="42" spans="2:11">
      <c r="B42" s="608"/>
      <c r="C42" s="95">
        <v>2019</v>
      </c>
      <c r="D42" s="92">
        <v>513</v>
      </c>
      <c r="E42" s="92">
        <v>2879</v>
      </c>
      <c r="F42" s="93">
        <v>2829</v>
      </c>
      <c r="G42" s="92">
        <v>2826</v>
      </c>
      <c r="H42" s="93">
        <v>5</v>
      </c>
      <c r="I42" s="92">
        <v>317</v>
      </c>
      <c r="J42" s="93">
        <v>6025</v>
      </c>
      <c r="K42" s="243">
        <v>0.1528941117639705</v>
      </c>
    </row>
    <row r="43" spans="2:11">
      <c r="B43" s="608"/>
      <c r="C43" s="345">
        <v>2018</v>
      </c>
      <c r="D43" s="346">
        <v>517</v>
      </c>
      <c r="E43" s="4">
        <v>2617</v>
      </c>
      <c r="F43" s="20">
        <v>3139</v>
      </c>
      <c r="G43" s="4">
        <v>3127</v>
      </c>
      <c r="H43" s="20">
        <v>13</v>
      </c>
      <c r="I43" s="4">
        <v>359</v>
      </c>
      <c r="J43" s="20">
        <f>+E43+F43+I43</f>
        <v>6115</v>
      </c>
      <c r="K43" s="243">
        <v>0.1528941117639705</v>
      </c>
    </row>
    <row r="44" spans="2:11">
      <c r="B44" s="608"/>
      <c r="C44" s="345">
        <v>2017</v>
      </c>
      <c r="D44" s="346">
        <v>510</v>
      </c>
      <c r="E44" s="4">
        <v>2785</v>
      </c>
      <c r="F44" s="20">
        <v>2868</v>
      </c>
      <c r="G44" s="4">
        <v>2865</v>
      </c>
      <c r="H44" s="20">
        <v>4</v>
      </c>
      <c r="I44" s="4">
        <v>292</v>
      </c>
      <c r="J44" s="20">
        <f>+E44+F44+I44</f>
        <v>5945</v>
      </c>
      <c r="K44" s="243">
        <v>0.16077126940342906</v>
      </c>
    </row>
    <row r="45" spans="2:11">
      <c r="B45" s="608"/>
      <c r="C45" s="345">
        <v>2016</v>
      </c>
      <c r="D45" s="346">
        <v>487</v>
      </c>
      <c r="E45" s="4">
        <v>2779</v>
      </c>
      <c r="F45" s="20">
        <v>2606</v>
      </c>
      <c r="G45" s="4">
        <v>2601</v>
      </c>
      <c r="H45" s="20">
        <v>5</v>
      </c>
      <c r="I45" s="4">
        <v>256</v>
      </c>
      <c r="J45" s="20">
        <f>+E45+F45+I45</f>
        <v>5641</v>
      </c>
      <c r="K45" s="243">
        <v>0.16048820734587044</v>
      </c>
    </row>
    <row r="46" spans="2:11">
      <c r="B46" s="609"/>
      <c r="C46" s="354">
        <v>2015</v>
      </c>
      <c r="D46" s="346">
        <v>460</v>
      </c>
      <c r="E46" s="349">
        <v>2438</v>
      </c>
      <c r="F46" s="20">
        <v>2716</v>
      </c>
      <c r="G46" s="356">
        <v>2709</v>
      </c>
      <c r="H46" s="20">
        <v>10</v>
      </c>
      <c r="I46" s="4">
        <v>271</v>
      </c>
      <c r="J46" s="60">
        <f>+E46+F46+I46</f>
        <v>5425</v>
      </c>
      <c r="K46" s="243">
        <v>0.15762101226102621</v>
      </c>
    </row>
    <row r="47" spans="2:11">
      <c r="B47" s="608" t="s">
        <v>124</v>
      </c>
      <c r="C47" s="95">
        <v>2022</v>
      </c>
      <c r="D47" s="94"/>
      <c r="E47" s="92">
        <v>1614</v>
      </c>
      <c r="F47" s="241">
        <v>1291</v>
      </c>
      <c r="G47" s="93">
        <v>1573</v>
      </c>
      <c r="H47" s="99">
        <v>4</v>
      </c>
      <c r="I47" s="350">
        <v>65</v>
      </c>
      <c r="J47" s="93">
        <f t="shared" ref="J47:J54" si="3">+E47+F47+I47</f>
        <v>2970</v>
      </c>
      <c r="K47" s="351">
        <f>+J47/J63</f>
        <v>5.5764175741644759E-2</v>
      </c>
    </row>
    <row r="48" spans="2:11">
      <c r="B48" s="608"/>
      <c r="C48" s="95">
        <v>2021</v>
      </c>
      <c r="D48" s="92"/>
      <c r="E48" s="92">
        <v>2002</v>
      </c>
      <c r="F48" s="93">
        <v>1941</v>
      </c>
      <c r="G48" s="92">
        <v>1928</v>
      </c>
      <c r="H48" s="93">
        <v>4</v>
      </c>
      <c r="I48" s="92">
        <v>201</v>
      </c>
      <c r="J48" s="93">
        <f t="shared" si="3"/>
        <v>4144</v>
      </c>
      <c r="K48" s="243">
        <f>+J48/J64</f>
        <v>8.0555177575180298E-2</v>
      </c>
    </row>
    <row r="49" spans="2:11">
      <c r="B49" s="608"/>
      <c r="C49" s="95">
        <v>2020</v>
      </c>
      <c r="D49" s="92"/>
      <c r="E49" s="92">
        <v>1872</v>
      </c>
      <c r="F49" s="93">
        <v>2129</v>
      </c>
      <c r="G49" s="92">
        <v>2044</v>
      </c>
      <c r="H49" s="93">
        <v>5</v>
      </c>
      <c r="I49" s="92">
        <v>142</v>
      </c>
      <c r="J49" s="93">
        <f t="shared" si="3"/>
        <v>4143</v>
      </c>
      <c r="K49" s="243">
        <f>+J49/J65</f>
        <v>8.5042182400394115E-2</v>
      </c>
    </row>
    <row r="50" spans="2:11">
      <c r="B50" s="608"/>
      <c r="C50" s="95">
        <v>2019</v>
      </c>
      <c r="D50" s="92">
        <v>352</v>
      </c>
      <c r="E50" s="92">
        <v>1788</v>
      </c>
      <c r="F50" s="93">
        <v>1890</v>
      </c>
      <c r="G50" s="92">
        <v>1883</v>
      </c>
      <c r="H50" s="93">
        <v>10</v>
      </c>
      <c r="I50" s="92">
        <v>338</v>
      </c>
      <c r="J50" s="93">
        <f t="shared" si="3"/>
        <v>4016</v>
      </c>
      <c r="K50" s="243">
        <v>0.10068758594824354</v>
      </c>
    </row>
    <row r="51" spans="2:11">
      <c r="B51" s="608"/>
      <c r="C51" s="345">
        <v>2018</v>
      </c>
      <c r="D51" s="346">
        <v>347</v>
      </c>
      <c r="E51" s="4">
        <v>1888</v>
      </c>
      <c r="F51" s="20">
        <v>1750</v>
      </c>
      <c r="G51" s="4">
        <v>1746</v>
      </c>
      <c r="H51" s="20">
        <v>5</v>
      </c>
      <c r="I51" s="4">
        <v>389</v>
      </c>
      <c r="J51" s="20">
        <f t="shared" si="3"/>
        <v>4027</v>
      </c>
      <c r="K51" s="243">
        <v>0.10068758594824354</v>
      </c>
    </row>
    <row r="52" spans="2:11" ht="16.149999999999999" customHeight="1">
      <c r="B52" s="608"/>
      <c r="C52" s="345">
        <v>2017</v>
      </c>
      <c r="D52" s="346">
        <v>311</v>
      </c>
      <c r="E52" s="4">
        <v>1597</v>
      </c>
      <c r="F52" s="20">
        <v>1628</v>
      </c>
      <c r="G52" s="4">
        <v>1627</v>
      </c>
      <c r="H52" s="20">
        <v>2</v>
      </c>
      <c r="I52" s="4">
        <v>368</v>
      </c>
      <c r="J52" s="20">
        <f t="shared" si="3"/>
        <v>3593</v>
      </c>
      <c r="K52" s="243">
        <v>9.7165882416572022E-2</v>
      </c>
    </row>
    <row r="53" spans="2:11" ht="13.9" customHeight="1">
      <c r="B53" s="608"/>
      <c r="C53" s="133">
        <v>2016</v>
      </c>
      <c r="D53" s="4">
        <v>347</v>
      </c>
      <c r="E53" s="4">
        <v>1737</v>
      </c>
      <c r="F53" s="20">
        <v>1960</v>
      </c>
      <c r="G53" s="4">
        <v>1959</v>
      </c>
      <c r="H53" s="20">
        <v>1</v>
      </c>
      <c r="I53" s="4">
        <v>335</v>
      </c>
      <c r="J53" s="20">
        <f t="shared" si="3"/>
        <v>4032</v>
      </c>
      <c r="K53" s="243">
        <v>0.11471165609263421</v>
      </c>
    </row>
    <row r="54" spans="2:11">
      <c r="B54" s="608"/>
      <c r="C54" s="354">
        <v>2015</v>
      </c>
      <c r="D54" s="346">
        <v>320</v>
      </c>
      <c r="E54" s="349">
        <v>1441</v>
      </c>
      <c r="F54" s="20">
        <v>1873</v>
      </c>
      <c r="G54" s="4">
        <v>1875</v>
      </c>
      <c r="H54" s="20">
        <v>1</v>
      </c>
      <c r="I54" s="60">
        <v>353</v>
      </c>
      <c r="J54" s="60">
        <f t="shared" si="3"/>
        <v>3667</v>
      </c>
      <c r="K54" s="348">
        <v>0.10654308791911209</v>
      </c>
    </row>
    <row r="55" spans="2:11">
      <c r="B55" s="607" t="s">
        <v>67</v>
      </c>
      <c r="C55" s="95">
        <v>2022</v>
      </c>
      <c r="D55" s="94"/>
      <c r="E55" s="92">
        <v>10196</v>
      </c>
      <c r="F55" s="241">
        <v>16576</v>
      </c>
      <c r="G55" s="241">
        <v>15856</v>
      </c>
      <c r="H55" s="99">
        <v>24</v>
      </c>
      <c r="I55" s="92">
        <v>19131</v>
      </c>
      <c r="J55" s="93">
        <f t="shared" ref="J55:J62" si="4">+E55+F55+I55</f>
        <v>45903</v>
      </c>
      <c r="K55" s="243">
        <f>+J55/J63</f>
        <v>0.86186631618475407</v>
      </c>
    </row>
    <row r="56" spans="2:11">
      <c r="B56" s="608"/>
      <c r="C56" s="95">
        <v>2021</v>
      </c>
      <c r="D56" s="346"/>
      <c r="E56" s="92">
        <v>4821</v>
      </c>
      <c r="F56" s="93">
        <v>9030</v>
      </c>
      <c r="G56" s="92">
        <v>9023</v>
      </c>
      <c r="H56" s="93">
        <v>45</v>
      </c>
      <c r="I56" s="92">
        <v>19289</v>
      </c>
      <c r="J56" s="93">
        <f t="shared" si="4"/>
        <v>33140</v>
      </c>
      <c r="K56" s="243">
        <f>+J56/J64</f>
        <v>0.64420815271271115</v>
      </c>
    </row>
    <row r="57" spans="2:11">
      <c r="B57" s="608"/>
      <c r="C57" s="95">
        <v>2020</v>
      </c>
      <c r="D57" s="346"/>
      <c r="E57" s="92">
        <v>4691</v>
      </c>
      <c r="F57" s="93">
        <v>8988</v>
      </c>
      <c r="G57" s="92">
        <v>9425</v>
      </c>
      <c r="H57" s="93">
        <v>46</v>
      </c>
      <c r="I57" s="92">
        <v>17974</v>
      </c>
      <c r="J57" s="93">
        <f t="shared" si="4"/>
        <v>31653</v>
      </c>
      <c r="K57" s="243">
        <f>+J57/J65</f>
        <v>0.64973212636246069</v>
      </c>
    </row>
    <row r="58" spans="2:11">
      <c r="B58" s="608"/>
      <c r="C58" s="95">
        <v>2019</v>
      </c>
      <c r="D58" s="346">
        <v>2297</v>
      </c>
      <c r="E58" s="92">
        <v>3916</v>
      </c>
      <c r="F58" s="93">
        <v>6595</v>
      </c>
      <c r="G58" s="92">
        <v>6581</v>
      </c>
      <c r="H58" s="93">
        <v>17</v>
      </c>
      <c r="I58" s="92">
        <v>12923</v>
      </c>
      <c r="J58" s="93">
        <f t="shared" si="4"/>
        <v>23434</v>
      </c>
      <c r="K58" s="243">
        <v>0.50301287660957616</v>
      </c>
    </row>
    <row r="59" spans="2:11">
      <c r="B59" s="608"/>
      <c r="C59" s="345">
        <v>2018</v>
      </c>
      <c r="D59" s="346">
        <v>1952</v>
      </c>
      <c r="E59" s="4">
        <v>3648</v>
      </c>
      <c r="F59" s="20">
        <v>5694</v>
      </c>
      <c r="G59" s="4">
        <v>5683</v>
      </c>
      <c r="H59" s="20">
        <v>14</v>
      </c>
      <c r="I59" s="4">
        <v>10776</v>
      </c>
      <c r="J59" s="20">
        <f t="shared" si="4"/>
        <v>20118</v>
      </c>
      <c r="K59" s="243">
        <v>0.50301287660957616</v>
      </c>
    </row>
    <row r="60" spans="2:11">
      <c r="B60" s="608"/>
      <c r="C60" s="345">
        <v>2017</v>
      </c>
      <c r="D60" s="346">
        <v>1689</v>
      </c>
      <c r="E60" s="4">
        <v>3546</v>
      </c>
      <c r="F60" s="20">
        <v>5652</v>
      </c>
      <c r="G60" s="4">
        <v>5638</v>
      </c>
      <c r="H60" s="20">
        <v>15</v>
      </c>
      <c r="I60" s="4">
        <v>9121</v>
      </c>
      <c r="J60" s="20">
        <f t="shared" si="4"/>
        <v>18319</v>
      </c>
      <c r="K60" s="243">
        <v>0.49540267185894316</v>
      </c>
    </row>
    <row r="61" spans="2:11">
      <c r="B61" s="608"/>
      <c r="C61" s="345">
        <v>2016</v>
      </c>
      <c r="D61" s="346">
        <v>1689</v>
      </c>
      <c r="E61" s="4">
        <v>3657</v>
      </c>
      <c r="F61" s="20">
        <v>5243</v>
      </c>
      <c r="G61" s="4">
        <v>5240</v>
      </c>
      <c r="H61" s="20">
        <v>5</v>
      </c>
      <c r="I61" s="4">
        <v>8181</v>
      </c>
      <c r="J61" s="20">
        <f t="shared" si="4"/>
        <v>17081</v>
      </c>
      <c r="K61" s="243">
        <v>0.4859597712594953</v>
      </c>
    </row>
    <row r="62" spans="2:11">
      <c r="B62" s="609"/>
      <c r="C62" s="354">
        <v>2015</v>
      </c>
      <c r="D62" s="346">
        <v>1983</v>
      </c>
      <c r="E62" s="349">
        <v>4356</v>
      </c>
      <c r="F62" s="60">
        <v>5988</v>
      </c>
      <c r="G62" s="356">
        <v>5991</v>
      </c>
      <c r="H62" s="60">
        <v>10</v>
      </c>
      <c r="I62" s="60">
        <v>7135</v>
      </c>
      <c r="J62" s="60">
        <f t="shared" si="4"/>
        <v>17479</v>
      </c>
      <c r="K62" s="243">
        <v>0.5078447324074612</v>
      </c>
    </row>
    <row r="63" spans="2:11" ht="15">
      <c r="B63" s="16" t="s">
        <v>181</v>
      </c>
      <c r="E63" s="518"/>
      <c r="F63" s="519">
        <f t="shared" ref="E63:F65" si="5">+F7+F15+F23+F31+F39+F47+F55</f>
        <v>19889</v>
      </c>
      <c r="G63" s="520">
        <f>+G55+G47+G39+G31+G23+G15+G7</f>
        <v>19847</v>
      </c>
      <c r="H63" s="519">
        <f t="shared" ref="H63:J63" si="6">+H7+H15+H23+H31+H39+H47+H55</f>
        <v>58</v>
      </c>
      <c r="I63" s="519">
        <f t="shared" si="6"/>
        <v>19247</v>
      </c>
      <c r="J63" s="519">
        <f t="shared" si="6"/>
        <v>53260</v>
      </c>
      <c r="K63" s="521"/>
    </row>
    <row r="64" spans="2:11" ht="15">
      <c r="D64" s="62"/>
      <c r="E64" s="519">
        <f t="shared" si="5"/>
        <v>12601</v>
      </c>
      <c r="F64" s="520">
        <f t="shared" si="5"/>
        <v>19115</v>
      </c>
      <c r="G64" s="520">
        <f>+G56+G48+G40+G32+G24+G16+G8</f>
        <v>19053</v>
      </c>
      <c r="H64" s="520">
        <f t="shared" ref="H64:J65" si="7">+H8+H16+H24+H32+H40+H48+H56</f>
        <v>86</v>
      </c>
      <c r="I64" s="519">
        <f t="shared" si="7"/>
        <v>19727</v>
      </c>
      <c r="J64" s="519">
        <f t="shared" si="7"/>
        <v>51443</v>
      </c>
      <c r="K64" s="522"/>
    </row>
    <row r="65" spans="4:11" ht="15">
      <c r="D65" s="44"/>
      <c r="E65" s="519">
        <f t="shared" si="5"/>
        <v>11859</v>
      </c>
      <c r="F65" s="519">
        <f t="shared" si="5"/>
        <v>18485</v>
      </c>
      <c r="G65" s="519">
        <f>+G9+G17+G25+G33+G41+G49+G57</f>
        <v>18411</v>
      </c>
      <c r="H65" s="519">
        <f t="shared" si="7"/>
        <v>102</v>
      </c>
      <c r="I65" s="519">
        <f t="shared" si="7"/>
        <v>18373</v>
      </c>
      <c r="J65" s="519">
        <f t="shared" si="7"/>
        <v>48717</v>
      </c>
      <c r="K65" s="518"/>
    </row>
    <row r="66" spans="4:11">
      <c r="E66" s="7"/>
      <c r="F66" s="7"/>
      <c r="G66" s="7"/>
      <c r="H66" s="7"/>
      <c r="I66" s="62"/>
      <c r="J66" s="87">
        <f>+J59+J51+J43+J35+J27+J19+J11</f>
        <v>39995</v>
      </c>
    </row>
    <row r="67" spans="4:11">
      <c r="D67" s="62"/>
      <c r="E67" s="7"/>
      <c r="F67" s="7"/>
      <c r="G67" s="7"/>
      <c r="H67" s="7"/>
      <c r="I67" s="62"/>
    </row>
    <row r="68" spans="4:11">
      <c r="D68" s="62"/>
      <c r="E68" s="178"/>
      <c r="F68" s="7"/>
      <c r="G68" s="7"/>
      <c r="H68" s="7"/>
      <c r="I68" s="62"/>
    </row>
    <row r="69" spans="4:11">
      <c r="D69" s="109"/>
      <c r="E69" s="111"/>
      <c r="F69" s="7"/>
      <c r="G69" s="7"/>
      <c r="H69" s="7"/>
      <c r="I69" s="62"/>
    </row>
    <row r="70" spans="4:11">
      <c r="D70" s="110"/>
      <c r="E70" s="111"/>
      <c r="F70" s="7"/>
      <c r="G70" s="7"/>
      <c r="H70" s="7"/>
      <c r="I70" s="62"/>
      <c r="J70" s="62"/>
    </row>
    <row r="71" spans="4:11">
      <c r="D71" s="112"/>
      <c r="E71" s="111"/>
      <c r="F71" s="7"/>
      <c r="G71" s="7"/>
      <c r="H71" s="7"/>
      <c r="I71" s="62"/>
      <c r="J71" s="62"/>
    </row>
    <row r="72" spans="4:11" ht="15">
      <c r="D72" s="62"/>
      <c r="E72" s="113"/>
      <c r="F72" s="113"/>
      <c r="G72" s="113"/>
      <c r="H72" s="113"/>
      <c r="I72" s="62"/>
      <c r="J72" s="62"/>
    </row>
    <row r="73" spans="4:11">
      <c r="D73" s="62"/>
      <c r="E73" s="62"/>
      <c r="F73" s="62"/>
      <c r="G73" s="62"/>
      <c r="H73" s="62"/>
      <c r="I73" s="62"/>
      <c r="J73" s="62"/>
    </row>
    <row r="74" spans="4:11">
      <c r="D74" s="62"/>
      <c r="E74" s="62"/>
      <c r="F74" s="62"/>
      <c r="G74" s="62"/>
      <c r="H74" s="62"/>
      <c r="I74" s="62"/>
      <c r="J74" s="62"/>
    </row>
    <row r="75" spans="4:11">
      <c r="D75" s="62"/>
      <c r="E75" s="62"/>
      <c r="F75" s="62"/>
      <c r="G75" s="62"/>
      <c r="H75" s="62"/>
      <c r="I75" s="62"/>
      <c r="J75" s="62"/>
    </row>
    <row r="76" spans="4:11">
      <c r="D76" s="62"/>
      <c r="E76" s="62"/>
      <c r="F76" s="62"/>
      <c r="G76" s="62"/>
      <c r="H76" s="62"/>
      <c r="I76" s="62"/>
      <c r="J76" s="62"/>
    </row>
    <row r="77" spans="4:11">
      <c r="D77" s="62"/>
      <c r="E77" s="62"/>
      <c r="F77" s="62"/>
      <c r="G77" s="62"/>
      <c r="H77" s="62"/>
      <c r="I77" s="62"/>
      <c r="J77" s="62"/>
    </row>
    <row r="78" spans="4:11">
      <c r="D78" s="62"/>
      <c r="E78" s="62"/>
      <c r="F78" s="62"/>
      <c r="G78" s="62"/>
      <c r="H78" s="62"/>
      <c r="I78" s="62"/>
      <c r="J78" s="62"/>
    </row>
  </sheetData>
  <mergeCells count="10">
    <mergeCell ref="I4:I5"/>
    <mergeCell ref="C4:C6"/>
    <mergeCell ref="B4:B5"/>
    <mergeCell ref="B7:B14"/>
    <mergeCell ref="B15:B22"/>
    <mergeCell ref="B23:B30"/>
    <mergeCell ref="B31:B38"/>
    <mergeCell ref="B39:B46"/>
    <mergeCell ref="B47:B54"/>
    <mergeCell ref="B55:B62"/>
  </mergeCells>
  <pageMargins left="0.7" right="0.7" top="0.75" bottom="0.75" header="0.3" footer="0.3"/>
  <pageSetup paperSize="9" orientation="portrait" r:id="rId1"/>
  <ignoredErrors>
    <ignoredError sqref="G63:G6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431"/>
  <sheetViews>
    <sheetView showGridLines="0" workbookViewId="0"/>
  </sheetViews>
  <sheetFormatPr defaultColWidth="8.85546875" defaultRowHeight="14.25"/>
  <cols>
    <col min="1" max="1" width="1.7109375" style="31" customWidth="1"/>
    <col min="2" max="2" width="20.7109375" style="31" customWidth="1"/>
    <col min="3" max="3" width="28.7109375" style="31" customWidth="1"/>
    <col min="4" max="4" width="37.85546875" style="31" customWidth="1"/>
    <col min="5" max="7" width="25.7109375" style="31" customWidth="1"/>
    <col min="8" max="8" width="19.42578125" style="31" customWidth="1"/>
    <col min="9" max="16384" width="8.85546875" style="31"/>
  </cols>
  <sheetData>
    <row r="2" spans="2:7" ht="15">
      <c r="B2" s="32" t="s">
        <v>194</v>
      </c>
      <c r="C2" s="30"/>
      <c r="D2" s="37"/>
      <c r="E2" s="37"/>
    </row>
    <row r="3" spans="2:7" ht="15">
      <c r="F3" s="38"/>
    </row>
    <row r="4" spans="2:7" ht="15">
      <c r="B4" s="589" t="s">
        <v>2</v>
      </c>
      <c r="C4" s="27" t="s">
        <v>68</v>
      </c>
      <c r="D4" s="24" t="s">
        <v>69</v>
      </c>
      <c r="E4" s="21" t="s">
        <v>81</v>
      </c>
      <c r="F4" s="5" t="s">
        <v>5</v>
      </c>
      <c r="G4" s="17"/>
    </row>
    <row r="5" spans="2:7" ht="15">
      <c r="B5" s="589"/>
      <c r="C5" s="36" t="s">
        <v>0</v>
      </c>
      <c r="D5" s="25" t="s">
        <v>1</v>
      </c>
      <c r="E5" s="26" t="s">
        <v>3</v>
      </c>
      <c r="F5" s="5" t="s">
        <v>4</v>
      </c>
    </row>
    <row r="6" spans="2:7" ht="15" customHeight="1">
      <c r="B6" s="139">
        <v>2022</v>
      </c>
      <c r="C6" s="259">
        <v>7774.2920020000001</v>
      </c>
      <c r="D6" s="259">
        <v>3532.0590590000002</v>
      </c>
      <c r="E6" s="259">
        <v>3400.1646820000001</v>
      </c>
      <c r="F6" s="260">
        <v>365.98416200000003</v>
      </c>
      <c r="G6" s="17"/>
    </row>
    <row r="7" spans="2:7" ht="15" customHeight="1">
      <c r="B7" s="115">
        <v>2021</v>
      </c>
      <c r="C7" s="259">
        <v>5285.1653019999994</v>
      </c>
      <c r="D7" s="259">
        <v>2050.3548129999999</v>
      </c>
      <c r="E7" s="259">
        <v>1915.5017909999999</v>
      </c>
      <c r="F7" s="260">
        <v>452.02274799999998</v>
      </c>
      <c r="G7" s="54"/>
    </row>
    <row r="8" spans="2:7" ht="15" customHeight="1">
      <c r="B8" s="115">
        <v>2020</v>
      </c>
      <c r="C8" s="259">
        <v>5997.882641000002</v>
      </c>
      <c r="D8" s="259">
        <v>2199.0074209999998</v>
      </c>
      <c r="E8" s="259">
        <v>2090.5219470000002</v>
      </c>
      <c r="F8" s="260">
        <v>599.11813400000005</v>
      </c>
      <c r="G8" s="17"/>
    </row>
    <row r="9" spans="2:7" ht="15" customHeight="1">
      <c r="B9" s="115">
        <v>2019</v>
      </c>
      <c r="C9" s="259">
        <v>8959.9869629999994</v>
      </c>
      <c r="D9" s="259">
        <v>2013.230186</v>
      </c>
      <c r="E9" s="259">
        <v>1837.776648</v>
      </c>
      <c r="F9" s="260">
        <v>644.07481700000005</v>
      </c>
      <c r="G9" s="11"/>
    </row>
    <row r="10" spans="2:7" ht="15" customHeight="1">
      <c r="B10" s="261">
        <v>2018</v>
      </c>
      <c r="C10" s="259">
        <v>7915.5502630000001</v>
      </c>
      <c r="D10" s="259">
        <v>2025.661212</v>
      </c>
      <c r="E10" s="259">
        <v>1863.061516</v>
      </c>
      <c r="F10" s="4">
        <v>748.40228999999999</v>
      </c>
      <c r="G10" s="7"/>
    </row>
    <row r="11" spans="2:7" ht="15" customHeight="1">
      <c r="B11" s="261">
        <v>2017</v>
      </c>
      <c r="C11" s="259">
        <v>7273.8870070000003</v>
      </c>
      <c r="D11" s="259">
        <v>1916.402691</v>
      </c>
      <c r="E11" s="259">
        <v>1856.8351</v>
      </c>
      <c r="F11" s="4">
        <v>1038.952137</v>
      </c>
      <c r="G11" s="7"/>
    </row>
    <row r="12" spans="2:7" ht="15" customHeight="1">
      <c r="B12" s="261">
        <v>2016</v>
      </c>
      <c r="C12" s="259">
        <v>6311.9541319999998</v>
      </c>
      <c r="D12" s="259">
        <v>2205.9109060000001</v>
      </c>
      <c r="E12" s="259">
        <v>2126.8814470000002</v>
      </c>
      <c r="F12" s="4">
        <v>921.44462199999998</v>
      </c>
      <c r="G12" s="7"/>
    </row>
    <row r="13" spans="2:7" ht="15" customHeight="1">
      <c r="B13" s="261">
        <v>2015</v>
      </c>
      <c r="C13" s="259">
        <v>5820.5581320000001</v>
      </c>
      <c r="D13" s="259">
        <v>2822.0637449999999</v>
      </c>
      <c r="E13" s="259">
        <v>2631.9811439999999</v>
      </c>
      <c r="F13" s="4">
        <v>566.42263000000003</v>
      </c>
    </row>
    <row r="14" spans="2:7" ht="15" customHeight="1">
      <c r="B14" s="593" t="s">
        <v>176</v>
      </c>
      <c r="C14" s="593"/>
      <c r="D14" s="593"/>
      <c r="E14" s="593"/>
      <c r="F14" s="593"/>
    </row>
    <row r="15" spans="2:7" ht="15" customHeight="1">
      <c r="B15" s="139">
        <v>2022</v>
      </c>
      <c r="C15" s="357">
        <f>+C6/C8-1</f>
        <v>0.29617274417090367</v>
      </c>
      <c r="D15" s="262">
        <f t="shared" ref="D15:F17" si="0">+D6/D8-1</f>
        <v>0.60620606609585437</v>
      </c>
      <c r="E15" s="262">
        <f t="shared" si="0"/>
        <v>0.62646686722394884</v>
      </c>
      <c r="F15" s="265">
        <f t="shared" si="0"/>
        <v>-0.38912855206616059</v>
      </c>
    </row>
    <row r="16" spans="2:7" ht="15" customHeight="1">
      <c r="B16" s="139">
        <v>2021</v>
      </c>
      <c r="C16" s="358">
        <f>+C7/C9-1</f>
        <v>-0.41013694285215674</v>
      </c>
      <c r="D16" s="262">
        <f t="shared" si="0"/>
        <v>1.8440329008656997E-2</v>
      </c>
      <c r="E16" s="262">
        <f t="shared" si="0"/>
        <v>4.2293030050515545E-2</v>
      </c>
      <c r="F16" s="265">
        <f t="shared" si="0"/>
        <v>-0.29818285691489788</v>
      </c>
    </row>
    <row r="17" spans="1:12" ht="15" customHeight="1">
      <c r="B17" s="139">
        <v>2020</v>
      </c>
      <c r="C17" s="358">
        <f>+C8/C10-1</f>
        <v>-0.24226586381035753</v>
      </c>
      <c r="D17" s="262">
        <f t="shared" si="0"/>
        <v>8.5575123803081299E-2</v>
      </c>
      <c r="E17" s="262">
        <f t="shared" si="0"/>
        <v>0.12208959771138339</v>
      </c>
      <c r="F17" s="265">
        <f t="shared" si="0"/>
        <v>-0.19947046928464096</v>
      </c>
    </row>
    <row r="18" spans="1:12" ht="15" customHeight="1">
      <c r="B18" s="139">
        <v>2019</v>
      </c>
      <c r="C18" s="357">
        <f>+C9/C11-1</f>
        <v>0.23180178003554164</v>
      </c>
      <c r="D18" s="262">
        <f>+D9/D11-1</f>
        <v>5.0525651761360368E-2</v>
      </c>
      <c r="E18" s="262">
        <f>+E9/E11-1</f>
        <v>-1.0263944278089077E-2</v>
      </c>
      <c r="F18" s="265">
        <f>+F9/F11-1</f>
        <v>-0.38007267701495662</v>
      </c>
    </row>
    <row r="19" spans="1:12" ht="15" customHeight="1">
      <c r="B19" s="261">
        <v>2018</v>
      </c>
      <c r="C19" s="266">
        <f>+C10/C11-1</f>
        <v>8.8214630689547047E-2</v>
      </c>
      <c r="D19" s="266">
        <f>+D10/D11-1</f>
        <v>5.7012297839650561E-2</v>
      </c>
      <c r="E19" s="266">
        <f>+E10/E11-1</f>
        <v>3.35324122212044E-3</v>
      </c>
      <c r="F19" s="358">
        <f>+F10/F11-1</f>
        <v>-0.27965662387390611</v>
      </c>
    </row>
    <row r="20" spans="1:12" ht="15" customHeight="1">
      <c r="B20" s="261">
        <v>2017</v>
      </c>
      <c r="C20" s="266">
        <f t="shared" ref="C20:F21" si="1">+C11/C12-1</f>
        <v>0.15239858447691268</v>
      </c>
      <c r="D20" s="267">
        <f t="shared" si="1"/>
        <v>-0.13124202532955787</v>
      </c>
      <c r="E20" s="266">
        <f t="shared" si="1"/>
        <v>-0.12696821789522161</v>
      </c>
      <c r="F20" s="357">
        <f t="shared" si="1"/>
        <v>0.12752531426679714</v>
      </c>
    </row>
    <row r="21" spans="1:12" ht="15" customHeight="1">
      <c r="A21" s="17"/>
      <c r="B21" s="359">
        <v>2016</v>
      </c>
      <c r="C21" s="360">
        <f t="shared" si="1"/>
        <v>8.442420621115776E-2</v>
      </c>
      <c r="D21" s="361">
        <f t="shared" si="1"/>
        <v>-0.21833413227878729</v>
      </c>
      <c r="E21" s="360">
        <f t="shared" si="1"/>
        <v>-0.19190855456979661</v>
      </c>
      <c r="F21" s="362">
        <f t="shared" si="1"/>
        <v>0.62677932200554909</v>
      </c>
      <c r="G21" s="17"/>
      <c r="H21" s="17"/>
      <c r="I21" s="17"/>
      <c r="J21" s="17"/>
      <c r="K21" s="17"/>
      <c r="L21" s="17"/>
    </row>
    <row r="22" spans="1:12" ht="1.1499999999999999" customHeight="1">
      <c r="B22" s="39"/>
      <c r="C22" s="40"/>
      <c r="D22" s="40"/>
      <c r="E22" s="40"/>
      <c r="F22" s="40"/>
    </row>
    <row r="23" spans="1:12">
      <c r="A23" s="17"/>
      <c r="B23" s="16" t="s">
        <v>181</v>
      </c>
    </row>
    <row r="24" spans="1:12">
      <c r="B24" s="45"/>
      <c r="C24" s="12"/>
      <c r="D24" s="33"/>
      <c r="E24" s="33"/>
      <c r="F24" s="33"/>
      <c r="G24" s="33"/>
    </row>
    <row r="25" spans="1:12" ht="1.5" customHeight="1">
      <c r="B25" s="12"/>
      <c r="C25" s="12"/>
      <c r="D25" s="12"/>
      <c r="E25" s="12"/>
      <c r="F25" s="12"/>
      <c r="G25" s="12"/>
    </row>
    <row r="26" spans="1:12">
      <c r="B26" s="610"/>
      <c r="C26" s="12"/>
      <c r="D26" s="6"/>
      <c r="E26" s="6"/>
      <c r="F26" s="6"/>
      <c r="G26" s="6"/>
    </row>
    <row r="27" spans="1:12">
      <c r="B27" s="610"/>
      <c r="D27" s="6"/>
      <c r="E27" s="6"/>
      <c r="F27" s="6"/>
      <c r="G27" s="6"/>
    </row>
    <row r="28" spans="1:12">
      <c r="B28" s="610"/>
      <c r="D28" s="33"/>
      <c r="E28" s="33"/>
      <c r="F28" s="6"/>
      <c r="G28" s="6"/>
    </row>
    <row r="29" spans="1:12">
      <c r="B29" s="610"/>
      <c r="C29" s="12"/>
      <c r="D29" s="33"/>
      <c r="E29" s="33"/>
      <c r="F29" s="6"/>
      <c r="G29" s="6"/>
    </row>
    <row r="30" spans="1:12" ht="15">
      <c r="B30" s="610"/>
      <c r="C30" s="611"/>
      <c r="D30" s="611"/>
      <c r="E30" s="611"/>
      <c r="F30" s="611"/>
      <c r="G30" s="611"/>
    </row>
    <row r="31" spans="1:12">
      <c r="B31" s="610"/>
      <c r="C31" s="12"/>
      <c r="D31" s="33"/>
      <c r="E31" s="33"/>
      <c r="F31" s="33"/>
      <c r="G31" s="12"/>
    </row>
    <row r="32" spans="1:12">
      <c r="B32" s="610"/>
      <c r="C32" s="12"/>
      <c r="D32" s="33"/>
      <c r="E32" s="33"/>
      <c r="F32" s="33"/>
      <c r="G32" s="12"/>
    </row>
    <row r="33" spans="2:7">
      <c r="B33" s="610"/>
      <c r="C33" s="12"/>
      <c r="D33" s="33"/>
      <c r="E33" s="33"/>
      <c r="F33" s="33"/>
      <c r="G33" s="12"/>
    </row>
    <row r="34" spans="2:7" ht="1.5" customHeight="1">
      <c r="B34" s="12"/>
      <c r="C34" s="12"/>
      <c r="D34" s="12"/>
      <c r="E34" s="12"/>
      <c r="F34" s="12"/>
      <c r="G34" s="12"/>
    </row>
    <row r="35" spans="2:7">
      <c r="B35" s="610"/>
      <c r="C35" s="12"/>
      <c r="D35" s="6"/>
      <c r="E35" s="6"/>
      <c r="F35" s="6"/>
      <c r="G35" s="6"/>
    </row>
    <row r="36" spans="2:7">
      <c r="B36" s="610"/>
      <c r="C36" s="12"/>
      <c r="D36" s="6"/>
      <c r="E36" s="6"/>
      <c r="F36" s="6"/>
      <c r="G36" s="6"/>
    </row>
    <row r="37" spans="2:7">
      <c r="B37" s="610"/>
      <c r="C37" s="12"/>
      <c r="D37" s="6"/>
      <c r="E37" s="6"/>
      <c r="F37" s="6"/>
      <c r="G37" s="6"/>
    </row>
    <row r="38" spans="2:7">
      <c r="B38" s="610"/>
      <c r="C38" s="12"/>
      <c r="D38" s="6"/>
      <c r="E38" s="6"/>
      <c r="F38" s="6"/>
      <c r="G38" s="12"/>
    </row>
    <row r="39" spans="2:7" ht="15">
      <c r="B39" s="610"/>
      <c r="C39" s="611"/>
      <c r="D39" s="611"/>
      <c r="E39" s="611"/>
      <c r="F39" s="611"/>
      <c r="G39" s="611"/>
    </row>
    <row r="40" spans="2:7">
      <c r="B40" s="610"/>
      <c r="C40" s="12"/>
      <c r="D40" s="33"/>
      <c r="E40" s="33"/>
      <c r="F40" s="33"/>
      <c r="G40" s="33"/>
    </row>
    <row r="41" spans="2:7">
      <c r="B41" s="610"/>
      <c r="C41" s="12"/>
      <c r="D41" s="33"/>
      <c r="E41" s="33"/>
      <c r="F41" s="33"/>
      <c r="G41" s="33"/>
    </row>
    <row r="42" spans="2:7">
      <c r="B42" s="610"/>
      <c r="C42" s="12"/>
      <c r="D42" s="33"/>
      <c r="E42" s="33"/>
      <c r="F42" s="33"/>
      <c r="G42" s="33"/>
    </row>
    <row r="43" spans="2:7" ht="1.5" customHeight="1">
      <c r="B43" s="12"/>
      <c r="C43" s="12"/>
      <c r="D43" s="33"/>
      <c r="E43" s="33"/>
      <c r="F43" s="33"/>
      <c r="G43" s="33"/>
    </row>
    <row r="44" spans="2:7">
      <c r="B44" s="610"/>
      <c r="C44" s="12"/>
      <c r="D44" s="6"/>
      <c r="E44" s="6"/>
      <c r="F44" s="6"/>
      <c r="G44" s="6"/>
    </row>
    <row r="45" spans="2:7">
      <c r="B45" s="610"/>
      <c r="C45" s="12"/>
      <c r="D45" s="6"/>
      <c r="E45" s="6"/>
      <c r="F45" s="6"/>
      <c r="G45" s="6"/>
    </row>
    <row r="46" spans="2:7">
      <c r="B46" s="610"/>
      <c r="C46" s="12"/>
      <c r="D46" s="6"/>
      <c r="E46" s="6"/>
      <c r="F46" s="6"/>
      <c r="G46" s="12"/>
    </row>
    <row r="47" spans="2:7">
      <c r="B47" s="610"/>
      <c r="C47" s="12"/>
      <c r="D47" s="6"/>
      <c r="E47" s="6"/>
      <c r="F47" s="6"/>
      <c r="G47" s="6"/>
    </row>
    <row r="48" spans="2:7" ht="15">
      <c r="B48" s="610"/>
      <c r="C48" s="611"/>
      <c r="D48" s="611"/>
      <c r="E48" s="611"/>
      <c r="F48" s="611"/>
      <c r="G48" s="611"/>
    </row>
    <row r="49" spans="2:7">
      <c r="B49" s="610"/>
      <c r="C49" s="12"/>
      <c r="D49" s="33"/>
      <c r="E49" s="33"/>
      <c r="F49" s="33"/>
      <c r="G49" s="12"/>
    </row>
    <row r="50" spans="2:7">
      <c r="B50" s="610"/>
      <c r="C50" s="12"/>
      <c r="D50" s="33"/>
      <c r="E50" s="33"/>
      <c r="F50" s="33"/>
      <c r="G50" s="12"/>
    </row>
    <row r="51" spans="2:7">
      <c r="B51" s="610"/>
      <c r="C51" s="12"/>
      <c r="D51" s="33"/>
      <c r="E51" s="33"/>
      <c r="F51" s="33"/>
      <c r="G51" s="12"/>
    </row>
    <row r="52" spans="2:7" ht="1.5" customHeight="1">
      <c r="B52" s="12"/>
      <c r="C52" s="12"/>
      <c r="D52" s="12"/>
      <c r="E52" s="12"/>
      <c r="F52" s="12"/>
      <c r="G52" s="12"/>
    </row>
    <row r="53" spans="2:7">
      <c r="B53" s="610"/>
      <c r="C53" s="12"/>
      <c r="D53" s="6"/>
      <c r="E53" s="6"/>
      <c r="F53" s="6"/>
      <c r="G53" s="6"/>
    </row>
    <row r="54" spans="2:7">
      <c r="B54" s="610"/>
      <c r="C54" s="12"/>
      <c r="D54" s="6"/>
      <c r="E54" s="6"/>
      <c r="F54" s="6"/>
      <c r="G54" s="6"/>
    </row>
    <row r="55" spans="2:7">
      <c r="B55" s="610"/>
      <c r="C55" s="12"/>
      <c r="D55" s="6"/>
      <c r="E55" s="6"/>
      <c r="F55" s="6"/>
      <c r="G55" s="6"/>
    </row>
    <row r="56" spans="2:7">
      <c r="B56" s="610"/>
      <c r="C56" s="12"/>
      <c r="D56" s="6"/>
      <c r="E56" s="6"/>
      <c r="F56" s="6"/>
      <c r="G56" s="6"/>
    </row>
    <row r="57" spans="2:7" ht="15">
      <c r="B57" s="610"/>
      <c r="C57" s="611"/>
      <c r="D57" s="611"/>
      <c r="E57" s="611"/>
      <c r="F57" s="611"/>
      <c r="G57" s="611"/>
    </row>
    <row r="58" spans="2:7">
      <c r="B58" s="610"/>
      <c r="C58" s="12"/>
      <c r="D58" s="33"/>
      <c r="E58" s="33"/>
      <c r="F58" s="33"/>
      <c r="G58" s="33"/>
    </row>
    <row r="59" spans="2:7">
      <c r="B59" s="610"/>
      <c r="C59" s="12"/>
      <c r="D59" s="33"/>
      <c r="E59" s="33"/>
      <c r="F59" s="33"/>
      <c r="G59" s="33"/>
    </row>
    <row r="60" spans="2:7">
      <c r="B60" s="610"/>
      <c r="C60" s="12"/>
      <c r="D60" s="33"/>
      <c r="E60" s="33"/>
      <c r="F60" s="33"/>
      <c r="G60" s="33"/>
    </row>
    <row r="61" spans="2:7" ht="1.5" customHeight="1">
      <c r="B61" s="12"/>
      <c r="C61" s="12"/>
      <c r="D61" s="12"/>
      <c r="E61" s="12"/>
      <c r="F61" s="12"/>
      <c r="G61" s="12"/>
    </row>
    <row r="62" spans="2:7">
      <c r="B62" s="610"/>
      <c r="C62" s="12"/>
      <c r="D62" s="6"/>
      <c r="E62" s="6"/>
      <c r="F62" s="6"/>
      <c r="G62" s="12"/>
    </row>
    <row r="63" spans="2:7">
      <c r="B63" s="610"/>
      <c r="C63" s="12"/>
      <c r="D63" s="6"/>
      <c r="E63" s="6"/>
      <c r="F63" s="6"/>
      <c r="G63" s="6"/>
    </row>
    <row r="64" spans="2:7">
      <c r="B64" s="610"/>
      <c r="C64" s="12"/>
      <c r="D64" s="6"/>
      <c r="E64" s="6"/>
      <c r="F64" s="6"/>
      <c r="G64" s="6"/>
    </row>
    <row r="65" spans="2:7">
      <c r="B65" s="610"/>
      <c r="C65" s="12"/>
      <c r="D65" s="6"/>
      <c r="E65" s="6"/>
      <c r="F65" s="6"/>
      <c r="G65" s="6"/>
    </row>
    <row r="66" spans="2:7" ht="15">
      <c r="B66" s="610"/>
      <c r="C66" s="611"/>
      <c r="D66" s="611"/>
      <c r="E66" s="611"/>
      <c r="F66" s="611"/>
      <c r="G66" s="611"/>
    </row>
    <row r="67" spans="2:7">
      <c r="B67" s="610"/>
      <c r="C67" s="12"/>
      <c r="D67" s="33"/>
      <c r="E67" s="33"/>
      <c r="F67" s="33"/>
      <c r="G67" s="6"/>
    </row>
    <row r="68" spans="2:7">
      <c r="B68" s="610"/>
      <c r="C68" s="12"/>
      <c r="D68" s="33"/>
      <c r="E68" s="33"/>
      <c r="F68" s="33"/>
      <c r="G68" s="6"/>
    </row>
    <row r="69" spans="2:7">
      <c r="B69" s="610"/>
      <c r="C69" s="12"/>
      <c r="D69" s="33"/>
      <c r="E69" s="33"/>
      <c r="F69" s="33"/>
      <c r="G69" s="6"/>
    </row>
    <row r="70" spans="2:7" ht="1.5" customHeight="1">
      <c r="B70" s="12"/>
      <c r="C70" s="12"/>
      <c r="D70" s="12"/>
      <c r="E70" s="12"/>
      <c r="F70" s="12"/>
      <c r="G70" s="12"/>
    </row>
    <row r="71" spans="2:7">
      <c r="B71" s="610"/>
      <c r="C71" s="12"/>
      <c r="D71" s="6"/>
      <c r="E71" s="6"/>
      <c r="F71" s="6"/>
      <c r="G71" s="6"/>
    </row>
    <row r="72" spans="2:7">
      <c r="B72" s="610"/>
      <c r="C72" s="12"/>
      <c r="D72" s="6"/>
      <c r="E72" s="6"/>
      <c r="F72" s="6"/>
      <c r="G72" s="6"/>
    </row>
    <row r="73" spans="2:7">
      <c r="B73" s="610"/>
      <c r="C73" s="12"/>
      <c r="D73" s="6"/>
      <c r="E73" s="6"/>
      <c r="F73" s="6"/>
      <c r="G73" s="12"/>
    </row>
    <row r="74" spans="2:7">
      <c r="B74" s="610"/>
      <c r="C74" s="12"/>
      <c r="D74" s="6"/>
      <c r="E74" s="6"/>
      <c r="F74" s="6"/>
      <c r="G74" s="6"/>
    </row>
    <row r="75" spans="2:7" ht="15">
      <c r="B75" s="610"/>
      <c r="C75" s="611"/>
      <c r="D75" s="611"/>
      <c r="E75" s="611"/>
      <c r="F75" s="611"/>
      <c r="G75" s="611"/>
    </row>
    <row r="76" spans="2:7">
      <c r="B76" s="610"/>
      <c r="C76" s="12"/>
      <c r="D76" s="33"/>
      <c r="E76" s="33"/>
      <c r="F76" s="33"/>
      <c r="G76" s="12"/>
    </row>
    <row r="77" spans="2:7">
      <c r="B77" s="610"/>
      <c r="C77" s="12"/>
      <c r="D77" s="33"/>
      <c r="E77" s="33"/>
      <c r="F77" s="33"/>
      <c r="G77" s="12"/>
    </row>
    <row r="78" spans="2:7">
      <c r="B78" s="610"/>
      <c r="C78" s="12"/>
      <c r="D78" s="33"/>
      <c r="E78" s="33"/>
      <c r="F78" s="33"/>
      <c r="G78" s="12"/>
    </row>
    <row r="79" spans="2:7" ht="1.5" customHeight="1">
      <c r="B79" s="12"/>
      <c r="C79" s="12"/>
      <c r="D79" s="12"/>
      <c r="E79" s="12"/>
      <c r="F79" s="12"/>
      <c r="G79" s="12"/>
    </row>
    <row r="80" spans="2:7">
      <c r="B80" s="610"/>
      <c r="C80" s="12"/>
      <c r="D80" s="6"/>
      <c r="E80" s="6"/>
      <c r="F80" s="6"/>
      <c r="G80" s="6"/>
    </row>
    <row r="81" spans="2:7">
      <c r="B81" s="610"/>
      <c r="C81" s="12"/>
      <c r="D81" s="6"/>
      <c r="E81" s="6"/>
      <c r="F81" s="6"/>
      <c r="G81" s="6"/>
    </row>
    <row r="82" spans="2:7">
      <c r="B82" s="610"/>
      <c r="C82" s="12"/>
      <c r="D82" s="6"/>
      <c r="E82" s="6"/>
      <c r="F82" s="6"/>
      <c r="G82" s="6"/>
    </row>
    <row r="83" spans="2:7">
      <c r="B83" s="610"/>
      <c r="C83" s="12"/>
      <c r="D83" s="6"/>
      <c r="E83" s="6"/>
      <c r="F83" s="6"/>
      <c r="G83" s="6"/>
    </row>
    <row r="84" spans="2:7" ht="15">
      <c r="B84" s="610"/>
      <c r="C84" s="611"/>
      <c r="D84" s="611"/>
      <c r="E84" s="611"/>
      <c r="F84" s="611"/>
      <c r="G84" s="611"/>
    </row>
    <row r="85" spans="2:7">
      <c r="B85" s="610"/>
      <c r="C85" s="12"/>
      <c r="D85" s="33"/>
      <c r="E85" s="33"/>
      <c r="F85" s="33"/>
      <c r="G85" s="6"/>
    </row>
    <row r="86" spans="2:7">
      <c r="B86" s="610"/>
      <c r="C86" s="12"/>
      <c r="D86" s="33"/>
      <c r="E86" s="33"/>
      <c r="F86" s="33"/>
      <c r="G86" s="6"/>
    </row>
    <row r="87" spans="2:7">
      <c r="B87" s="610"/>
      <c r="C87" s="12"/>
      <c r="D87" s="33"/>
      <c r="E87" s="33"/>
      <c r="F87" s="33"/>
      <c r="G87" s="6"/>
    </row>
    <row r="88" spans="2:7" ht="1.5" customHeight="1">
      <c r="B88" s="12"/>
      <c r="C88" s="12"/>
      <c r="D88" s="12"/>
      <c r="E88" s="12"/>
      <c r="F88" s="12"/>
      <c r="G88" s="12"/>
    </row>
    <row r="89" spans="2:7">
      <c r="B89" s="610"/>
      <c r="C89" s="12"/>
      <c r="D89" s="6"/>
      <c r="E89" s="6"/>
      <c r="F89" s="6"/>
      <c r="G89" s="6"/>
    </row>
    <row r="90" spans="2:7">
      <c r="B90" s="610"/>
      <c r="C90" s="12"/>
      <c r="D90" s="6"/>
      <c r="E90" s="6"/>
      <c r="F90" s="6"/>
      <c r="G90" s="6"/>
    </row>
    <row r="91" spans="2:7">
      <c r="B91" s="610"/>
      <c r="C91" s="12"/>
      <c r="D91" s="6"/>
      <c r="E91" s="6"/>
      <c r="F91" s="6"/>
      <c r="G91" s="6"/>
    </row>
    <row r="92" spans="2:7">
      <c r="B92" s="610"/>
      <c r="C92" s="12"/>
      <c r="D92" s="6"/>
      <c r="E92" s="6"/>
      <c r="F92" s="6"/>
      <c r="G92" s="6"/>
    </row>
    <row r="93" spans="2:7" ht="15">
      <c r="B93" s="610"/>
      <c r="C93" s="611"/>
      <c r="D93" s="611"/>
      <c r="E93" s="611"/>
      <c r="F93" s="611"/>
      <c r="G93" s="611"/>
    </row>
    <row r="94" spans="2:7">
      <c r="B94" s="610"/>
      <c r="C94" s="12"/>
      <c r="D94" s="33"/>
      <c r="E94" s="33"/>
      <c r="F94" s="33"/>
      <c r="G94" s="12"/>
    </row>
    <row r="95" spans="2:7">
      <c r="B95" s="610"/>
      <c r="C95" s="12"/>
      <c r="D95" s="33"/>
      <c r="E95" s="33"/>
      <c r="F95" s="33"/>
      <c r="G95" s="12"/>
    </row>
    <row r="96" spans="2:7">
      <c r="B96" s="610"/>
      <c r="C96" s="12"/>
      <c r="D96" s="33"/>
      <c r="E96" s="33"/>
      <c r="F96" s="33"/>
      <c r="G96" s="12"/>
    </row>
    <row r="97" spans="2:7" ht="1.5" customHeight="1">
      <c r="B97" s="12"/>
      <c r="C97" s="12"/>
      <c r="D97" s="12"/>
      <c r="E97" s="12"/>
      <c r="F97" s="12"/>
      <c r="G97" s="12"/>
    </row>
    <row r="98" spans="2:7">
      <c r="B98" s="610"/>
      <c r="C98" s="12"/>
      <c r="D98" s="6"/>
      <c r="E98" s="6"/>
      <c r="F98" s="6"/>
      <c r="G98" s="6"/>
    </row>
    <row r="99" spans="2:7">
      <c r="B99" s="610"/>
      <c r="C99" s="12"/>
      <c r="D99" s="6"/>
      <c r="E99" s="6"/>
      <c r="F99" s="6"/>
      <c r="G99" s="6"/>
    </row>
    <row r="100" spans="2:7">
      <c r="B100" s="610"/>
      <c r="C100" s="12"/>
      <c r="D100" s="6"/>
      <c r="E100" s="6"/>
      <c r="F100" s="6"/>
      <c r="G100" s="6"/>
    </row>
    <row r="101" spans="2:7">
      <c r="B101" s="610"/>
      <c r="C101" s="12"/>
      <c r="D101" s="6"/>
      <c r="E101" s="6"/>
      <c r="F101" s="6"/>
      <c r="G101" s="6"/>
    </row>
    <row r="102" spans="2:7" ht="15">
      <c r="B102" s="610"/>
      <c r="C102" s="611"/>
      <c r="D102" s="611"/>
      <c r="E102" s="611"/>
      <c r="F102" s="611"/>
      <c r="G102" s="611"/>
    </row>
    <row r="103" spans="2:7">
      <c r="B103" s="610"/>
      <c r="C103" s="12"/>
      <c r="D103" s="33"/>
      <c r="E103" s="33"/>
      <c r="F103" s="33"/>
      <c r="G103" s="12"/>
    </row>
    <row r="104" spans="2:7">
      <c r="B104" s="610"/>
      <c r="C104" s="12"/>
      <c r="D104" s="33"/>
      <c r="E104" s="33"/>
      <c r="F104" s="33"/>
      <c r="G104" s="12"/>
    </row>
    <row r="105" spans="2:7">
      <c r="B105" s="610"/>
      <c r="C105" s="12"/>
      <c r="D105" s="33"/>
      <c r="E105" s="33"/>
      <c r="F105" s="33"/>
      <c r="G105" s="12"/>
    </row>
    <row r="106" spans="2:7" ht="1.5" customHeight="1">
      <c r="B106" s="12"/>
      <c r="C106" s="12"/>
      <c r="D106" s="12"/>
      <c r="E106" s="12"/>
      <c r="F106" s="12"/>
      <c r="G106" s="12"/>
    </row>
    <row r="107" spans="2:7">
      <c r="B107" s="610"/>
      <c r="C107" s="12"/>
      <c r="D107" s="6"/>
      <c r="E107" s="6"/>
      <c r="F107" s="6"/>
      <c r="G107" s="6"/>
    </row>
    <row r="108" spans="2:7">
      <c r="B108" s="610"/>
      <c r="C108" s="12"/>
      <c r="D108" s="6"/>
      <c r="E108" s="6"/>
      <c r="F108" s="6"/>
      <c r="G108" s="6"/>
    </row>
    <row r="109" spans="2:7">
      <c r="B109" s="610"/>
      <c r="C109" s="12"/>
      <c r="D109" s="6"/>
      <c r="E109" s="6"/>
      <c r="F109" s="6"/>
      <c r="G109" s="6"/>
    </row>
    <row r="110" spans="2:7">
      <c r="B110" s="610"/>
      <c r="C110" s="12"/>
      <c r="D110" s="6"/>
      <c r="E110" s="6"/>
      <c r="F110" s="6"/>
      <c r="G110" s="6"/>
    </row>
    <row r="111" spans="2:7" ht="15">
      <c r="B111" s="610"/>
      <c r="C111" s="611"/>
      <c r="D111" s="611"/>
      <c r="E111" s="611"/>
      <c r="F111" s="611"/>
      <c r="G111" s="611"/>
    </row>
    <row r="112" spans="2:7">
      <c r="B112" s="610"/>
      <c r="C112" s="12"/>
      <c r="D112" s="33"/>
      <c r="E112" s="33"/>
      <c r="F112" s="33"/>
      <c r="G112" s="6"/>
    </row>
    <row r="113" spans="2:7">
      <c r="B113" s="610"/>
      <c r="C113" s="12"/>
      <c r="D113" s="33"/>
      <c r="E113" s="33"/>
      <c r="F113" s="33"/>
      <c r="G113" s="6"/>
    </row>
    <row r="114" spans="2:7">
      <c r="B114" s="610"/>
      <c r="C114" s="12"/>
      <c r="D114" s="33"/>
      <c r="E114" s="33"/>
      <c r="F114" s="33"/>
      <c r="G114" s="6"/>
    </row>
    <row r="115" spans="2:7" ht="1.5" customHeight="1">
      <c r="B115" s="12"/>
      <c r="C115" s="12"/>
      <c r="D115" s="12"/>
      <c r="E115" s="12"/>
      <c r="F115" s="12"/>
      <c r="G115" s="12"/>
    </row>
    <row r="116" spans="2:7">
      <c r="B116" s="610"/>
      <c r="C116" s="12"/>
      <c r="D116" s="6"/>
      <c r="E116" s="6"/>
      <c r="F116" s="6"/>
      <c r="G116" s="6"/>
    </row>
    <row r="117" spans="2:7">
      <c r="B117" s="610"/>
      <c r="C117" s="12"/>
      <c r="D117" s="6"/>
      <c r="E117" s="6"/>
      <c r="F117" s="6"/>
      <c r="G117" s="6"/>
    </row>
    <row r="118" spans="2:7">
      <c r="B118" s="610"/>
      <c r="C118" s="12"/>
      <c r="D118" s="6"/>
      <c r="E118" s="6"/>
      <c r="F118" s="6"/>
      <c r="G118" s="6"/>
    </row>
    <row r="119" spans="2:7">
      <c r="B119" s="610"/>
      <c r="C119" s="12"/>
      <c r="D119" s="6"/>
      <c r="E119" s="6"/>
      <c r="F119" s="6"/>
      <c r="G119" s="6"/>
    </row>
    <row r="120" spans="2:7" ht="15">
      <c r="B120" s="610"/>
      <c r="C120" s="611"/>
      <c r="D120" s="611"/>
      <c r="E120" s="611"/>
      <c r="F120" s="611"/>
      <c r="G120" s="611"/>
    </row>
    <row r="121" spans="2:7">
      <c r="B121" s="610"/>
      <c r="C121" s="12"/>
      <c r="D121" s="33"/>
      <c r="E121" s="33"/>
      <c r="F121" s="33"/>
      <c r="G121" s="12"/>
    </row>
    <row r="122" spans="2:7">
      <c r="B122" s="610"/>
      <c r="C122" s="12"/>
      <c r="D122" s="33"/>
      <c r="E122" s="33"/>
      <c r="F122" s="33"/>
      <c r="G122" s="12"/>
    </row>
    <row r="123" spans="2:7">
      <c r="B123" s="610"/>
      <c r="C123" s="12"/>
      <c r="D123" s="33"/>
      <c r="E123" s="33"/>
      <c r="F123" s="33"/>
      <c r="G123" s="12"/>
    </row>
    <row r="124" spans="2:7" ht="1.5" customHeight="1">
      <c r="B124" s="12"/>
      <c r="C124" s="12"/>
      <c r="D124" s="12"/>
      <c r="E124" s="12"/>
      <c r="F124" s="12"/>
      <c r="G124" s="12"/>
    </row>
    <row r="125" spans="2:7">
      <c r="B125" s="610"/>
      <c r="C125" s="12"/>
      <c r="D125" s="6"/>
      <c r="E125" s="6"/>
      <c r="F125" s="6"/>
      <c r="G125" s="12"/>
    </row>
    <row r="126" spans="2:7">
      <c r="B126" s="610"/>
      <c r="C126" s="12"/>
      <c r="D126" s="6"/>
      <c r="E126" s="6"/>
      <c r="F126" s="6"/>
      <c r="G126" s="12"/>
    </row>
    <row r="127" spans="2:7">
      <c r="B127" s="610"/>
      <c r="C127" s="12"/>
      <c r="D127" s="6"/>
      <c r="E127" s="6"/>
      <c r="F127" s="6"/>
      <c r="G127" s="12"/>
    </row>
    <row r="128" spans="2:7">
      <c r="B128" s="610"/>
      <c r="C128" s="12"/>
      <c r="D128" s="6"/>
      <c r="E128" s="6"/>
      <c r="F128" s="6"/>
      <c r="G128" s="6"/>
    </row>
    <row r="129" spans="2:7" ht="15">
      <c r="B129" s="610"/>
      <c r="C129" s="611"/>
      <c r="D129" s="611"/>
      <c r="E129" s="611"/>
      <c r="F129" s="611"/>
      <c r="G129" s="611"/>
    </row>
    <row r="130" spans="2:7">
      <c r="B130" s="610"/>
      <c r="C130" s="12"/>
      <c r="D130" s="33"/>
      <c r="E130" s="33"/>
      <c r="F130" s="33"/>
      <c r="G130" s="12"/>
    </row>
    <row r="131" spans="2:7">
      <c r="B131" s="610"/>
      <c r="C131" s="12"/>
      <c r="D131" s="33"/>
      <c r="E131" s="33"/>
      <c r="F131" s="33"/>
      <c r="G131" s="12"/>
    </row>
    <row r="132" spans="2:7">
      <c r="B132" s="610"/>
      <c r="C132" s="12"/>
      <c r="D132" s="33"/>
      <c r="E132" s="33"/>
      <c r="F132" s="33"/>
      <c r="G132" s="12"/>
    </row>
    <row r="133" spans="2:7" ht="1.5" customHeight="1">
      <c r="B133" s="12"/>
      <c r="C133" s="12"/>
      <c r="D133" s="12"/>
      <c r="E133" s="12"/>
      <c r="F133" s="12"/>
      <c r="G133" s="12"/>
    </row>
    <row r="134" spans="2:7">
      <c r="B134" s="12"/>
      <c r="C134" s="12"/>
      <c r="D134" s="12"/>
      <c r="E134" s="12"/>
      <c r="F134" s="12"/>
      <c r="G134" s="12"/>
    </row>
    <row r="135" spans="2:7" ht="15">
      <c r="B135" s="42"/>
      <c r="C135" s="42"/>
      <c r="D135" s="42"/>
      <c r="E135" s="42"/>
      <c r="F135" s="12"/>
      <c r="G135" s="12"/>
    </row>
    <row r="136" spans="2:7">
      <c r="B136" s="12"/>
      <c r="C136" s="12"/>
      <c r="D136" s="12"/>
      <c r="E136" s="12"/>
      <c r="F136" s="12"/>
      <c r="G136" s="12"/>
    </row>
    <row r="137" spans="2:7">
      <c r="B137" s="12"/>
      <c r="C137" s="12"/>
      <c r="D137" s="12"/>
      <c r="E137" s="12"/>
      <c r="F137" s="12"/>
      <c r="G137" s="12"/>
    </row>
    <row r="138" spans="2:7" ht="15">
      <c r="B138" s="611"/>
      <c r="C138" s="611"/>
      <c r="D138" s="41"/>
      <c r="E138" s="41"/>
      <c r="F138" s="41"/>
      <c r="G138" s="41"/>
    </row>
    <row r="139" spans="2:7" ht="15">
      <c r="B139" s="611"/>
      <c r="C139" s="611"/>
      <c r="D139" s="41"/>
      <c r="E139" s="41"/>
      <c r="F139" s="41"/>
      <c r="G139" s="41"/>
    </row>
    <row r="140" spans="2:7">
      <c r="B140" s="610"/>
      <c r="C140" s="12"/>
      <c r="D140" s="6"/>
      <c r="E140" s="6"/>
      <c r="F140" s="6"/>
      <c r="G140" s="6"/>
    </row>
    <row r="141" spans="2:7">
      <c r="B141" s="610"/>
      <c r="C141" s="12"/>
      <c r="D141" s="6"/>
      <c r="E141" s="6"/>
      <c r="F141" s="6"/>
      <c r="G141" s="6"/>
    </row>
    <row r="142" spans="2:7">
      <c r="B142" s="610"/>
      <c r="C142" s="12"/>
      <c r="D142" s="6"/>
      <c r="E142" s="6"/>
      <c r="F142" s="6"/>
      <c r="G142" s="6"/>
    </row>
    <row r="143" spans="2:7">
      <c r="B143" s="610"/>
      <c r="C143" s="12"/>
      <c r="D143" s="6"/>
      <c r="E143" s="6"/>
      <c r="F143" s="6"/>
      <c r="G143" s="6"/>
    </row>
    <row r="144" spans="2:7" ht="15">
      <c r="B144" s="610"/>
      <c r="C144" s="611"/>
      <c r="D144" s="611"/>
      <c r="E144" s="611"/>
      <c r="F144" s="611"/>
      <c r="G144" s="611"/>
    </row>
    <row r="145" spans="2:7">
      <c r="B145" s="610"/>
      <c r="C145" s="12"/>
      <c r="D145" s="33"/>
      <c r="E145" s="33"/>
      <c r="F145" s="33"/>
      <c r="G145" s="33"/>
    </row>
    <row r="146" spans="2:7">
      <c r="B146" s="610"/>
      <c r="C146" s="12"/>
      <c r="D146" s="33"/>
      <c r="E146" s="33"/>
      <c r="F146" s="33"/>
      <c r="G146" s="33"/>
    </row>
    <row r="147" spans="2:7">
      <c r="B147" s="610"/>
      <c r="C147" s="12"/>
      <c r="D147" s="33"/>
      <c r="E147" s="33"/>
      <c r="F147" s="33"/>
      <c r="G147" s="33"/>
    </row>
    <row r="148" spans="2:7" ht="1.5" customHeight="1">
      <c r="B148" s="12"/>
      <c r="C148" s="12"/>
      <c r="D148" s="12"/>
      <c r="E148" s="12"/>
      <c r="F148" s="12"/>
      <c r="G148" s="12"/>
    </row>
    <row r="149" spans="2:7">
      <c r="B149" s="610"/>
      <c r="C149" s="12"/>
      <c r="D149" s="6"/>
      <c r="E149" s="6"/>
      <c r="F149" s="6"/>
      <c r="G149" s="6"/>
    </row>
    <row r="150" spans="2:7">
      <c r="B150" s="610"/>
      <c r="C150" s="12"/>
      <c r="D150" s="6"/>
      <c r="E150" s="6"/>
      <c r="F150" s="6"/>
      <c r="G150" s="6"/>
    </row>
    <row r="151" spans="2:7">
      <c r="B151" s="610"/>
      <c r="C151" s="12"/>
      <c r="D151" s="6"/>
      <c r="E151" s="6"/>
      <c r="F151" s="6"/>
      <c r="G151" s="6"/>
    </row>
    <row r="152" spans="2:7">
      <c r="B152" s="610"/>
      <c r="C152" s="12"/>
      <c r="D152" s="6"/>
      <c r="E152" s="6"/>
      <c r="F152" s="6"/>
      <c r="G152" s="6"/>
    </row>
    <row r="153" spans="2:7" ht="15">
      <c r="B153" s="610"/>
      <c r="C153" s="611"/>
      <c r="D153" s="611"/>
      <c r="E153" s="611"/>
      <c r="F153" s="611"/>
      <c r="G153" s="611"/>
    </row>
    <row r="154" spans="2:7">
      <c r="B154" s="610"/>
      <c r="C154" s="12"/>
      <c r="D154" s="33"/>
      <c r="E154" s="33"/>
      <c r="F154" s="33"/>
      <c r="G154" s="33"/>
    </row>
    <row r="155" spans="2:7">
      <c r="B155" s="610"/>
      <c r="C155" s="12"/>
      <c r="D155" s="33"/>
      <c r="E155" s="33"/>
      <c r="F155" s="33"/>
      <c r="G155" s="33"/>
    </row>
    <row r="156" spans="2:7">
      <c r="B156" s="610"/>
      <c r="C156" s="12"/>
      <c r="D156" s="33"/>
      <c r="E156" s="33"/>
      <c r="F156" s="33"/>
      <c r="G156" s="33"/>
    </row>
    <row r="157" spans="2:7" ht="1.5" customHeight="1">
      <c r="B157" s="12"/>
      <c r="C157" s="12"/>
      <c r="D157" s="12"/>
      <c r="E157" s="12"/>
      <c r="F157" s="12"/>
      <c r="G157" s="12"/>
    </row>
    <row r="158" spans="2:7">
      <c r="B158" s="610"/>
      <c r="C158" s="12"/>
      <c r="D158" s="6"/>
      <c r="E158" s="6"/>
      <c r="F158" s="6"/>
      <c r="G158" s="6"/>
    </row>
    <row r="159" spans="2:7">
      <c r="B159" s="610"/>
      <c r="C159" s="12"/>
      <c r="D159" s="6"/>
      <c r="E159" s="6"/>
      <c r="F159" s="6"/>
      <c r="G159" s="6"/>
    </row>
    <row r="160" spans="2:7">
      <c r="B160" s="610"/>
      <c r="C160" s="12"/>
      <c r="D160" s="6"/>
      <c r="E160" s="6"/>
      <c r="F160" s="6"/>
      <c r="G160" s="6"/>
    </row>
    <row r="161" spans="2:7">
      <c r="B161" s="610"/>
      <c r="C161" s="12"/>
      <c r="D161" s="6"/>
      <c r="E161" s="6"/>
      <c r="F161" s="6"/>
      <c r="G161" s="6"/>
    </row>
    <row r="162" spans="2:7" ht="15">
      <c r="B162" s="610"/>
      <c r="C162" s="611"/>
      <c r="D162" s="611"/>
      <c r="E162" s="611"/>
      <c r="F162" s="611"/>
      <c r="G162" s="611"/>
    </row>
    <row r="163" spans="2:7">
      <c r="B163" s="610"/>
      <c r="C163" s="12"/>
      <c r="D163" s="43"/>
      <c r="E163" s="43"/>
      <c r="F163" s="43"/>
      <c r="G163" s="43"/>
    </row>
    <row r="164" spans="2:7">
      <c r="B164" s="610"/>
      <c r="C164" s="12"/>
      <c r="D164" s="43"/>
      <c r="E164" s="43"/>
      <c r="F164" s="43"/>
      <c r="G164" s="43"/>
    </row>
    <row r="165" spans="2:7">
      <c r="B165" s="610"/>
      <c r="C165" s="12"/>
      <c r="D165" s="43"/>
      <c r="E165" s="43"/>
      <c r="F165" s="43"/>
      <c r="G165" s="43"/>
    </row>
    <row r="166" spans="2:7" ht="1.5" customHeight="1">
      <c r="B166" s="12"/>
      <c r="C166" s="12"/>
      <c r="D166" s="12"/>
      <c r="E166" s="12"/>
      <c r="F166" s="12"/>
      <c r="G166" s="12"/>
    </row>
    <row r="167" spans="2:7">
      <c r="B167" s="610"/>
      <c r="C167" s="12"/>
      <c r="D167" s="6"/>
      <c r="E167" s="6"/>
      <c r="F167" s="6"/>
      <c r="G167" s="6"/>
    </row>
    <row r="168" spans="2:7">
      <c r="B168" s="610"/>
      <c r="C168" s="12"/>
      <c r="D168" s="6"/>
      <c r="E168" s="6"/>
      <c r="F168" s="6"/>
      <c r="G168" s="6"/>
    </row>
    <row r="169" spans="2:7">
      <c r="B169" s="610"/>
      <c r="C169" s="12"/>
      <c r="D169" s="6"/>
      <c r="E169" s="6"/>
      <c r="F169" s="6"/>
      <c r="G169" s="6"/>
    </row>
    <row r="170" spans="2:7">
      <c r="B170" s="610"/>
      <c r="C170" s="12"/>
      <c r="D170" s="6"/>
      <c r="E170" s="6"/>
      <c r="F170" s="6"/>
      <c r="G170" s="6"/>
    </row>
    <row r="171" spans="2:7" ht="15">
      <c r="B171" s="610"/>
      <c r="C171" s="611"/>
      <c r="D171" s="611"/>
      <c r="E171" s="611"/>
      <c r="F171" s="611"/>
      <c r="G171" s="611"/>
    </row>
    <row r="172" spans="2:7">
      <c r="B172" s="610"/>
      <c r="C172" s="12"/>
      <c r="D172" s="33"/>
      <c r="E172" s="33"/>
      <c r="F172" s="33"/>
      <c r="G172" s="33"/>
    </row>
    <row r="173" spans="2:7">
      <c r="B173" s="610"/>
      <c r="C173" s="12"/>
      <c r="D173" s="33"/>
      <c r="E173" s="33"/>
      <c r="F173" s="33"/>
      <c r="G173" s="33"/>
    </row>
    <row r="174" spans="2:7">
      <c r="B174" s="610"/>
      <c r="C174" s="12"/>
      <c r="D174" s="33"/>
      <c r="E174" s="33"/>
      <c r="F174" s="33"/>
      <c r="G174" s="33"/>
    </row>
    <row r="175" spans="2:7" ht="1.5" customHeight="1">
      <c r="B175" s="12"/>
      <c r="C175" s="12"/>
      <c r="D175" s="12"/>
      <c r="E175" s="12"/>
      <c r="F175" s="12"/>
      <c r="G175" s="12"/>
    </row>
    <row r="176" spans="2:7">
      <c r="B176" s="610"/>
      <c r="C176" s="12"/>
      <c r="D176" s="6"/>
      <c r="E176" s="6"/>
      <c r="F176" s="6"/>
      <c r="G176" s="6"/>
    </row>
    <row r="177" spans="2:7">
      <c r="B177" s="610"/>
      <c r="C177" s="12"/>
      <c r="D177" s="6"/>
      <c r="E177" s="6"/>
      <c r="F177" s="6"/>
      <c r="G177" s="6"/>
    </row>
    <row r="178" spans="2:7">
      <c r="B178" s="610"/>
      <c r="C178" s="12"/>
      <c r="D178" s="6"/>
      <c r="E178" s="6"/>
      <c r="F178" s="6"/>
      <c r="G178" s="6"/>
    </row>
    <row r="179" spans="2:7">
      <c r="B179" s="610"/>
      <c r="C179" s="12"/>
      <c r="D179" s="6"/>
      <c r="E179" s="6"/>
      <c r="F179" s="6"/>
      <c r="G179" s="6"/>
    </row>
    <row r="180" spans="2:7" ht="15">
      <c r="B180" s="610"/>
      <c r="C180" s="611"/>
      <c r="D180" s="611"/>
      <c r="E180" s="611"/>
      <c r="F180" s="611"/>
      <c r="G180" s="611"/>
    </row>
    <row r="181" spans="2:7">
      <c r="B181" s="610"/>
      <c r="C181" s="12"/>
      <c r="D181" s="33"/>
      <c r="E181" s="33"/>
      <c r="F181" s="33"/>
      <c r="G181" s="12"/>
    </row>
    <row r="182" spans="2:7">
      <c r="B182" s="610"/>
      <c r="C182" s="12"/>
      <c r="D182" s="33"/>
      <c r="E182" s="33"/>
      <c r="F182" s="33"/>
      <c r="G182" s="12"/>
    </row>
    <row r="183" spans="2:7">
      <c r="B183" s="610"/>
      <c r="C183" s="12"/>
      <c r="D183" s="33"/>
      <c r="E183" s="33"/>
      <c r="F183" s="33"/>
      <c r="G183" s="12"/>
    </row>
    <row r="184" spans="2:7" ht="1.5" customHeight="1">
      <c r="B184" s="12"/>
      <c r="C184" s="12"/>
      <c r="D184" s="12"/>
      <c r="E184" s="12"/>
      <c r="F184" s="12"/>
      <c r="G184" s="12"/>
    </row>
    <row r="185" spans="2:7">
      <c r="B185" s="610"/>
      <c r="C185" s="12"/>
      <c r="D185" s="6"/>
      <c r="E185" s="6"/>
      <c r="F185" s="6"/>
      <c r="G185" s="6"/>
    </row>
    <row r="186" spans="2:7">
      <c r="B186" s="610"/>
      <c r="C186" s="12"/>
      <c r="D186" s="6"/>
      <c r="E186" s="6"/>
      <c r="F186" s="6"/>
      <c r="G186" s="6"/>
    </row>
    <row r="187" spans="2:7">
      <c r="B187" s="610"/>
      <c r="C187" s="12"/>
      <c r="D187" s="6"/>
      <c r="E187" s="6"/>
      <c r="F187" s="6"/>
      <c r="G187" s="6"/>
    </row>
    <row r="188" spans="2:7">
      <c r="B188" s="610"/>
      <c r="C188" s="12"/>
      <c r="D188" s="6"/>
      <c r="E188" s="6"/>
      <c r="F188" s="6"/>
      <c r="G188" s="12"/>
    </row>
    <row r="189" spans="2:7" ht="15">
      <c r="B189" s="610"/>
      <c r="C189" s="611"/>
      <c r="D189" s="611"/>
      <c r="E189" s="611"/>
      <c r="F189" s="611"/>
      <c r="G189" s="611"/>
    </row>
    <row r="190" spans="2:7">
      <c r="B190" s="610"/>
      <c r="C190" s="12"/>
      <c r="D190" s="33"/>
      <c r="E190" s="33"/>
      <c r="F190" s="33"/>
      <c r="G190" s="33"/>
    </row>
    <row r="191" spans="2:7">
      <c r="B191" s="610"/>
      <c r="C191" s="12"/>
      <c r="D191" s="33"/>
      <c r="E191" s="33"/>
      <c r="F191" s="33"/>
      <c r="G191" s="33"/>
    </row>
    <row r="192" spans="2:7">
      <c r="B192" s="610"/>
      <c r="C192" s="12"/>
      <c r="D192" s="33"/>
      <c r="E192" s="33"/>
      <c r="F192" s="33"/>
      <c r="G192" s="33"/>
    </row>
    <row r="193" spans="2:7" ht="1.5" customHeight="1">
      <c r="B193" s="12"/>
      <c r="C193" s="12"/>
      <c r="D193" s="33"/>
      <c r="E193" s="33"/>
      <c r="F193" s="33"/>
      <c r="G193" s="33"/>
    </row>
    <row r="194" spans="2:7">
      <c r="B194" s="610"/>
      <c r="C194" s="12"/>
      <c r="D194" s="6"/>
      <c r="E194" s="6"/>
      <c r="F194" s="6"/>
      <c r="G194" s="6"/>
    </row>
    <row r="195" spans="2:7">
      <c r="B195" s="610"/>
      <c r="C195" s="12"/>
      <c r="D195" s="6"/>
      <c r="E195" s="6"/>
      <c r="F195" s="6"/>
      <c r="G195" s="6"/>
    </row>
    <row r="196" spans="2:7">
      <c r="B196" s="610"/>
      <c r="C196" s="12"/>
      <c r="D196" s="6"/>
      <c r="E196" s="6"/>
      <c r="F196" s="6"/>
      <c r="G196" s="12"/>
    </row>
    <row r="197" spans="2:7">
      <c r="B197" s="610"/>
      <c r="C197" s="12"/>
      <c r="D197" s="6"/>
      <c r="E197" s="6"/>
      <c r="F197" s="6"/>
      <c r="G197" s="6"/>
    </row>
    <row r="198" spans="2:7" ht="15">
      <c r="B198" s="610"/>
      <c r="C198" s="611"/>
      <c r="D198" s="611"/>
      <c r="E198" s="611"/>
      <c r="F198" s="611"/>
      <c r="G198" s="611"/>
    </row>
    <row r="199" spans="2:7">
      <c r="B199" s="610"/>
      <c r="C199" s="12"/>
      <c r="D199" s="33"/>
      <c r="E199" s="33"/>
      <c r="F199" s="33"/>
      <c r="G199" s="12"/>
    </row>
    <row r="200" spans="2:7">
      <c r="B200" s="610"/>
      <c r="C200" s="12"/>
      <c r="D200" s="33"/>
      <c r="E200" s="33"/>
      <c r="F200" s="33"/>
      <c r="G200" s="12"/>
    </row>
    <row r="201" spans="2:7">
      <c r="B201" s="610"/>
      <c r="C201" s="12"/>
      <c r="D201" s="33"/>
      <c r="E201" s="33"/>
      <c r="F201" s="33"/>
      <c r="G201" s="12"/>
    </row>
    <row r="202" spans="2:7" ht="1.5" customHeight="1">
      <c r="B202" s="12"/>
      <c r="C202" s="12"/>
      <c r="D202" s="12"/>
      <c r="E202" s="12"/>
      <c r="F202" s="12"/>
      <c r="G202" s="12"/>
    </row>
    <row r="203" spans="2:7">
      <c r="B203" s="610"/>
      <c r="C203" s="12"/>
      <c r="D203" s="6"/>
      <c r="E203" s="6"/>
      <c r="F203" s="6"/>
      <c r="G203" s="6"/>
    </row>
    <row r="204" spans="2:7">
      <c r="B204" s="610"/>
      <c r="C204" s="12"/>
      <c r="D204" s="6"/>
      <c r="E204" s="6"/>
      <c r="F204" s="6"/>
      <c r="G204" s="6"/>
    </row>
    <row r="205" spans="2:7">
      <c r="B205" s="610"/>
      <c r="C205" s="12"/>
      <c r="D205" s="6"/>
      <c r="E205" s="6"/>
      <c r="F205" s="6"/>
      <c r="G205" s="6"/>
    </row>
    <row r="206" spans="2:7">
      <c r="B206" s="610"/>
      <c r="C206" s="12"/>
      <c r="D206" s="6"/>
      <c r="E206" s="6"/>
      <c r="F206" s="6"/>
      <c r="G206" s="6"/>
    </row>
    <row r="207" spans="2:7" ht="15">
      <c r="B207" s="610"/>
      <c r="C207" s="611"/>
      <c r="D207" s="611"/>
      <c r="E207" s="611"/>
      <c r="F207" s="611"/>
      <c r="G207" s="611"/>
    </row>
    <row r="208" spans="2:7">
      <c r="B208" s="610"/>
      <c r="C208" s="12"/>
      <c r="D208" s="33"/>
      <c r="E208" s="33"/>
      <c r="F208" s="33"/>
      <c r="G208" s="33"/>
    </row>
    <row r="209" spans="2:7">
      <c r="B209" s="610"/>
      <c r="C209" s="12"/>
      <c r="D209" s="33"/>
      <c r="E209" s="33"/>
      <c r="F209" s="33"/>
      <c r="G209" s="33"/>
    </row>
    <row r="210" spans="2:7">
      <c r="B210" s="610"/>
      <c r="C210" s="12"/>
      <c r="D210" s="33"/>
      <c r="E210" s="33"/>
      <c r="F210" s="33"/>
      <c r="G210" s="33"/>
    </row>
    <row r="211" spans="2:7" ht="1.5" customHeight="1">
      <c r="B211" s="12"/>
      <c r="C211" s="12"/>
      <c r="D211" s="12"/>
      <c r="E211" s="12"/>
      <c r="F211" s="12"/>
      <c r="G211" s="12"/>
    </row>
    <row r="212" spans="2:7">
      <c r="B212" s="610"/>
      <c r="C212" s="12"/>
      <c r="D212" s="6"/>
      <c r="E212" s="6"/>
      <c r="F212" s="6"/>
      <c r="G212" s="12"/>
    </row>
    <row r="213" spans="2:7">
      <c r="B213" s="610"/>
      <c r="C213" s="12"/>
      <c r="D213" s="6"/>
      <c r="E213" s="6"/>
      <c r="F213" s="6"/>
      <c r="G213" s="6"/>
    </row>
    <row r="214" spans="2:7">
      <c r="B214" s="610"/>
      <c r="C214" s="12"/>
      <c r="D214" s="6"/>
      <c r="E214" s="6"/>
      <c r="F214" s="6"/>
      <c r="G214" s="6"/>
    </row>
    <row r="215" spans="2:7">
      <c r="B215" s="610"/>
      <c r="C215" s="12"/>
      <c r="D215" s="6"/>
      <c r="E215" s="6"/>
      <c r="F215" s="6"/>
      <c r="G215" s="6"/>
    </row>
    <row r="216" spans="2:7" ht="15">
      <c r="B216" s="610"/>
      <c r="C216" s="611"/>
      <c r="D216" s="611"/>
      <c r="E216" s="611"/>
      <c r="F216" s="611"/>
      <c r="G216" s="611"/>
    </row>
    <row r="217" spans="2:7">
      <c r="B217" s="610"/>
      <c r="C217" s="12"/>
      <c r="D217" s="33"/>
      <c r="E217" s="33"/>
      <c r="F217" s="33"/>
      <c r="G217" s="6"/>
    </row>
    <row r="218" spans="2:7">
      <c r="B218" s="610"/>
      <c r="C218" s="12"/>
      <c r="D218" s="33"/>
      <c r="E218" s="33"/>
      <c r="F218" s="33"/>
      <c r="G218" s="6"/>
    </row>
    <row r="219" spans="2:7">
      <c r="B219" s="610"/>
      <c r="C219" s="12"/>
      <c r="D219" s="33"/>
      <c r="E219" s="33"/>
      <c r="F219" s="33"/>
      <c r="G219" s="6"/>
    </row>
    <row r="220" spans="2:7" ht="1.5" customHeight="1">
      <c r="B220" s="12"/>
      <c r="C220" s="12"/>
      <c r="D220" s="12"/>
      <c r="E220" s="12"/>
      <c r="F220" s="12"/>
      <c r="G220" s="12"/>
    </row>
    <row r="221" spans="2:7">
      <c r="B221" s="610"/>
      <c r="C221" s="12"/>
      <c r="D221" s="6"/>
      <c r="E221" s="6"/>
      <c r="F221" s="6"/>
      <c r="G221" s="6"/>
    </row>
    <row r="222" spans="2:7">
      <c r="B222" s="610"/>
      <c r="C222" s="12"/>
      <c r="D222" s="6"/>
      <c r="E222" s="6"/>
      <c r="F222" s="6"/>
      <c r="G222" s="6"/>
    </row>
    <row r="223" spans="2:7">
      <c r="B223" s="610"/>
      <c r="C223" s="12"/>
      <c r="D223" s="6"/>
      <c r="E223" s="6"/>
      <c r="F223" s="6"/>
      <c r="G223" s="12"/>
    </row>
    <row r="224" spans="2:7">
      <c r="B224" s="610"/>
      <c r="C224" s="12"/>
      <c r="D224" s="6"/>
      <c r="E224" s="6"/>
      <c r="F224" s="6"/>
      <c r="G224" s="6"/>
    </row>
    <row r="225" spans="2:7" ht="15">
      <c r="B225" s="610"/>
      <c r="C225" s="611"/>
      <c r="D225" s="611"/>
      <c r="E225" s="611"/>
      <c r="F225" s="611"/>
      <c r="G225" s="611"/>
    </row>
    <row r="226" spans="2:7">
      <c r="B226" s="610"/>
      <c r="C226" s="12"/>
      <c r="D226" s="33"/>
      <c r="E226" s="33"/>
      <c r="F226" s="33"/>
      <c r="G226" s="12"/>
    </row>
    <row r="227" spans="2:7">
      <c r="B227" s="610"/>
      <c r="C227" s="12"/>
      <c r="D227" s="33"/>
      <c r="E227" s="33"/>
      <c r="F227" s="33"/>
      <c r="G227" s="12"/>
    </row>
    <row r="228" spans="2:7">
      <c r="B228" s="610"/>
      <c r="C228" s="12"/>
      <c r="D228" s="33"/>
      <c r="E228" s="33"/>
      <c r="F228" s="33"/>
      <c r="G228" s="12"/>
    </row>
    <row r="229" spans="2:7" ht="1.5" customHeight="1">
      <c r="B229" s="12"/>
      <c r="C229" s="12"/>
      <c r="D229" s="12"/>
      <c r="E229" s="12"/>
      <c r="F229" s="12"/>
      <c r="G229" s="12"/>
    </row>
    <row r="230" spans="2:7">
      <c r="B230" s="610"/>
      <c r="C230" s="12"/>
      <c r="D230" s="6"/>
      <c r="E230" s="6"/>
      <c r="F230" s="6"/>
      <c r="G230" s="6"/>
    </row>
    <row r="231" spans="2:7">
      <c r="B231" s="610"/>
      <c r="C231" s="12"/>
      <c r="D231" s="6"/>
      <c r="E231" s="6"/>
      <c r="F231" s="6"/>
      <c r="G231" s="6"/>
    </row>
    <row r="232" spans="2:7">
      <c r="B232" s="610"/>
      <c r="C232" s="12"/>
      <c r="D232" s="6"/>
      <c r="E232" s="6"/>
      <c r="F232" s="6"/>
      <c r="G232" s="6"/>
    </row>
    <row r="233" spans="2:7">
      <c r="B233" s="610"/>
      <c r="C233" s="12"/>
      <c r="D233" s="6"/>
      <c r="E233" s="6"/>
      <c r="F233" s="6"/>
      <c r="G233" s="6"/>
    </row>
    <row r="234" spans="2:7" ht="15">
      <c r="B234" s="610"/>
      <c r="C234" s="611"/>
      <c r="D234" s="611"/>
      <c r="E234" s="611"/>
      <c r="F234" s="611"/>
      <c r="G234" s="611"/>
    </row>
    <row r="235" spans="2:7">
      <c r="B235" s="610"/>
      <c r="C235" s="12"/>
      <c r="D235" s="33"/>
      <c r="E235" s="33"/>
      <c r="F235" s="33"/>
      <c r="G235" s="6"/>
    </row>
    <row r="236" spans="2:7">
      <c r="B236" s="610"/>
      <c r="C236" s="12"/>
      <c r="D236" s="33"/>
      <c r="E236" s="33"/>
      <c r="F236" s="33"/>
      <c r="G236" s="6"/>
    </row>
    <row r="237" spans="2:7">
      <c r="B237" s="610"/>
      <c r="C237" s="12"/>
      <c r="D237" s="33"/>
      <c r="E237" s="33"/>
      <c r="F237" s="33"/>
      <c r="G237" s="6"/>
    </row>
    <row r="238" spans="2:7">
      <c r="B238" s="12"/>
      <c r="C238" s="12"/>
      <c r="D238" s="12"/>
      <c r="E238" s="12"/>
      <c r="F238" s="12"/>
      <c r="G238" s="12"/>
    </row>
    <row r="239" spans="2:7">
      <c r="B239" s="610"/>
      <c r="C239" s="12"/>
      <c r="D239" s="6"/>
      <c r="E239" s="6"/>
      <c r="F239" s="6"/>
      <c r="G239" s="6"/>
    </row>
    <row r="240" spans="2:7">
      <c r="B240" s="610"/>
      <c r="C240" s="12"/>
      <c r="D240" s="6"/>
      <c r="E240" s="6"/>
      <c r="F240" s="6"/>
      <c r="G240" s="6"/>
    </row>
    <row r="241" spans="2:7">
      <c r="B241" s="610"/>
      <c r="C241" s="12"/>
      <c r="D241" s="6"/>
      <c r="E241" s="6"/>
      <c r="F241" s="6"/>
      <c r="G241" s="6"/>
    </row>
    <row r="242" spans="2:7">
      <c r="B242" s="610"/>
      <c r="C242" s="12"/>
      <c r="D242" s="6"/>
      <c r="E242" s="6"/>
      <c r="F242" s="6"/>
      <c r="G242" s="6"/>
    </row>
    <row r="243" spans="2:7" ht="15">
      <c r="B243" s="610"/>
      <c r="C243" s="611"/>
      <c r="D243" s="611"/>
      <c r="E243" s="611"/>
      <c r="F243" s="611"/>
      <c r="G243" s="611"/>
    </row>
    <row r="244" spans="2:7">
      <c r="B244" s="610"/>
      <c r="C244" s="12"/>
      <c r="D244" s="33"/>
      <c r="E244" s="33"/>
      <c r="F244" s="33"/>
      <c r="G244" s="12"/>
    </row>
    <row r="245" spans="2:7">
      <c r="B245" s="610"/>
      <c r="C245" s="12"/>
      <c r="D245" s="33"/>
      <c r="E245" s="33"/>
      <c r="F245" s="33"/>
      <c r="G245" s="12"/>
    </row>
    <row r="246" spans="2:7">
      <c r="B246" s="610"/>
      <c r="C246" s="12"/>
      <c r="D246" s="33"/>
      <c r="E246" s="33"/>
      <c r="F246" s="33"/>
      <c r="G246" s="12"/>
    </row>
    <row r="247" spans="2:7" ht="1.5" customHeight="1">
      <c r="B247" s="12"/>
      <c r="C247" s="12"/>
      <c r="D247" s="12"/>
      <c r="E247" s="12"/>
      <c r="F247" s="12"/>
      <c r="G247" s="12"/>
    </row>
    <row r="248" spans="2:7">
      <c r="B248" s="610"/>
      <c r="C248" s="12"/>
      <c r="D248" s="6"/>
      <c r="E248" s="6"/>
      <c r="F248" s="6"/>
      <c r="G248" s="6"/>
    </row>
    <row r="249" spans="2:7">
      <c r="B249" s="610"/>
      <c r="C249" s="12"/>
      <c r="D249" s="6"/>
      <c r="E249" s="6"/>
      <c r="F249" s="6"/>
      <c r="G249" s="6"/>
    </row>
    <row r="250" spans="2:7">
      <c r="B250" s="610"/>
      <c r="C250" s="12"/>
      <c r="D250" s="6"/>
      <c r="E250" s="6"/>
      <c r="F250" s="6"/>
      <c r="G250" s="6"/>
    </row>
    <row r="251" spans="2:7">
      <c r="B251" s="610"/>
      <c r="C251" s="12"/>
      <c r="D251" s="6"/>
      <c r="E251" s="6"/>
      <c r="F251" s="6"/>
      <c r="G251" s="6"/>
    </row>
    <row r="252" spans="2:7" ht="15">
      <c r="B252" s="610"/>
      <c r="C252" s="611"/>
      <c r="D252" s="611"/>
      <c r="E252" s="611"/>
      <c r="F252" s="611"/>
      <c r="G252" s="611"/>
    </row>
    <row r="253" spans="2:7">
      <c r="B253" s="610"/>
      <c r="C253" s="12"/>
      <c r="D253" s="33"/>
      <c r="E253" s="33"/>
      <c r="F253" s="33"/>
      <c r="G253" s="12"/>
    </row>
    <row r="254" spans="2:7">
      <c r="B254" s="610"/>
      <c r="C254" s="12"/>
      <c r="D254" s="33"/>
      <c r="E254" s="33"/>
      <c r="F254" s="33"/>
      <c r="G254" s="12"/>
    </row>
    <row r="255" spans="2:7">
      <c r="B255" s="610"/>
      <c r="C255" s="12"/>
      <c r="D255" s="33"/>
      <c r="E255" s="33"/>
      <c r="F255" s="33"/>
      <c r="G255" s="12"/>
    </row>
    <row r="256" spans="2:7" ht="1.5" customHeight="1">
      <c r="B256" s="12"/>
      <c r="C256" s="12"/>
      <c r="D256" s="12"/>
      <c r="E256" s="12"/>
      <c r="F256" s="12"/>
      <c r="G256" s="12"/>
    </row>
    <row r="257" spans="2:7">
      <c r="B257" s="610"/>
      <c r="C257" s="12"/>
      <c r="D257" s="6"/>
      <c r="E257" s="6"/>
      <c r="F257" s="6"/>
      <c r="G257" s="6"/>
    </row>
    <row r="258" spans="2:7">
      <c r="B258" s="610"/>
      <c r="C258" s="12"/>
      <c r="D258" s="6"/>
      <c r="E258" s="6"/>
      <c r="F258" s="6"/>
      <c r="G258" s="6"/>
    </row>
    <row r="259" spans="2:7">
      <c r="B259" s="610"/>
      <c r="C259" s="12"/>
      <c r="D259" s="6"/>
      <c r="E259" s="6"/>
      <c r="F259" s="6"/>
      <c r="G259" s="6"/>
    </row>
    <row r="260" spans="2:7">
      <c r="B260" s="610"/>
      <c r="C260" s="12"/>
      <c r="D260" s="6"/>
      <c r="E260" s="6"/>
      <c r="F260" s="6"/>
      <c r="G260" s="6"/>
    </row>
    <row r="261" spans="2:7" ht="15">
      <c r="B261" s="610"/>
      <c r="C261" s="611"/>
      <c r="D261" s="611"/>
      <c r="E261" s="611"/>
      <c r="F261" s="611"/>
      <c r="G261" s="611"/>
    </row>
    <row r="262" spans="2:7">
      <c r="B262" s="610"/>
      <c r="C262" s="12"/>
      <c r="D262" s="33"/>
      <c r="E262" s="33"/>
      <c r="F262" s="33"/>
      <c r="G262" s="6"/>
    </row>
    <row r="263" spans="2:7">
      <c r="B263" s="610"/>
      <c r="C263" s="12"/>
      <c r="D263" s="33"/>
      <c r="E263" s="33"/>
      <c r="F263" s="33"/>
      <c r="G263" s="6"/>
    </row>
    <row r="264" spans="2:7">
      <c r="B264" s="610"/>
      <c r="C264" s="12"/>
      <c r="D264" s="33"/>
      <c r="E264" s="33"/>
      <c r="F264" s="33"/>
      <c r="G264" s="6"/>
    </row>
    <row r="265" spans="2:7" ht="1.5" customHeight="1">
      <c r="B265" s="12"/>
      <c r="C265" s="12"/>
      <c r="D265" s="12"/>
      <c r="E265" s="12"/>
      <c r="F265" s="12"/>
      <c r="G265" s="12"/>
    </row>
    <row r="266" spans="2:7">
      <c r="B266" s="610"/>
      <c r="C266" s="12"/>
      <c r="D266" s="6"/>
      <c r="E266" s="6"/>
      <c r="F266" s="6"/>
      <c r="G266" s="6"/>
    </row>
    <row r="267" spans="2:7">
      <c r="B267" s="610"/>
      <c r="C267" s="12"/>
      <c r="D267" s="6"/>
      <c r="E267" s="6"/>
      <c r="F267" s="6"/>
      <c r="G267" s="6"/>
    </row>
    <row r="268" spans="2:7">
      <c r="B268" s="610"/>
      <c r="C268" s="12"/>
      <c r="D268" s="6"/>
      <c r="E268" s="6"/>
      <c r="F268" s="6"/>
      <c r="G268" s="6"/>
    </row>
    <row r="269" spans="2:7">
      <c r="B269" s="610"/>
      <c r="C269" s="12"/>
      <c r="D269" s="6"/>
      <c r="E269" s="6"/>
      <c r="F269" s="6"/>
      <c r="G269" s="6"/>
    </row>
    <row r="270" spans="2:7" ht="15">
      <c r="B270" s="610"/>
      <c r="C270" s="611"/>
      <c r="D270" s="611"/>
      <c r="E270" s="611"/>
      <c r="F270" s="611"/>
      <c r="G270" s="611"/>
    </row>
    <row r="271" spans="2:7">
      <c r="B271" s="610"/>
      <c r="C271" s="12"/>
      <c r="D271" s="33"/>
      <c r="E271" s="33"/>
      <c r="F271" s="33"/>
      <c r="G271" s="12"/>
    </row>
    <row r="272" spans="2:7">
      <c r="B272" s="610"/>
      <c r="C272" s="12"/>
      <c r="D272" s="33"/>
      <c r="E272" s="33"/>
      <c r="F272" s="33"/>
      <c r="G272" s="12"/>
    </row>
    <row r="273" spans="2:7">
      <c r="B273" s="610"/>
      <c r="C273" s="12"/>
      <c r="D273" s="33"/>
      <c r="E273" s="33"/>
      <c r="F273" s="33"/>
      <c r="G273" s="12"/>
    </row>
    <row r="274" spans="2:7" ht="1.5" customHeight="1">
      <c r="B274" s="12"/>
      <c r="C274" s="12"/>
      <c r="D274" s="12"/>
      <c r="E274" s="12"/>
      <c r="F274" s="12"/>
      <c r="G274" s="12"/>
    </row>
    <row r="275" spans="2:7">
      <c r="B275" s="610"/>
      <c r="C275" s="12"/>
      <c r="D275" s="6"/>
      <c r="E275" s="6"/>
      <c r="F275" s="6"/>
      <c r="G275" s="12"/>
    </row>
    <row r="276" spans="2:7">
      <c r="B276" s="610"/>
      <c r="C276" s="12"/>
      <c r="D276" s="6"/>
      <c r="E276" s="6"/>
      <c r="F276" s="6"/>
      <c r="G276" s="12"/>
    </row>
    <row r="277" spans="2:7">
      <c r="B277" s="610"/>
      <c r="C277" s="12"/>
      <c r="D277" s="6"/>
      <c r="E277" s="6"/>
      <c r="F277" s="6"/>
      <c r="G277" s="12"/>
    </row>
    <row r="278" spans="2:7">
      <c r="B278" s="610"/>
      <c r="C278" s="12"/>
      <c r="D278" s="6"/>
      <c r="E278" s="6"/>
      <c r="F278" s="6"/>
      <c r="G278" s="6"/>
    </row>
    <row r="279" spans="2:7" ht="15">
      <c r="B279" s="610"/>
      <c r="C279" s="611"/>
      <c r="D279" s="611"/>
      <c r="E279" s="611"/>
      <c r="F279" s="611"/>
      <c r="G279" s="611"/>
    </row>
    <row r="280" spans="2:7">
      <c r="B280" s="610"/>
      <c r="C280" s="12"/>
      <c r="D280" s="33"/>
      <c r="E280" s="33"/>
      <c r="F280" s="33"/>
      <c r="G280" s="12"/>
    </row>
    <row r="281" spans="2:7">
      <c r="B281" s="610"/>
      <c r="C281" s="12"/>
      <c r="D281" s="33"/>
      <c r="E281" s="33"/>
      <c r="F281" s="33"/>
      <c r="G281" s="12"/>
    </row>
    <row r="282" spans="2:7">
      <c r="B282" s="610"/>
      <c r="C282" s="12"/>
      <c r="D282" s="33"/>
      <c r="E282" s="33"/>
      <c r="F282" s="33"/>
      <c r="G282" s="12"/>
    </row>
    <row r="283" spans="2:7" ht="1.5" customHeight="1">
      <c r="B283" s="12"/>
      <c r="C283" s="12"/>
      <c r="D283" s="12"/>
      <c r="E283" s="12"/>
      <c r="F283" s="12"/>
      <c r="G283" s="12"/>
    </row>
    <row r="284" spans="2:7">
      <c r="B284" s="610"/>
      <c r="C284" s="12"/>
      <c r="D284" s="6"/>
      <c r="E284" s="6"/>
      <c r="F284" s="6"/>
      <c r="G284" s="12"/>
    </row>
    <row r="285" spans="2:7">
      <c r="B285" s="610"/>
      <c r="C285" s="12"/>
      <c r="D285" s="6"/>
      <c r="E285" s="6"/>
      <c r="F285" s="6"/>
      <c r="G285" s="12"/>
    </row>
    <row r="286" spans="2:7">
      <c r="B286" s="610"/>
      <c r="C286" s="12"/>
      <c r="D286" s="6"/>
      <c r="E286" s="6"/>
      <c r="F286" s="6"/>
      <c r="G286" s="12"/>
    </row>
    <row r="287" spans="2:7">
      <c r="B287" s="610"/>
      <c r="C287" s="12"/>
      <c r="D287" s="6"/>
      <c r="E287" s="6"/>
      <c r="F287" s="6"/>
      <c r="G287" s="6"/>
    </row>
    <row r="288" spans="2:7" ht="15">
      <c r="B288" s="610"/>
      <c r="C288" s="611"/>
      <c r="D288" s="611"/>
      <c r="E288" s="611"/>
      <c r="F288" s="611"/>
      <c r="G288" s="611"/>
    </row>
    <row r="289" spans="2:7">
      <c r="B289" s="610"/>
      <c r="C289" s="12"/>
      <c r="D289" s="33"/>
      <c r="E289" s="33"/>
      <c r="F289" s="33"/>
      <c r="G289" s="12"/>
    </row>
    <row r="290" spans="2:7">
      <c r="B290" s="610"/>
      <c r="C290" s="12"/>
      <c r="D290" s="33"/>
      <c r="E290" s="33"/>
      <c r="F290" s="33"/>
      <c r="G290" s="12"/>
    </row>
    <row r="291" spans="2:7">
      <c r="B291" s="610"/>
      <c r="C291" s="12"/>
      <c r="D291" s="33"/>
      <c r="E291" s="33"/>
      <c r="F291" s="33"/>
      <c r="G291" s="12"/>
    </row>
    <row r="292" spans="2:7" ht="1.5" customHeight="1">
      <c r="B292" s="12"/>
      <c r="C292" s="12"/>
      <c r="D292" s="12"/>
      <c r="E292" s="12"/>
      <c r="F292" s="12"/>
      <c r="G292" s="12"/>
    </row>
    <row r="293" spans="2:7">
      <c r="B293" s="610"/>
      <c r="C293" s="12"/>
      <c r="D293" s="6"/>
      <c r="E293" s="6"/>
      <c r="F293" s="6"/>
      <c r="G293" s="12"/>
    </row>
    <row r="294" spans="2:7">
      <c r="B294" s="610"/>
      <c r="C294" s="12"/>
      <c r="D294" s="6"/>
      <c r="E294" s="6"/>
      <c r="F294" s="6"/>
      <c r="G294" s="12"/>
    </row>
    <row r="295" spans="2:7">
      <c r="B295" s="610"/>
      <c r="C295" s="12"/>
      <c r="D295" s="6"/>
      <c r="E295" s="6"/>
      <c r="F295" s="6"/>
      <c r="G295" s="12"/>
    </row>
    <row r="296" spans="2:7">
      <c r="B296" s="610"/>
      <c r="C296" s="12"/>
      <c r="D296" s="6"/>
      <c r="E296" s="6"/>
      <c r="F296" s="6"/>
      <c r="G296" s="6"/>
    </row>
    <row r="297" spans="2:7" ht="15">
      <c r="B297" s="610"/>
      <c r="C297" s="611"/>
      <c r="D297" s="611"/>
      <c r="E297" s="611"/>
      <c r="F297" s="611"/>
      <c r="G297" s="611"/>
    </row>
    <row r="298" spans="2:7">
      <c r="B298" s="610"/>
      <c r="C298" s="12"/>
      <c r="D298" s="33"/>
      <c r="E298" s="33"/>
      <c r="F298" s="33"/>
      <c r="G298" s="12"/>
    </row>
    <row r="299" spans="2:7">
      <c r="B299" s="610"/>
      <c r="C299" s="12"/>
      <c r="D299" s="33"/>
      <c r="E299" s="33"/>
      <c r="F299" s="33"/>
      <c r="G299" s="12"/>
    </row>
    <row r="300" spans="2:7">
      <c r="B300" s="610"/>
      <c r="C300" s="12"/>
      <c r="D300" s="33"/>
      <c r="E300" s="33"/>
      <c r="F300" s="33"/>
      <c r="G300" s="12"/>
    </row>
    <row r="301" spans="2:7" ht="1.5" customHeight="1">
      <c r="B301" s="12"/>
      <c r="C301" s="12"/>
      <c r="D301" s="12"/>
      <c r="E301" s="12"/>
      <c r="F301" s="12"/>
      <c r="G301" s="12"/>
    </row>
    <row r="302" spans="2:7">
      <c r="B302" s="610"/>
      <c r="C302" s="12"/>
      <c r="D302" s="6"/>
      <c r="E302" s="6"/>
      <c r="F302" s="6"/>
      <c r="G302" s="12"/>
    </row>
    <row r="303" spans="2:7">
      <c r="B303" s="610"/>
      <c r="C303" s="12"/>
      <c r="D303" s="6"/>
      <c r="E303" s="6"/>
      <c r="F303" s="6"/>
      <c r="G303" s="12"/>
    </row>
    <row r="304" spans="2:7">
      <c r="B304" s="610"/>
      <c r="C304" s="12"/>
      <c r="D304" s="6"/>
      <c r="E304" s="6"/>
      <c r="F304" s="6"/>
      <c r="G304" s="12"/>
    </row>
    <row r="305" spans="2:7">
      <c r="B305" s="610"/>
      <c r="C305" s="12"/>
      <c r="D305" s="6"/>
      <c r="E305" s="6"/>
      <c r="F305" s="6"/>
      <c r="G305" s="6"/>
    </row>
    <row r="306" spans="2:7" ht="15">
      <c r="B306" s="610"/>
      <c r="C306" s="611"/>
      <c r="D306" s="611"/>
      <c r="E306" s="611"/>
      <c r="F306" s="611"/>
      <c r="G306" s="611"/>
    </row>
    <row r="307" spans="2:7">
      <c r="B307" s="610"/>
      <c r="C307" s="12"/>
      <c r="D307" s="33"/>
      <c r="E307" s="33"/>
      <c r="F307" s="33"/>
      <c r="G307" s="12"/>
    </row>
    <row r="308" spans="2:7">
      <c r="B308" s="610"/>
      <c r="C308" s="12"/>
      <c r="D308" s="33"/>
      <c r="E308" s="33"/>
      <c r="F308" s="33"/>
      <c r="G308" s="12"/>
    </row>
    <row r="309" spans="2:7">
      <c r="B309" s="610"/>
      <c r="C309" s="12"/>
      <c r="D309" s="33"/>
      <c r="E309" s="33"/>
      <c r="F309" s="33"/>
      <c r="G309" s="12"/>
    </row>
    <row r="310" spans="2:7" ht="1.5" customHeight="1">
      <c r="B310" s="12"/>
      <c r="C310" s="12"/>
      <c r="D310" s="12"/>
      <c r="E310" s="12"/>
      <c r="F310" s="12"/>
      <c r="G310" s="12"/>
    </row>
    <row r="311" spans="2:7">
      <c r="B311" s="610"/>
      <c r="C311" s="12"/>
      <c r="D311" s="6"/>
      <c r="E311" s="6"/>
      <c r="F311" s="6"/>
      <c r="G311" s="12"/>
    </row>
    <row r="312" spans="2:7">
      <c r="B312" s="610"/>
      <c r="C312" s="12"/>
      <c r="D312" s="6"/>
      <c r="E312" s="6"/>
      <c r="F312" s="6"/>
      <c r="G312" s="12"/>
    </row>
    <row r="313" spans="2:7">
      <c r="B313" s="610"/>
      <c r="C313" s="12"/>
      <c r="D313" s="6"/>
      <c r="E313" s="6"/>
      <c r="F313" s="6"/>
      <c r="G313" s="12"/>
    </row>
    <row r="314" spans="2:7">
      <c r="B314" s="610"/>
      <c r="C314" s="12"/>
      <c r="D314" s="6"/>
      <c r="E314" s="6"/>
      <c r="F314" s="6"/>
      <c r="G314" s="6"/>
    </row>
    <row r="315" spans="2:7" ht="15">
      <c r="B315" s="610"/>
      <c r="C315" s="611"/>
      <c r="D315" s="611"/>
      <c r="E315" s="611"/>
      <c r="F315" s="611"/>
      <c r="G315" s="611"/>
    </row>
    <row r="316" spans="2:7">
      <c r="B316" s="610"/>
      <c r="C316" s="12"/>
      <c r="D316" s="33"/>
      <c r="E316" s="33"/>
      <c r="F316" s="33"/>
      <c r="G316" s="12"/>
    </row>
    <row r="317" spans="2:7">
      <c r="B317" s="610"/>
      <c r="C317" s="12"/>
      <c r="D317" s="33"/>
      <c r="E317" s="33"/>
      <c r="F317" s="33"/>
      <c r="G317" s="12"/>
    </row>
    <row r="318" spans="2:7">
      <c r="B318" s="610"/>
      <c r="C318" s="12"/>
      <c r="D318" s="33"/>
      <c r="E318" s="33"/>
      <c r="F318" s="33"/>
      <c r="G318" s="12"/>
    </row>
    <row r="319" spans="2:7" ht="1.5" customHeight="1">
      <c r="B319" s="12"/>
      <c r="C319" s="12"/>
      <c r="D319" s="12"/>
      <c r="E319" s="12"/>
      <c r="F319" s="12"/>
      <c r="G319" s="12"/>
    </row>
    <row r="320" spans="2:7">
      <c r="B320" s="610"/>
      <c r="C320" s="12"/>
      <c r="D320" s="6"/>
      <c r="E320" s="6"/>
      <c r="F320" s="6"/>
      <c r="G320" s="12"/>
    </row>
    <row r="321" spans="2:9">
      <c r="B321" s="610"/>
      <c r="C321" s="12"/>
      <c r="D321" s="6"/>
      <c r="E321" s="6"/>
      <c r="F321" s="6"/>
      <c r="G321" s="12"/>
    </row>
    <row r="322" spans="2:9">
      <c r="B322" s="610"/>
      <c r="C322" s="12"/>
      <c r="D322" s="6"/>
      <c r="E322" s="6"/>
      <c r="F322" s="6"/>
      <c r="G322" s="12"/>
    </row>
    <row r="323" spans="2:9">
      <c r="B323" s="610"/>
      <c r="C323" s="12"/>
      <c r="D323" s="6"/>
      <c r="E323" s="6"/>
      <c r="F323" s="6"/>
      <c r="G323" s="6"/>
    </row>
    <row r="324" spans="2:9" ht="15">
      <c r="B324" s="610"/>
      <c r="C324" s="611"/>
      <c r="D324" s="611"/>
      <c r="E324" s="611"/>
      <c r="F324" s="611"/>
      <c r="G324" s="611"/>
    </row>
    <row r="325" spans="2:9">
      <c r="B325" s="610"/>
      <c r="C325" s="12"/>
      <c r="D325" s="33"/>
      <c r="E325" s="33"/>
      <c r="F325" s="33"/>
      <c r="G325" s="12"/>
    </row>
    <row r="326" spans="2:9">
      <c r="B326" s="610"/>
      <c r="C326" s="12"/>
      <c r="D326" s="33"/>
      <c r="E326" s="33"/>
      <c r="F326" s="33"/>
      <c r="G326" s="12"/>
    </row>
    <row r="327" spans="2:9">
      <c r="B327" s="610"/>
      <c r="C327" s="12"/>
      <c r="D327" s="33"/>
      <c r="E327" s="33"/>
      <c r="F327" s="33"/>
      <c r="G327" s="12"/>
    </row>
    <row r="328" spans="2:9" ht="1.5" customHeight="1">
      <c r="B328" s="12"/>
      <c r="C328" s="12"/>
      <c r="D328" s="12"/>
      <c r="E328" s="12"/>
      <c r="F328" s="12"/>
      <c r="G328" s="12"/>
    </row>
    <row r="329" spans="2:9">
      <c r="B329" s="12"/>
      <c r="C329" s="12"/>
      <c r="D329" s="12"/>
      <c r="E329" s="12"/>
      <c r="F329" s="12"/>
      <c r="G329" s="12"/>
    </row>
    <row r="330" spans="2:9">
      <c r="B330" s="12"/>
      <c r="C330" s="12"/>
      <c r="D330" s="12"/>
      <c r="E330" s="12"/>
      <c r="F330" s="12"/>
      <c r="G330" s="12"/>
    </row>
    <row r="331" spans="2:9" ht="15">
      <c r="B331" s="42"/>
      <c r="C331" s="12"/>
      <c r="D331" s="12"/>
      <c r="E331" s="12"/>
      <c r="F331" s="12"/>
      <c r="G331" s="12"/>
    </row>
    <row r="332" spans="2:9">
      <c r="B332" s="12"/>
      <c r="C332" s="12"/>
      <c r="D332" s="12"/>
      <c r="E332" s="12"/>
      <c r="F332" s="12"/>
      <c r="G332" s="12"/>
    </row>
    <row r="333" spans="2:9" ht="15">
      <c r="B333" s="41"/>
      <c r="C333" s="611"/>
      <c r="D333" s="41"/>
      <c r="E333" s="41"/>
      <c r="F333" s="41"/>
      <c r="G333" s="41"/>
    </row>
    <row r="334" spans="2:9" ht="15">
      <c r="B334" s="28"/>
      <c r="C334" s="611"/>
      <c r="D334" s="41"/>
      <c r="E334" s="41"/>
      <c r="F334" s="41"/>
      <c r="G334" s="41"/>
      <c r="I334" s="44"/>
    </row>
    <row r="335" spans="2:9">
      <c r="B335" s="610"/>
      <c r="C335" s="12"/>
      <c r="D335" s="6"/>
      <c r="E335" s="6"/>
      <c r="F335" s="6"/>
      <c r="G335" s="6"/>
      <c r="I335" s="44"/>
    </row>
    <row r="336" spans="2:9">
      <c r="B336" s="610"/>
      <c r="C336" s="12"/>
      <c r="D336" s="6"/>
      <c r="E336" s="6"/>
      <c r="F336" s="6"/>
      <c r="G336" s="6"/>
      <c r="I336" s="44"/>
    </row>
    <row r="337" spans="2:9">
      <c r="B337" s="610"/>
      <c r="C337" s="12"/>
      <c r="D337" s="6"/>
      <c r="E337" s="6"/>
      <c r="F337" s="6"/>
      <c r="G337" s="6"/>
      <c r="I337" s="44"/>
    </row>
    <row r="338" spans="2:9">
      <c r="B338" s="610"/>
      <c r="C338" s="12"/>
      <c r="D338" s="6"/>
      <c r="E338" s="6"/>
      <c r="F338" s="6"/>
      <c r="G338" s="6"/>
      <c r="I338" s="44"/>
    </row>
    <row r="339" spans="2:9" ht="15">
      <c r="B339" s="610"/>
      <c r="C339" s="611"/>
      <c r="D339" s="611"/>
      <c r="E339" s="611"/>
      <c r="F339" s="611"/>
      <c r="G339" s="611"/>
      <c r="I339" s="44"/>
    </row>
    <row r="340" spans="2:9">
      <c r="B340" s="610"/>
      <c r="C340" s="12"/>
      <c r="D340" s="33"/>
      <c r="E340" s="33"/>
      <c r="F340" s="33"/>
      <c r="G340" s="33"/>
      <c r="I340" s="44"/>
    </row>
    <row r="341" spans="2:9">
      <c r="B341" s="610"/>
      <c r="C341" s="12"/>
      <c r="D341" s="33"/>
      <c r="E341" s="33"/>
      <c r="F341" s="33"/>
      <c r="G341" s="33"/>
    </row>
    <row r="342" spans="2:9">
      <c r="B342" s="610"/>
      <c r="C342" s="12"/>
      <c r="D342" s="33"/>
      <c r="E342" s="33"/>
      <c r="F342" s="33"/>
      <c r="G342" s="33"/>
    </row>
    <row r="343" spans="2:9" ht="1.5" customHeight="1">
      <c r="B343" s="12"/>
      <c r="C343" s="12"/>
      <c r="D343" s="12"/>
      <c r="E343" s="12"/>
      <c r="F343" s="12"/>
      <c r="G343" s="12"/>
    </row>
    <row r="344" spans="2:9">
      <c r="B344" s="610"/>
      <c r="C344" s="12"/>
      <c r="D344" s="6"/>
      <c r="E344" s="6"/>
      <c r="F344" s="6"/>
      <c r="G344" s="6"/>
    </row>
    <row r="345" spans="2:9">
      <c r="B345" s="610"/>
      <c r="C345" s="12"/>
      <c r="D345" s="6"/>
      <c r="E345" s="6"/>
      <c r="F345" s="6"/>
      <c r="G345" s="6"/>
    </row>
    <row r="346" spans="2:9">
      <c r="B346" s="610"/>
      <c r="C346" s="12"/>
      <c r="D346" s="6"/>
      <c r="E346" s="6"/>
      <c r="F346" s="6"/>
      <c r="G346" s="6"/>
    </row>
    <row r="347" spans="2:9">
      <c r="B347" s="610"/>
      <c r="C347" s="12"/>
      <c r="D347" s="6"/>
      <c r="E347" s="6"/>
      <c r="F347" s="6"/>
      <c r="G347" s="6"/>
    </row>
    <row r="348" spans="2:9" ht="15">
      <c r="B348" s="610"/>
      <c r="C348" s="611"/>
      <c r="D348" s="611"/>
      <c r="E348" s="611"/>
      <c r="F348" s="611"/>
      <c r="G348" s="611"/>
    </row>
    <row r="349" spans="2:9">
      <c r="B349" s="610"/>
      <c r="C349" s="12"/>
      <c r="D349" s="33"/>
      <c r="E349" s="33"/>
      <c r="F349" s="33"/>
      <c r="G349" s="33"/>
    </row>
    <row r="350" spans="2:9">
      <c r="B350" s="610"/>
      <c r="C350" s="12"/>
      <c r="D350" s="33"/>
      <c r="E350" s="33"/>
      <c r="F350" s="33"/>
      <c r="G350" s="33"/>
    </row>
    <row r="351" spans="2:9">
      <c r="B351" s="610"/>
      <c r="C351" s="12"/>
      <c r="D351" s="33"/>
      <c r="E351" s="33"/>
      <c r="F351" s="33"/>
      <c r="G351" s="33"/>
    </row>
    <row r="352" spans="2:9" ht="1.5" customHeight="1">
      <c r="B352" s="12"/>
      <c r="C352" s="12"/>
      <c r="D352" s="12"/>
      <c r="E352" s="12"/>
      <c r="F352" s="12"/>
      <c r="G352" s="12"/>
    </row>
    <row r="353" spans="2:7">
      <c r="B353" s="610"/>
      <c r="C353" s="12"/>
      <c r="D353" s="6"/>
      <c r="E353" s="6"/>
      <c r="F353" s="6"/>
      <c r="G353" s="6"/>
    </row>
    <row r="354" spans="2:7">
      <c r="B354" s="610"/>
      <c r="C354" s="12"/>
      <c r="D354" s="6"/>
      <c r="E354" s="12"/>
      <c r="F354" s="6"/>
      <c r="G354" s="6"/>
    </row>
    <row r="355" spans="2:7">
      <c r="B355" s="610"/>
      <c r="C355" s="12"/>
      <c r="D355" s="6"/>
      <c r="E355" s="6"/>
      <c r="F355" s="6"/>
      <c r="G355" s="6"/>
    </row>
    <row r="356" spans="2:7">
      <c r="B356" s="610"/>
      <c r="C356" s="12"/>
      <c r="D356" s="6"/>
      <c r="E356" s="6"/>
      <c r="F356" s="6"/>
      <c r="G356" s="6"/>
    </row>
    <row r="357" spans="2:7" ht="15">
      <c r="B357" s="610"/>
      <c r="C357" s="611"/>
      <c r="D357" s="611"/>
      <c r="E357" s="611"/>
      <c r="F357" s="611"/>
      <c r="G357" s="611"/>
    </row>
    <row r="358" spans="2:7">
      <c r="B358" s="610"/>
      <c r="C358" s="12"/>
      <c r="D358" s="33"/>
      <c r="E358" s="33"/>
      <c r="F358" s="33"/>
      <c r="G358" s="33"/>
    </row>
    <row r="359" spans="2:7">
      <c r="B359" s="610"/>
      <c r="C359" s="12"/>
      <c r="D359" s="33"/>
      <c r="E359" s="33"/>
      <c r="F359" s="33"/>
      <c r="G359" s="33"/>
    </row>
    <row r="360" spans="2:7">
      <c r="B360" s="610"/>
      <c r="C360" s="12"/>
      <c r="D360" s="33"/>
      <c r="E360" s="33"/>
      <c r="F360" s="33"/>
      <c r="G360" s="33"/>
    </row>
    <row r="361" spans="2:7" ht="1.5" customHeight="1">
      <c r="B361" s="12"/>
      <c r="C361" s="12"/>
      <c r="D361" s="12"/>
      <c r="E361" s="12"/>
      <c r="F361" s="12"/>
      <c r="G361" s="12"/>
    </row>
    <row r="362" spans="2:7">
      <c r="B362" s="610"/>
      <c r="C362" s="12"/>
      <c r="D362" s="6"/>
      <c r="E362" s="6"/>
      <c r="F362" s="6"/>
      <c r="G362" s="6"/>
    </row>
    <row r="363" spans="2:7">
      <c r="B363" s="610"/>
      <c r="C363" s="12"/>
      <c r="D363" s="6"/>
      <c r="E363" s="6"/>
      <c r="F363" s="6"/>
      <c r="G363" s="6"/>
    </row>
    <row r="364" spans="2:7">
      <c r="B364" s="610"/>
      <c r="C364" s="12"/>
      <c r="D364" s="6"/>
      <c r="E364" s="6"/>
      <c r="F364" s="6"/>
      <c r="G364" s="6"/>
    </row>
    <row r="365" spans="2:7">
      <c r="B365" s="610"/>
      <c r="C365" s="12"/>
      <c r="D365" s="6"/>
      <c r="E365" s="6"/>
      <c r="F365" s="6"/>
      <c r="G365" s="6"/>
    </row>
    <row r="366" spans="2:7" ht="15">
      <c r="B366" s="610"/>
      <c r="C366" s="611"/>
      <c r="D366" s="611"/>
      <c r="E366" s="611"/>
      <c r="F366" s="611"/>
      <c r="G366" s="611"/>
    </row>
    <row r="367" spans="2:7">
      <c r="B367" s="610"/>
      <c r="C367" s="12"/>
      <c r="D367" s="33"/>
      <c r="E367" s="33"/>
      <c r="F367" s="33"/>
      <c r="G367" s="33"/>
    </row>
    <row r="368" spans="2:7">
      <c r="B368" s="610"/>
      <c r="C368" s="12"/>
      <c r="D368" s="33"/>
      <c r="E368" s="33"/>
      <c r="F368" s="33"/>
      <c r="G368" s="33"/>
    </row>
    <row r="369" spans="2:7">
      <c r="B369" s="610"/>
      <c r="C369" s="12"/>
      <c r="D369" s="33"/>
      <c r="E369" s="33"/>
      <c r="F369" s="33"/>
      <c r="G369" s="33"/>
    </row>
    <row r="370" spans="2:7" ht="1.5" customHeight="1">
      <c r="B370" s="12"/>
      <c r="C370" s="12"/>
      <c r="D370" s="12"/>
      <c r="E370" s="12"/>
      <c r="F370" s="12"/>
      <c r="G370" s="12"/>
    </row>
    <row r="371" spans="2:7">
      <c r="B371" s="610"/>
      <c r="C371" s="12"/>
      <c r="D371" s="6"/>
      <c r="E371" s="6"/>
      <c r="F371" s="6"/>
      <c r="G371" s="6"/>
    </row>
    <row r="372" spans="2:7">
      <c r="B372" s="610"/>
      <c r="C372" s="12"/>
      <c r="D372" s="6"/>
      <c r="E372" s="6"/>
      <c r="F372" s="6"/>
      <c r="G372" s="6"/>
    </row>
    <row r="373" spans="2:7">
      <c r="B373" s="610"/>
      <c r="C373" s="12"/>
      <c r="D373" s="6"/>
      <c r="E373" s="6"/>
      <c r="F373" s="6"/>
      <c r="G373" s="6"/>
    </row>
    <row r="374" spans="2:7">
      <c r="B374" s="610"/>
      <c r="C374" s="12"/>
      <c r="D374" s="6"/>
      <c r="E374" s="6"/>
      <c r="F374" s="6"/>
      <c r="G374" s="6"/>
    </row>
    <row r="375" spans="2:7" ht="15">
      <c r="B375" s="610"/>
      <c r="C375" s="611"/>
      <c r="D375" s="611"/>
      <c r="E375" s="611"/>
      <c r="F375" s="611"/>
      <c r="G375" s="611"/>
    </row>
    <row r="376" spans="2:7">
      <c r="B376" s="610"/>
      <c r="C376" s="12"/>
      <c r="D376" s="33"/>
      <c r="E376" s="33"/>
      <c r="F376" s="33"/>
      <c r="G376" s="33"/>
    </row>
    <row r="377" spans="2:7">
      <c r="B377" s="610"/>
      <c r="C377" s="12"/>
      <c r="D377" s="33"/>
      <c r="E377" s="33"/>
      <c r="F377" s="33"/>
      <c r="G377" s="33"/>
    </row>
    <row r="378" spans="2:7">
      <c r="B378" s="610"/>
      <c r="C378" s="12"/>
      <c r="D378" s="33"/>
      <c r="E378" s="33"/>
      <c r="F378" s="33"/>
      <c r="G378" s="33"/>
    </row>
    <row r="379" spans="2:7" ht="1.5" customHeight="1">
      <c r="B379" s="12"/>
      <c r="C379" s="12"/>
      <c r="D379" s="12"/>
      <c r="E379" s="12"/>
      <c r="F379" s="12"/>
      <c r="G379" s="12"/>
    </row>
    <row r="380" spans="2:7">
      <c r="B380" s="610"/>
      <c r="C380" s="12"/>
      <c r="D380" s="6"/>
      <c r="E380" s="6"/>
      <c r="F380" s="6"/>
      <c r="G380" s="6"/>
    </row>
    <row r="381" spans="2:7">
      <c r="B381" s="610"/>
      <c r="C381" s="12"/>
      <c r="D381" s="6"/>
      <c r="E381" s="6"/>
      <c r="F381" s="6"/>
      <c r="G381" s="6"/>
    </row>
    <row r="382" spans="2:7">
      <c r="B382" s="610"/>
      <c r="C382" s="12"/>
      <c r="D382" s="6"/>
      <c r="E382" s="6"/>
      <c r="F382" s="6"/>
      <c r="G382" s="6"/>
    </row>
    <row r="383" spans="2:7">
      <c r="B383" s="610"/>
      <c r="C383" s="12"/>
      <c r="D383" s="6"/>
      <c r="E383" s="6"/>
      <c r="F383" s="6"/>
      <c r="G383" s="6"/>
    </row>
    <row r="384" spans="2:7" ht="15">
      <c r="B384" s="610"/>
      <c r="C384" s="611"/>
      <c r="D384" s="611"/>
      <c r="E384" s="611"/>
      <c r="F384" s="611"/>
      <c r="G384" s="611"/>
    </row>
    <row r="385" spans="2:7">
      <c r="B385" s="610"/>
      <c r="C385" s="12"/>
      <c r="D385" s="33"/>
      <c r="E385" s="33"/>
      <c r="F385" s="33"/>
      <c r="G385" s="33"/>
    </row>
    <row r="386" spans="2:7">
      <c r="B386" s="610"/>
      <c r="C386" s="12"/>
      <c r="D386" s="33"/>
      <c r="E386" s="33"/>
      <c r="F386" s="33"/>
      <c r="G386" s="33"/>
    </row>
    <row r="387" spans="2:7">
      <c r="B387" s="610"/>
      <c r="C387" s="12"/>
      <c r="D387" s="33"/>
      <c r="E387" s="33"/>
      <c r="F387" s="33"/>
      <c r="G387" s="33"/>
    </row>
    <row r="388" spans="2:7" ht="1.5" customHeight="1">
      <c r="B388" s="12"/>
      <c r="C388" s="12"/>
      <c r="D388" s="12"/>
      <c r="E388" s="12"/>
      <c r="F388" s="12"/>
      <c r="G388" s="12"/>
    </row>
    <row r="389" spans="2:7">
      <c r="B389" s="610"/>
      <c r="C389" s="12"/>
      <c r="D389" s="6"/>
      <c r="E389" s="6"/>
      <c r="F389" s="6"/>
      <c r="G389" s="6"/>
    </row>
    <row r="390" spans="2:7">
      <c r="B390" s="610"/>
      <c r="C390" s="12"/>
      <c r="D390" s="6"/>
      <c r="E390" s="6"/>
      <c r="F390" s="6"/>
      <c r="G390" s="6"/>
    </row>
    <row r="391" spans="2:7">
      <c r="B391" s="610"/>
      <c r="C391" s="12"/>
      <c r="D391" s="6"/>
      <c r="E391" s="6"/>
      <c r="F391" s="6"/>
      <c r="G391" s="6"/>
    </row>
    <row r="392" spans="2:7">
      <c r="B392" s="610"/>
      <c r="C392" s="12"/>
      <c r="D392" s="6"/>
      <c r="E392" s="6"/>
      <c r="F392" s="6"/>
      <c r="G392" s="6"/>
    </row>
    <row r="393" spans="2:7" ht="15">
      <c r="B393" s="610"/>
      <c r="C393" s="611"/>
      <c r="D393" s="611"/>
      <c r="E393" s="611"/>
      <c r="F393" s="611"/>
      <c r="G393" s="611"/>
    </row>
    <row r="394" spans="2:7">
      <c r="B394" s="610"/>
      <c r="C394" s="12"/>
      <c r="D394" s="33"/>
      <c r="E394" s="33"/>
      <c r="F394" s="33"/>
      <c r="G394" s="33"/>
    </row>
    <row r="395" spans="2:7">
      <c r="B395" s="610"/>
      <c r="C395" s="12"/>
      <c r="D395" s="33"/>
      <c r="E395" s="33"/>
      <c r="F395" s="33"/>
      <c r="G395" s="33"/>
    </row>
    <row r="396" spans="2:7">
      <c r="B396" s="610"/>
      <c r="C396" s="12"/>
      <c r="D396" s="33"/>
      <c r="E396" s="33"/>
      <c r="F396" s="33"/>
      <c r="G396" s="33"/>
    </row>
    <row r="397" spans="2:7" ht="1.5" customHeight="1">
      <c r="B397" s="12"/>
      <c r="C397" s="12"/>
      <c r="D397" s="12"/>
      <c r="E397" s="12"/>
      <c r="F397" s="12"/>
      <c r="G397" s="12"/>
    </row>
    <row r="398" spans="2:7">
      <c r="B398" s="12"/>
      <c r="C398" s="12"/>
      <c r="D398" s="12"/>
      <c r="E398" s="12"/>
      <c r="F398" s="12"/>
      <c r="G398" s="12"/>
    </row>
    <row r="399" spans="2:7">
      <c r="B399" s="12"/>
      <c r="C399" s="12"/>
      <c r="D399" s="12"/>
      <c r="E399" s="12"/>
      <c r="F399" s="12"/>
      <c r="G399" s="12"/>
    </row>
    <row r="400" spans="2:7">
      <c r="B400" s="12"/>
      <c r="C400" s="12"/>
      <c r="D400" s="12"/>
      <c r="E400" s="12"/>
      <c r="F400" s="12"/>
      <c r="G400" s="12"/>
    </row>
    <row r="401" spans="2:7">
      <c r="B401" s="12"/>
      <c r="C401" s="12"/>
      <c r="D401" s="12"/>
      <c r="E401" s="12"/>
      <c r="F401" s="12"/>
      <c r="G401" s="12"/>
    </row>
    <row r="402" spans="2:7">
      <c r="B402" s="12"/>
      <c r="C402" s="12"/>
      <c r="D402" s="12"/>
      <c r="E402" s="12"/>
      <c r="F402" s="12"/>
      <c r="G402" s="12"/>
    </row>
    <row r="403" spans="2:7">
      <c r="B403" s="12"/>
      <c r="C403" s="12"/>
      <c r="D403" s="12"/>
      <c r="E403" s="12"/>
      <c r="F403" s="12"/>
      <c r="G403" s="12"/>
    </row>
    <row r="404" spans="2:7">
      <c r="B404" s="12"/>
      <c r="C404" s="12"/>
      <c r="D404" s="12"/>
      <c r="E404" s="12"/>
      <c r="F404" s="12"/>
      <c r="G404" s="12"/>
    </row>
    <row r="405" spans="2:7">
      <c r="B405" s="12"/>
      <c r="C405" s="12"/>
      <c r="D405" s="12"/>
      <c r="E405" s="12"/>
      <c r="F405" s="12"/>
      <c r="G405" s="12"/>
    </row>
    <row r="406" spans="2:7">
      <c r="B406" s="12"/>
      <c r="C406" s="12"/>
      <c r="D406" s="12"/>
      <c r="E406" s="12"/>
      <c r="F406" s="12"/>
      <c r="G406" s="12"/>
    </row>
    <row r="407" spans="2:7">
      <c r="B407" s="12"/>
      <c r="C407" s="12"/>
      <c r="D407" s="12"/>
      <c r="E407" s="12"/>
      <c r="F407" s="12"/>
      <c r="G407" s="12"/>
    </row>
    <row r="408" spans="2:7">
      <c r="B408" s="12"/>
      <c r="C408" s="12"/>
      <c r="D408" s="12"/>
      <c r="E408" s="12"/>
      <c r="F408" s="12"/>
      <c r="G408" s="12"/>
    </row>
    <row r="409" spans="2:7">
      <c r="B409" s="12"/>
      <c r="C409" s="12"/>
      <c r="D409" s="12"/>
      <c r="E409" s="12"/>
      <c r="F409" s="12"/>
      <c r="G409" s="12"/>
    </row>
    <row r="410" spans="2:7">
      <c r="B410" s="12"/>
      <c r="C410" s="12"/>
      <c r="D410" s="12"/>
      <c r="E410" s="12"/>
      <c r="F410" s="12"/>
      <c r="G410" s="12"/>
    </row>
    <row r="411" spans="2:7">
      <c r="B411" s="12"/>
      <c r="C411" s="12"/>
      <c r="D411" s="12"/>
      <c r="E411" s="12"/>
      <c r="F411" s="12"/>
      <c r="G411" s="12"/>
    </row>
    <row r="412" spans="2:7">
      <c r="B412" s="12"/>
      <c r="C412" s="12"/>
      <c r="D412" s="12"/>
      <c r="E412" s="12"/>
      <c r="F412" s="12"/>
      <c r="G412" s="12"/>
    </row>
    <row r="413" spans="2:7">
      <c r="B413" s="12"/>
      <c r="C413" s="12"/>
      <c r="D413" s="12"/>
      <c r="E413" s="12"/>
      <c r="F413" s="12"/>
      <c r="G413" s="12"/>
    </row>
    <row r="414" spans="2:7">
      <c r="B414" s="12"/>
      <c r="C414" s="12"/>
      <c r="D414" s="12"/>
      <c r="E414" s="12"/>
      <c r="F414" s="12"/>
      <c r="G414" s="12"/>
    </row>
    <row r="415" spans="2:7">
      <c r="B415" s="12"/>
      <c r="C415" s="12"/>
      <c r="D415" s="12"/>
      <c r="E415" s="12"/>
      <c r="F415" s="12"/>
      <c r="G415" s="12"/>
    </row>
    <row r="416" spans="2:7">
      <c r="B416" s="12"/>
      <c r="C416" s="12"/>
      <c r="D416" s="12"/>
      <c r="E416" s="12"/>
      <c r="F416" s="12"/>
      <c r="G416" s="12"/>
    </row>
    <row r="417" spans="2:7">
      <c r="B417" s="12"/>
      <c r="C417" s="12"/>
      <c r="D417" s="12"/>
      <c r="E417" s="12"/>
      <c r="F417" s="12"/>
      <c r="G417" s="12"/>
    </row>
    <row r="418" spans="2:7">
      <c r="B418" s="12"/>
      <c r="C418" s="12"/>
      <c r="D418" s="12"/>
      <c r="E418" s="12"/>
      <c r="F418" s="12"/>
      <c r="G418" s="12"/>
    </row>
    <row r="419" spans="2:7">
      <c r="B419" s="12"/>
      <c r="C419" s="12"/>
      <c r="D419" s="12"/>
      <c r="E419" s="12"/>
      <c r="F419" s="12"/>
      <c r="G419" s="12"/>
    </row>
    <row r="420" spans="2:7">
      <c r="B420" s="12"/>
      <c r="C420" s="12"/>
      <c r="D420" s="12"/>
      <c r="E420" s="12"/>
      <c r="F420" s="12"/>
      <c r="G420" s="12"/>
    </row>
    <row r="421" spans="2:7">
      <c r="B421" s="12"/>
      <c r="C421" s="12"/>
      <c r="D421" s="12"/>
      <c r="E421" s="12"/>
      <c r="F421" s="12"/>
      <c r="G421" s="12"/>
    </row>
    <row r="422" spans="2:7">
      <c r="B422" s="12"/>
      <c r="C422" s="12"/>
      <c r="D422" s="12"/>
      <c r="E422" s="12"/>
      <c r="F422" s="12"/>
      <c r="G422" s="12"/>
    </row>
    <row r="423" spans="2:7">
      <c r="B423" s="12"/>
      <c r="C423" s="12"/>
      <c r="D423" s="12"/>
      <c r="E423" s="12"/>
      <c r="F423" s="12"/>
      <c r="G423" s="12"/>
    </row>
    <row r="424" spans="2:7">
      <c r="B424" s="12"/>
      <c r="C424" s="12"/>
      <c r="D424" s="12"/>
      <c r="E424" s="12"/>
      <c r="F424" s="12"/>
      <c r="G424" s="12"/>
    </row>
    <row r="425" spans="2:7">
      <c r="B425" s="12"/>
      <c r="C425" s="12"/>
      <c r="D425" s="12"/>
      <c r="E425" s="12"/>
      <c r="F425" s="12"/>
      <c r="G425" s="12"/>
    </row>
    <row r="426" spans="2:7">
      <c r="B426" s="12"/>
      <c r="C426" s="12"/>
      <c r="D426" s="12"/>
      <c r="E426" s="12"/>
      <c r="F426" s="12"/>
      <c r="G426" s="12"/>
    </row>
    <row r="427" spans="2:7">
      <c r="B427" s="12"/>
      <c r="C427" s="12"/>
      <c r="D427" s="12"/>
      <c r="E427" s="12"/>
      <c r="F427" s="12"/>
      <c r="G427" s="12"/>
    </row>
    <row r="428" spans="2:7">
      <c r="B428" s="12"/>
      <c r="C428" s="12"/>
      <c r="D428" s="12"/>
      <c r="E428" s="12"/>
      <c r="F428" s="12"/>
      <c r="G428" s="12"/>
    </row>
    <row r="429" spans="2:7">
      <c r="B429" s="12"/>
      <c r="C429" s="12"/>
      <c r="D429" s="12"/>
      <c r="E429" s="12"/>
      <c r="F429" s="12"/>
      <c r="G429" s="12"/>
    </row>
    <row r="430" spans="2:7">
      <c r="B430" s="12"/>
      <c r="C430" s="12"/>
      <c r="D430" s="12"/>
      <c r="E430" s="12"/>
      <c r="F430" s="12"/>
      <c r="G430" s="12"/>
    </row>
    <row r="431" spans="2:7">
      <c r="B431" s="12"/>
      <c r="C431" s="12"/>
      <c r="D431" s="12"/>
      <c r="E431" s="12"/>
      <c r="F431" s="12"/>
      <c r="G431" s="12"/>
    </row>
  </sheetData>
  <mergeCells count="85">
    <mergeCell ref="B371:B378"/>
    <mergeCell ref="C375:G375"/>
    <mergeCell ref="B380:B387"/>
    <mergeCell ref="C384:G384"/>
    <mergeCell ref="B389:B396"/>
    <mergeCell ref="C393:G393"/>
    <mergeCell ref="B344:B351"/>
    <mergeCell ref="C348:G348"/>
    <mergeCell ref="B353:B360"/>
    <mergeCell ref="C357:G357"/>
    <mergeCell ref="B362:B369"/>
    <mergeCell ref="C366:G366"/>
    <mergeCell ref="C333:C334"/>
    <mergeCell ref="B335:B342"/>
    <mergeCell ref="C339:G339"/>
    <mergeCell ref="B302:B309"/>
    <mergeCell ref="C306:G306"/>
    <mergeCell ref="B311:B318"/>
    <mergeCell ref="C315:G315"/>
    <mergeCell ref="B320:B327"/>
    <mergeCell ref="C324:G324"/>
    <mergeCell ref="B275:B282"/>
    <mergeCell ref="C279:G279"/>
    <mergeCell ref="B284:B291"/>
    <mergeCell ref="C288:G288"/>
    <mergeCell ref="B293:B300"/>
    <mergeCell ref="C297:G297"/>
    <mergeCell ref="B248:B255"/>
    <mergeCell ref="C252:G252"/>
    <mergeCell ref="B257:B264"/>
    <mergeCell ref="C261:G261"/>
    <mergeCell ref="B266:B273"/>
    <mergeCell ref="C270:G270"/>
    <mergeCell ref="B221:B228"/>
    <mergeCell ref="C225:G225"/>
    <mergeCell ref="B230:B237"/>
    <mergeCell ref="C234:G234"/>
    <mergeCell ref="B239:B246"/>
    <mergeCell ref="C243:G243"/>
    <mergeCell ref="B194:B201"/>
    <mergeCell ref="C198:G198"/>
    <mergeCell ref="B203:B210"/>
    <mergeCell ref="C207:G207"/>
    <mergeCell ref="B212:B219"/>
    <mergeCell ref="C216:G216"/>
    <mergeCell ref="B167:B174"/>
    <mergeCell ref="C171:G171"/>
    <mergeCell ref="B176:B183"/>
    <mergeCell ref="C180:G180"/>
    <mergeCell ref="B185:B192"/>
    <mergeCell ref="C189:G189"/>
    <mergeCell ref="C138:C139"/>
    <mergeCell ref="B140:B147"/>
    <mergeCell ref="C144:G144"/>
    <mergeCell ref="B149:B156"/>
    <mergeCell ref="C153:G153"/>
    <mergeCell ref="B158:B165"/>
    <mergeCell ref="C162:G162"/>
    <mergeCell ref="B4:B5"/>
    <mergeCell ref="B14:F14"/>
    <mergeCell ref="B26:B33"/>
    <mergeCell ref="C30:G30"/>
    <mergeCell ref="B35:B42"/>
    <mergeCell ref="C39:G39"/>
    <mergeCell ref="B138:B139"/>
    <mergeCell ref="B44:B51"/>
    <mergeCell ref="C48:G48"/>
    <mergeCell ref="B53:B60"/>
    <mergeCell ref="C57:G57"/>
    <mergeCell ref="B62:B69"/>
    <mergeCell ref="C66:G66"/>
    <mergeCell ref="B71:B78"/>
    <mergeCell ref="C75:G75"/>
    <mergeCell ref="B80:B87"/>
    <mergeCell ref="C84:G84"/>
    <mergeCell ref="B89:B96"/>
    <mergeCell ref="C93:G93"/>
    <mergeCell ref="B125:B132"/>
    <mergeCell ref="C129:G129"/>
    <mergeCell ref="B98:B105"/>
    <mergeCell ref="C102:G102"/>
    <mergeCell ref="B107:B114"/>
    <mergeCell ref="C111:G111"/>
    <mergeCell ref="B116:B123"/>
    <mergeCell ref="C120:G1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29</vt:i4>
      </vt:variant>
    </vt:vector>
  </HeadingPairs>
  <TitlesOfParts>
    <vt:vector size="29" baseType="lpstr">
      <vt:lpstr>ÍNDICE_TABELA</vt:lpstr>
      <vt:lpstr>A.0 </vt:lpstr>
      <vt:lpstr>A.1 </vt:lpstr>
      <vt:lpstr> A.2 </vt:lpstr>
      <vt:lpstr>A.3</vt:lpstr>
      <vt:lpstr>A.3.1</vt:lpstr>
      <vt:lpstr>A.3.2 </vt:lpstr>
      <vt:lpstr>A.4 </vt:lpstr>
      <vt:lpstr>A.5</vt:lpstr>
      <vt:lpstr>A.5.1 </vt:lpstr>
      <vt:lpstr> A.5.2</vt:lpstr>
      <vt:lpstr>A.5.3</vt:lpstr>
      <vt:lpstr> A.6</vt:lpstr>
      <vt:lpstr>A.6.1</vt:lpstr>
      <vt:lpstr>A.6.2</vt:lpstr>
      <vt:lpstr>A.6.3 </vt:lpstr>
      <vt:lpstr>A.7</vt:lpstr>
      <vt:lpstr>A.8 </vt:lpstr>
      <vt:lpstr>A.9</vt:lpstr>
      <vt:lpstr>A.10</vt:lpstr>
      <vt:lpstr>A.11</vt:lpstr>
      <vt:lpstr>A.12</vt:lpstr>
      <vt:lpstr>A.13</vt:lpstr>
      <vt:lpstr>A.14</vt:lpstr>
      <vt:lpstr>A.15</vt:lpstr>
      <vt:lpstr>A15.1</vt:lpstr>
      <vt:lpstr> A.15.2 </vt:lpstr>
      <vt:lpstr>A.15.3</vt:lpstr>
      <vt:lpstr>A.16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 / DNRE - Ana Rocha</dc:creator>
  <cp:keywords/>
  <dc:description/>
  <cp:lastModifiedBy>MF / DNRE - Ana Rocha</cp:lastModifiedBy>
  <cp:lastPrinted>2019-10-10T13:21:48Z</cp:lastPrinted>
  <dcterms:created xsi:type="dcterms:W3CDTF">2019-05-27T11:21:51Z</dcterms:created>
  <dcterms:modified xsi:type="dcterms:W3CDTF">2024-01-23T12:50:31Z</dcterms:modified>
  <cp:category/>
</cp:coreProperties>
</file>