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2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ilete.joia\Documents\SERVIÇO CONTABILIDADE PÚBLICA\SCP_DEZ 2019\NÚCLEO CONTAS\CONTAS\MENSAL\2021\JUL\"/>
    </mc:Choice>
  </mc:AlternateContent>
  <bookViews>
    <workbookView xWindow="0" yWindow="0" windowWidth="20490" windowHeight="8910" firstSheet="2" activeTab="3"/>
  </bookViews>
  <sheets>
    <sheet name="GRAFICO" sheetId="1" r:id="rId1"/>
    <sheet name="Mapa I_ Receitas" sheetId="2" r:id="rId2"/>
    <sheet name="Mapa II_ Despesas" sheetId="3" r:id="rId3"/>
    <sheet name="Mapa XI_ Op. Financeiras" sheetId="4" r:id="rId4"/>
    <sheet name="AI_Mapa Cons. REC_2021" sheetId="6" r:id="rId5"/>
    <sheet name=" AI_Receita DGA jul" sheetId="7" r:id="rId6"/>
    <sheet name=" AI _Execução Despesas jul" sheetId="8" r:id="rId7"/>
    <sheet name="Movi Janeiro a Julho - 2021" sheetId="20" r:id="rId8"/>
    <sheet name="Movi Janeiro a Junho - 2021" sheetId="16" state="hidden" r:id="rId9"/>
    <sheet name="Movi Janeiro a maio - 2021" sheetId="9" state="hidden" r:id="rId10"/>
    <sheet name="DESEMBOLSO 2021 " sheetId="10" r:id="rId11"/>
    <sheet name=" AI _Funcional_Sem Pessoal" sheetId="11" r:id="rId12"/>
    <sheet name="AI_ Abaixo da linha " sheetId="12" r:id="rId13"/>
    <sheet name="AI_Por Regularizar e OPT" sheetId="13" r:id="rId14"/>
    <sheet name="Emp _Maiores Projetos" sheetId="14" state="hidden" r:id="rId15"/>
    <sheet name="PROJ. COVID" sheetId="15" r:id="rId16"/>
    <sheet name="Emprestimos_maiores projetos" sheetId="21" r:id="rId17"/>
  </sheets>
  <externalReferences>
    <externalReference r:id="rId18"/>
    <externalReference r:id="rId19"/>
    <externalReference r:id="rId20"/>
    <externalReference r:id="rId21"/>
  </externalReferences>
  <definedNames>
    <definedName name="_" localSheetId="6" hidden="1">#REF!,#REF!,#REF!,#REF!,#REF!,#REF!,#REF!,#REF!</definedName>
    <definedName name="_" localSheetId="11" hidden="1">#REF!,#REF!,#REF!,#REF!,#REF!,#REF!,#REF!,#REF!</definedName>
    <definedName name="_" localSheetId="5" hidden="1">#REF!,#REF!,#REF!,#REF!,#REF!,#REF!,#REF!,#REF!</definedName>
    <definedName name="_" localSheetId="4" hidden="1">#REF!,#REF!,#REF!,#REF!,#REF!,#REF!,#REF!,#REF!</definedName>
    <definedName name="_" localSheetId="10" hidden="1">#REF!,#REF!,#REF!,#REF!,#REF!,#REF!,#REF!,#REF!</definedName>
    <definedName name="_" hidden="1">#REF!,#REF!,#REF!,#REF!,#REF!,#REF!,#REF!,#REF!</definedName>
    <definedName name="_________OFE2" localSheetId="6" hidden="1">#REF!</definedName>
    <definedName name="_________OFE2" localSheetId="11" hidden="1">#REF!</definedName>
    <definedName name="_________OFE2" localSheetId="5" hidden="1">#REF!</definedName>
    <definedName name="_________OFE2" localSheetId="4" hidden="1">#REF!</definedName>
    <definedName name="_________OFE2" localSheetId="10" hidden="1">#REF!</definedName>
    <definedName name="_________OFE2" hidden="1">#REF!</definedName>
    <definedName name="________OFE2" localSheetId="6" hidden="1">#REF!</definedName>
    <definedName name="________OFE2" localSheetId="11" hidden="1">#REF!</definedName>
    <definedName name="________OFE2" localSheetId="5" hidden="1">#REF!</definedName>
    <definedName name="________OFE2" localSheetId="4" hidden="1">#REF!</definedName>
    <definedName name="________OFE2" localSheetId="10" hidden="1">#REF!</definedName>
    <definedName name="________OFE2" hidden="1">#REF!</definedName>
    <definedName name="_______OFE2" localSheetId="6" hidden="1">#REF!</definedName>
    <definedName name="_______OFE2" localSheetId="11" hidden="1">#REF!</definedName>
    <definedName name="_______OFE2" localSheetId="5" hidden="1">#REF!</definedName>
    <definedName name="_______OFE2" localSheetId="4" hidden="1">#REF!</definedName>
    <definedName name="_______OFE2" localSheetId="10" hidden="1">#REF!</definedName>
    <definedName name="_______OFE2" hidden="1">#REF!</definedName>
    <definedName name="______OFE2" localSheetId="6" hidden="1">#REF!</definedName>
    <definedName name="______OFE2" localSheetId="11" hidden="1">#REF!</definedName>
    <definedName name="______OFE2" localSheetId="5" hidden="1">#REF!</definedName>
    <definedName name="______OFE2" localSheetId="4" hidden="1">#REF!</definedName>
    <definedName name="______OFE2" localSheetId="10" hidden="1">#REF!</definedName>
    <definedName name="______OFE2" hidden="1">#REF!</definedName>
    <definedName name="_____OFE2" localSheetId="6" hidden="1">#REF!</definedName>
    <definedName name="_____OFE2" localSheetId="11" hidden="1">#REF!</definedName>
    <definedName name="_____OFE2" localSheetId="5" hidden="1">#REF!</definedName>
    <definedName name="_____OFE2" localSheetId="4" hidden="1">#REF!</definedName>
    <definedName name="_____OFE2" localSheetId="10" hidden="1">#REF!</definedName>
    <definedName name="_____OFE2" hidden="1">#REF!</definedName>
    <definedName name="____OFE2" localSheetId="6" hidden="1">#REF!</definedName>
    <definedName name="____OFE2" localSheetId="11" hidden="1">#REF!</definedName>
    <definedName name="____OFE2" localSheetId="5" hidden="1">#REF!</definedName>
    <definedName name="____OFE2" localSheetId="4" hidden="1">#REF!</definedName>
    <definedName name="____OFE2" localSheetId="10" hidden="1">#REF!</definedName>
    <definedName name="____OFE2" hidden="1">#REF!</definedName>
    <definedName name="___OFE2" localSheetId="6" hidden="1">#REF!</definedName>
    <definedName name="___OFE2" localSheetId="11" hidden="1">#REF!</definedName>
    <definedName name="___OFE2" localSheetId="5" hidden="1">#REF!</definedName>
    <definedName name="___OFE2" localSheetId="4" hidden="1">#REF!</definedName>
    <definedName name="___OFE2" localSheetId="10" hidden="1">#REF!</definedName>
    <definedName name="___OFE2" hidden="1">#REF!</definedName>
    <definedName name="__1__123Graph_AChart_1A" hidden="1">#REF!</definedName>
    <definedName name="__123Graph_A" hidden="1">#REF!</definedName>
    <definedName name="__123Graph_ACurrent" hidden="1">#REF!</definedName>
    <definedName name="__123Graph_B" hidden="1">#REF!</definedName>
    <definedName name="__123Graph_BCurrent" hidden="1">#REF!</definedName>
    <definedName name="__123Graph_C" localSheetId="6" hidden="1">#REF!</definedName>
    <definedName name="__123Graph_C" localSheetId="11" hidden="1">#REF!</definedName>
    <definedName name="__123Graph_C" localSheetId="5" hidden="1">#REF!</definedName>
    <definedName name="__123Graph_C" localSheetId="4" hidden="1">#REF!</definedName>
    <definedName name="__123Graph_C" localSheetId="10" hidden="1">#REF!</definedName>
    <definedName name="__123Graph_C" hidden="1">#REF!</definedName>
    <definedName name="__123Graph_D" localSheetId="6" hidden="1">#REF!</definedName>
    <definedName name="__123Graph_D" localSheetId="11" hidden="1">#REF!</definedName>
    <definedName name="__123Graph_D" localSheetId="5" hidden="1">#REF!</definedName>
    <definedName name="__123Graph_D" localSheetId="4" hidden="1">#REF!</definedName>
    <definedName name="__123Graph_D" localSheetId="10" hidden="1">#REF!</definedName>
    <definedName name="__123Graph_D" hidden="1">#REF!</definedName>
    <definedName name="__123Graph_E" localSheetId="6" hidden="1">#REF!</definedName>
    <definedName name="__123Graph_E" localSheetId="11" hidden="1">#REF!</definedName>
    <definedName name="__123Graph_E" localSheetId="5" hidden="1">#REF!</definedName>
    <definedName name="__123Graph_E" localSheetId="4" hidden="1">#REF!</definedName>
    <definedName name="__123Graph_E" localSheetId="10" hidden="1">#REF!</definedName>
    <definedName name="__123Graph_E" hidden="1">#REF!</definedName>
    <definedName name="__123Graph_F" localSheetId="6" hidden="1">#REF!</definedName>
    <definedName name="__123Graph_F" localSheetId="11" hidden="1">#REF!</definedName>
    <definedName name="__123Graph_F" localSheetId="5" hidden="1">#REF!</definedName>
    <definedName name="__123Graph_F" localSheetId="4" hidden="1">#REF!</definedName>
    <definedName name="__123Graph_F" localSheetId="10" hidden="1">#REF!</definedName>
    <definedName name="__123Graph_F" hidden="1">#REF!</definedName>
    <definedName name="__123Graph_X" hidden="1">#REF!</definedName>
    <definedName name="__123Graph_XCurrent" hidden="1">#REF!</definedName>
    <definedName name="__2__123Graph_AChart_2A" hidden="1">#REF!</definedName>
    <definedName name="__3__123Graph_AChart_3A" hidden="1">#REF!</definedName>
    <definedName name="__4__123Graph_AChart_4A" hidden="1">#REF!</definedName>
    <definedName name="__5__123Graph_BChart_1A" hidden="1">#REF!</definedName>
    <definedName name="__OFE2" localSheetId="6" hidden="1">#REF!</definedName>
    <definedName name="__OFE2" localSheetId="11" hidden="1">#REF!</definedName>
    <definedName name="__OFE2" localSheetId="5" hidden="1">#REF!</definedName>
    <definedName name="__OFE2" localSheetId="4" hidden="1">#REF!</definedName>
    <definedName name="__OFE2" localSheetId="10" hidden="1">#REF!</definedName>
    <definedName name="__OFE2" hidden="1">#REF!</definedName>
    <definedName name="_1_____123Graph_BChart_3A" localSheetId="6" hidden="1">#REF!</definedName>
    <definedName name="_1_____123Graph_BChart_3A" localSheetId="11" hidden="1">#REF!</definedName>
    <definedName name="_1_____123Graph_BChart_3A" localSheetId="5" hidden="1">#REF!</definedName>
    <definedName name="_1_____123Graph_BChart_3A" localSheetId="4" hidden="1">#REF!</definedName>
    <definedName name="_1_____123Graph_BChart_3A" localSheetId="10" hidden="1">#REF!</definedName>
    <definedName name="_1_____123Graph_BChart_3A" hidden="1">#REF!</definedName>
    <definedName name="_1___123Graph_AChart_1A" hidden="1">#REF!</definedName>
    <definedName name="_1__123Graph_AChart_1A" hidden="1">#REF!</definedName>
    <definedName name="_10____123Graph_XChart_3A" hidden="1">#REF!</definedName>
    <definedName name="_10___123Graph_XChart_1A" hidden="1">#REF!</definedName>
    <definedName name="_10__123Graph_XChart_1A" hidden="1">#REF!</definedName>
    <definedName name="_10__123Graph_XChart_3A" hidden="1">#REF!</definedName>
    <definedName name="_11____123Graph_XChart_4A" hidden="1">#REF!</definedName>
    <definedName name="_11___123Graph_XChart_2A" hidden="1">#REF!</definedName>
    <definedName name="_11__123Graph_BChart_4A" localSheetId="6" hidden="1">#REF!</definedName>
    <definedName name="_11__123Graph_BChart_4A" localSheetId="11" hidden="1">#REF!</definedName>
    <definedName name="_11__123Graph_BChart_4A" localSheetId="5" hidden="1">#REF!</definedName>
    <definedName name="_11__123Graph_BChart_4A" localSheetId="4" hidden="1">#REF!</definedName>
    <definedName name="_11__123Graph_BChart_4A" localSheetId="10" hidden="1">#REF!</definedName>
    <definedName name="_11__123Graph_BChart_4A" hidden="1">#REF!</definedName>
    <definedName name="_11__123Graph_XChart_2A" hidden="1">#REF!</definedName>
    <definedName name="_11__123Graph_XChart_4A" hidden="1">#REF!</definedName>
    <definedName name="_12___123Graph_AChart_1A" hidden="1">#REF!</definedName>
    <definedName name="_12___123Graph_XChart_3A" hidden="1">#REF!</definedName>
    <definedName name="_12__123Graph_XChart_1A" hidden="1">#REF!</definedName>
    <definedName name="_12__123Graph_XChart_3A" hidden="1">#REF!</definedName>
    <definedName name="_13___123Graph_AChart_2A" hidden="1">#REF!</definedName>
    <definedName name="_13___123Graph_XChart_4A" hidden="1">#REF!</definedName>
    <definedName name="_13__123Graph_XChart_2A" hidden="1">#REF!</definedName>
    <definedName name="_13__123Graph_XChart_4A" hidden="1">#REF!</definedName>
    <definedName name="_14___123Graph_AChart_3A" hidden="1">#REF!</definedName>
    <definedName name="_14__123Graph_XChart_3A" hidden="1">#REF!</definedName>
    <definedName name="_15___123Graph_AChart_4A" hidden="1">#REF!</definedName>
    <definedName name="_15__123Graph_XChart_4A" hidden="1">#REF!</definedName>
    <definedName name="_16___123Graph_BChart_1A" hidden="1">#REF!</definedName>
    <definedName name="_17___123Graph_BChart_3A" localSheetId="6" hidden="1">#REF!</definedName>
    <definedName name="_17___123Graph_BChart_3A" localSheetId="11" hidden="1">#REF!</definedName>
    <definedName name="_17___123Graph_BChart_3A" localSheetId="5" hidden="1">#REF!</definedName>
    <definedName name="_17___123Graph_BChart_3A" localSheetId="4" hidden="1">#REF!</definedName>
    <definedName name="_17___123Graph_BChart_3A" localSheetId="10" hidden="1">#REF!</definedName>
    <definedName name="_17___123Graph_BChart_3A" hidden="1">#REF!</definedName>
    <definedName name="_18___123Graph_BChart_4A" localSheetId="6" hidden="1">#REF!</definedName>
    <definedName name="_18___123Graph_BChart_4A" localSheetId="11" hidden="1">#REF!</definedName>
    <definedName name="_18___123Graph_BChart_4A" localSheetId="5" hidden="1">#REF!</definedName>
    <definedName name="_18___123Graph_BChart_4A" localSheetId="4" hidden="1">#REF!</definedName>
    <definedName name="_18___123Graph_BChart_4A" localSheetId="10" hidden="1">#REF!</definedName>
    <definedName name="_18___123Graph_BChart_4A" hidden="1">#REF!</definedName>
    <definedName name="_19___123Graph_XChart_1A" hidden="1">#REF!</definedName>
    <definedName name="_2_____123Graph_BChart_4A" localSheetId="6" hidden="1">#REF!</definedName>
    <definedName name="_2_____123Graph_BChart_4A" localSheetId="11" hidden="1">#REF!</definedName>
    <definedName name="_2_____123Graph_BChart_4A" localSheetId="5" hidden="1">#REF!</definedName>
    <definedName name="_2_____123Graph_BChart_4A" localSheetId="4" hidden="1">#REF!</definedName>
    <definedName name="_2_____123Graph_BChart_4A" localSheetId="10" hidden="1">#REF!</definedName>
    <definedName name="_2_____123Graph_BChart_4A" hidden="1">#REF!</definedName>
    <definedName name="_2___123Graph_AChart_2A" hidden="1">#REF!</definedName>
    <definedName name="_2__123Graph_AChart_2A" hidden="1">#REF!</definedName>
    <definedName name="_20___123Graph_XChart_2A" hidden="1">#REF!</definedName>
    <definedName name="_21___123Graph_XChart_3A" hidden="1">#REF!</definedName>
    <definedName name="_22___123Graph_XChart_4A" hidden="1">#REF!</definedName>
    <definedName name="_3____123Graph_AChart_1A" hidden="1">#REF!</definedName>
    <definedName name="_3___123Graph_AChart_3A" hidden="1">#REF!</definedName>
    <definedName name="_3__123Graph_AChart_3A" hidden="1">#REF!</definedName>
    <definedName name="_4____123Graph_AChart_2A" hidden="1">#REF!</definedName>
    <definedName name="_4___123Graph_AChart_4A" hidden="1">#REF!</definedName>
    <definedName name="_4__123Graph_AChart_4A" hidden="1">#REF!</definedName>
    <definedName name="_5____123Graph_AChart_3A" hidden="1">#REF!</definedName>
    <definedName name="_5___123Graph_BChart_1A" hidden="1">#REF!</definedName>
    <definedName name="_5__123Graph_BChart_1A" hidden="1">#REF!</definedName>
    <definedName name="_6____123Graph_AChart_4A" hidden="1">#REF!</definedName>
    <definedName name="_6__123Graph_BChart_3A" localSheetId="6" hidden="1">#REF!</definedName>
    <definedName name="_6__123Graph_BChart_3A" localSheetId="11" hidden="1">#REF!</definedName>
    <definedName name="_6__123Graph_BChart_3A" localSheetId="5" hidden="1">#REF!</definedName>
    <definedName name="_6__123Graph_BChart_3A" localSheetId="4" hidden="1">#REF!</definedName>
    <definedName name="_6__123Graph_BChart_3A" localSheetId="10" hidden="1">#REF!</definedName>
    <definedName name="_6__123Graph_BChart_3A" hidden="1">#REF!</definedName>
    <definedName name="_7____123Graph_BChart_1A" hidden="1">#REF!</definedName>
    <definedName name="_7___123Graph_BChart_3A" localSheetId="6" hidden="1">#REF!</definedName>
    <definedName name="_7___123Graph_BChart_3A" localSheetId="11" hidden="1">#REF!</definedName>
    <definedName name="_7___123Graph_BChart_3A" localSheetId="5" hidden="1">#REF!</definedName>
    <definedName name="_7___123Graph_BChart_3A" localSheetId="4" hidden="1">#REF!</definedName>
    <definedName name="_7___123Graph_BChart_3A" localSheetId="10" hidden="1">#REF!</definedName>
    <definedName name="_7___123Graph_BChart_3A" hidden="1">#REF!</definedName>
    <definedName name="_7__123Graph_BChart_3A" localSheetId="6" hidden="1">#REF!</definedName>
    <definedName name="_7__123Graph_BChart_3A" localSheetId="11" hidden="1">#REF!</definedName>
    <definedName name="_7__123Graph_BChart_3A" localSheetId="5" hidden="1">#REF!</definedName>
    <definedName name="_7__123Graph_BChart_3A" localSheetId="4" hidden="1">#REF!</definedName>
    <definedName name="_7__123Graph_BChart_3A" localSheetId="10" hidden="1">#REF!</definedName>
    <definedName name="_7__123Graph_BChart_3A" hidden="1">#REF!</definedName>
    <definedName name="_7__123Graph_BChart_4A" localSheetId="6" hidden="1">#REF!</definedName>
    <definedName name="_7__123Graph_BChart_4A" localSheetId="11" hidden="1">#REF!</definedName>
    <definedName name="_7__123Graph_BChart_4A" localSheetId="5" hidden="1">#REF!</definedName>
    <definedName name="_7__123Graph_BChart_4A" localSheetId="4" hidden="1">#REF!</definedName>
    <definedName name="_7__123Graph_BChart_4A" localSheetId="10" hidden="1">#REF!</definedName>
    <definedName name="_7__123Graph_BChart_4A" hidden="1">#REF!</definedName>
    <definedName name="_8____123Graph_XChart_1A" hidden="1">#REF!</definedName>
    <definedName name="_8__123Graph_BChart_3A" localSheetId="6" hidden="1">#REF!</definedName>
    <definedName name="_8__123Graph_BChart_3A" localSheetId="11" hidden="1">#REF!</definedName>
    <definedName name="_8__123Graph_BChart_3A" localSheetId="5" hidden="1">#REF!</definedName>
    <definedName name="_8__123Graph_BChart_3A" localSheetId="4" hidden="1">#REF!</definedName>
    <definedName name="_8__123Graph_BChart_3A" localSheetId="10" hidden="1">#REF!</definedName>
    <definedName name="_8__123Graph_BChart_3A" hidden="1">#REF!</definedName>
    <definedName name="_8__123Graph_XChart_1A" hidden="1">#REF!</definedName>
    <definedName name="_9____123Graph_XChart_2A" hidden="1">#REF!</definedName>
    <definedName name="_9___123Graph_BChart_4A" localSheetId="6" hidden="1">#REF!</definedName>
    <definedName name="_9___123Graph_BChart_4A" localSheetId="11" hidden="1">#REF!</definedName>
    <definedName name="_9___123Graph_BChart_4A" localSheetId="5" hidden="1">#REF!</definedName>
    <definedName name="_9___123Graph_BChart_4A" localSheetId="4" hidden="1">#REF!</definedName>
    <definedName name="_9___123Graph_BChart_4A" localSheetId="10" hidden="1">#REF!</definedName>
    <definedName name="_9___123Graph_BChart_4A" hidden="1">#REF!</definedName>
    <definedName name="_9__123Graph_BChart_4A" localSheetId="6" hidden="1">#REF!</definedName>
    <definedName name="_9__123Graph_BChart_4A" localSheetId="11" hidden="1">#REF!</definedName>
    <definedName name="_9__123Graph_BChart_4A" localSheetId="5" hidden="1">#REF!</definedName>
    <definedName name="_9__123Graph_BChart_4A" localSheetId="4" hidden="1">#REF!</definedName>
    <definedName name="_9__123Graph_BChart_4A" localSheetId="10" hidden="1">#REF!</definedName>
    <definedName name="_9__123Graph_BChart_4A" hidden="1">#REF!</definedName>
    <definedName name="_9__123Graph_XChart_2A" hidden="1">#REF!</definedName>
    <definedName name="_Fill" localSheetId="6" hidden="1">#REF!</definedName>
    <definedName name="_Fill" localSheetId="11" hidden="1">#REF!</definedName>
    <definedName name="_Fill" localSheetId="5" hidden="1">#REF!</definedName>
    <definedName name="_Fill" localSheetId="4" hidden="1">#REF!</definedName>
    <definedName name="_Fill" localSheetId="10" hidden="1">#REF!</definedName>
    <definedName name="_Fill" hidden="1">#REF!</definedName>
    <definedName name="_Fill1" localSheetId="6" hidden="1">#REF!</definedName>
    <definedName name="_Fill1" localSheetId="11" hidden="1">#REF!</definedName>
    <definedName name="_Fill1" localSheetId="5" hidden="1">#REF!</definedName>
    <definedName name="_Fill1" localSheetId="4" hidden="1">#REF!</definedName>
    <definedName name="_Fill1" localSheetId="10" hidden="1">#REF!</definedName>
    <definedName name="_Fill1" hidden="1">#REF!</definedName>
    <definedName name="_filterd" hidden="1">#REF!</definedName>
    <definedName name="_xlnm._FilterDatabase" localSheetId="4" hidden="1">'AI_Mapa Cons. REC_2021'!$A$4:$R$175</definedName>
    <definedName name="_xlnm._FilterDatabase" localSheetId="10" hidden="1">'DESEMBOLSO 2021 '!$A$2:$N$117</definedName>
    <definedName name="_Key1" localSheetId="6" hidden="1">#REF!</definedName>
    <definedName name="_Key1" localSheetId="11" hidden="1">#REF!</definedName>
    <definedName name="_Key1" localSheetId="5" hidden="1">#REF!</definedName>
    <definedName name="_Key1" localSheetId="4" hidden="1">#REF!</definedName>
    <definedName name="_Key1" localSheetId="10" hidden="1">#REF!</definedName>
    <definedName name="_Key1" hidden="1">#REF!</definedName>
    <definedName name="_Key2" localSheetId="6" hidden="1">#REF!</definedName>
    <definedName name="_Key2" localSheetId="11" hidden="1">#REF!</definedName>
    <definedName name="_Key2" localSheetId="5" hidden="1">#REF!</definedName>
    <definedName name="_Key2" localSheetId="4" hidden="1">#REF!</definedName>
    <definedName name="_Key2" localSheetId="10" hidden="1">#REF!</definedName>
    <definedName name="_Key2" hidden="1">#REF!</definedName>
    <definedName name="_Key3" localSheetId="6" hidden="1">#REF!</definedName>
    <definedName name="_Key3" localSheetId="11" hidden="1">#REF!</definedName>
    <definedName name="_Key3" localSheetId="5" hidden="1">#REF!</definedName>
    <definedName name="_Key3" localSheetId="4" hidden="1">#REF!</definedName>
    <definedName name="_Key3" localSheetId="10" hidden="1">#REF!</definedName>
    <definedName name="_Key3" hidden="1">#REF!</definedName>
    <definedName name="_OFE2" localSheetId="6" hidden="1">#REF!</definedName>
    <definedName name="_OFE2" localSheetId="11" hidden="1">#REF!</definedName>
    <definedName name="_OFE2" localSheetId="5" hidden="1">#REF!</definedName>
    <definedName name="_OFE2" localSheetId="4" hidden="1">#REF!</definedName>
    <definedName name="_OFE2" localSheetId="10" hidden="1">#REF!</definedName>
    <definedName name="_OFE2" hidden="1">#REF!</definedName>
    <definedName name="_Order1" hidden="1">255</definedName>
    <definedName name="_Order2" hidden="1">255</definedName>
    <definedName name="_Parse_In" localSheetId="6" hidden="1">#REF!</definedName>
    <definedName name="_Parse_In" localSheetId="11" hidden="1">#REF!</definedName>
    <definedName name="_Parse_In" localSheetId="5" hidden="1">#REF!</definedName>
    <definedName name="_Parse_In" localSheetId="4" hidden="1">#REF!</definedName>
    <definedName name="_Parse_In" localSheetId="10" hidden="1">#REF!</definedName>
    <definedName name="_Parse_In" hidden="1">#REF!</definedName>
    <definedName name="_Parse_Out" localSheetId="6" hidden="1">#REF!</definedName>
    <definedName name="_Parse_Out" localSheetId="11" hidden="1">#REF!</definedName>
    <definedName name="_Parse_Out" localSheetId="5" hidden="1">#REF!</definedName>
    <definedName name="_Parse_Out" localSheetId="4" hidden="1">#REF!</definedName>
    <definedName name="_Parse_Out" localSheetId="10" hidden="1">#REF!</definedName>
    <definedName name="_Parse_Out" hidden="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localSheetId="6" hidden="1">#REF!</definedName>
    <definedName name="_Sort" localSheetId="11" hidden="1">#REF!</definedName>
    <definedName name="_Sort" localSheetId="5" hidden="1">#REF!</definedName>
    <definedName name="_Sort" localSheetId="4" hidden="1">#REF!</definedName>
    <definedName name="_Sort" localSheetId="10" hidden="1">#REF!</definedName>
    <definedName name="_Sort" hidden="1">#REF!</definedName>
    <definedName name="´" localSheetId="6" hidden="1">#REF!,#REF!,#REF!,#REF!,#REF!,#REF!</definedName>
    <definedName name="´" localSheetId="11" hidden="1">#REF!,#REF!,#REF!,#REF!,#REF!,#REF!</definedName>
    <definedName name="´" localSheetId="5" hidden="1">#REF!,#REF!,#REF!,#REF!,#REF!,#REF!</definedName>
    <definedName name="´" localSheetId="4" hidden="1">#REF!,#REF!,#REF!,#REF!,#REF!,#REF!</definedName>
    <definedName name="´" hidden="1">#REF!,#REF!,#REF!,#REF!,#REF!,#REF!</definedName>
    <definedName name="a" localSheetId="6">#REF!</definedName>
    <definedName name="a" localSheetId="11">#REF!</definedName>
    <definedName name="a" localSheetId="5">#REF!</definedName>
    <definedName name="a" localSheetId="4">#REF!</definedName>
    <definedName name="a" localSheetId="10">#REF!</definedName>
    <definedName name="a">#REF!</definedName>
    <definedName name="ab" localSheetId="6" hidden="1">#REF!</definedName>
    <definedName name="ab" localSheetId="11" hidden="1">#REF!</definedName>
    <definedName name="ab" localSheetId="5" hidden="1">#REF!</definedName>
    <definedName name="ab" localSheetId="4" hidden="1">#REF!</definedName>
    <definedName name="ab" localSheetId="10" hidden="1">#REF!</definedName>
    <definedName name="ab" hidden="1">#REF!</definedName>
    <definedName name="adfaedarew" localSheetId="6" hidden="1">{"SRB",#N/A,FALSE,"SRB"}</definedName>
    <definedName name="adfaedarew" localSheetId="11" hidden="1">{"SRB",#N/A,FALSE,"SRB"}</definedName>
    <definedName name="adfaedarew" localSheetId="5" hidden="1">{"SRB",#N/A,FALSE,"SRB"}</definedName>
    <definedName name="adfaedarew" localSheetId="4" hidden="1">{"SRB",#N/A,FALSE,"SRB"}</definedName>
    <definedName name="adfaedarew" localSheetId="10" hidden="1">{"SRB",#N/A,FALSE,"SRB"}</definedName>
    <definedName name="adfaedarew" localSheetId="1" hidden="1">{"SRB",#N/A,FALSE,"SRB"}</definedName>
    <definedName name="adfaedarew" localSheetId="3" hidden="1">{"SRB",#N/A,FALSE,"SRB"}</definedName>
    <definedName name="adfaedarew" hidden="1">{"SRB",#N/A,FALSE,"SRB"}</definedName>
    <definedName name="adfaedarew2" localSheetId="6" hidden="1">{"SRB",#N/A,FALSE,"SRB"}</definedName>
    <definedName name="adfaedarew2" localSheetId="11" hidden="1">{"SRB",#N/A,FALSE,"SRB"}</definedName>
    <definedName name="adfaedarew2" localSheetId="5" hidden="1">{"SRB",#N/A,FALSE,"SRB"}</definedName>
    <definedName name="adfaedarew2" localSheetId="4" hidden="1">{"SRB",#N/A,FALSE,"SRB"}</definedName>
    <definedName name="adfaedarew2" localSheetId="10" hidden="1">{"SRB",#N/A,FALSE,"SRB"}</definedName>
    <definedName name="adfaedarew2" localSheetId="1" hidden="1">{"SRB",#N/A,FALSE,"SRB"}</definedName>
    <definedName name="adfaedarew2" localSheetId="3" hidden="1">{"SRB",#N/A,FALSE,"SRB"}</definedName>
    <definedName name="adfaedarew2" hidden="1">{"SRB",#N/A,FALSE,"SRB"}</definedName>
    <definedName name="adfew" localSheetId="6" hidden="1">{"SRB",#N/A,FALSE,"SRB"}</definedName>
    <definedName name="adfew" localSheetId="11" hidden="1">{"SRB",#N/A,FALSE,"SRB"}</definedName>
    <definedName name="adfew" localSheetId="5" hidden="1">{"SRB",#N/A,FALSE,"SRB"}</definedName>
    <definedName name="adfew" localSheetId="4" hidden="1">{"SRB",#N/A,FALSE,"SRB"}</definedName>
    <definedName name="adfew" localSheetId="10" hidden="1">{"SRB",#N/A,FALSE,"SRB"}</definedName>
    <definedName name="adfew" localSheetId="1" hidden="1">{"SRB",#N/A,FALSE,"SRB"}</definedName>
    <definedName name="adfew" localSheetId="3" hidden="1">{"SRB",#N/A,FALSE,"SRB"}</definedName>
    <definedName name="adfew" hidden="1">{"SRB",#N/A,FALSE,"SRB"}</definedName>
    <definedName name="adfew2" localSheetId="6" hidden="1">{"SRB",#N/A,FALSE,"SRB"}</definedName>
    <definedName name="adfew2" localSheetId="11" hidden="1">{"SRB",#N/A,FALSE,"SRB"}</definedName>
    <definedName name="adfew2" localSheetId="5" hidden="1">{"SRB",#N/A,FALSE,"SRB"}</definedName>
    <definedName name="adfew2" localSheetId="4" hidden="1">{"SRB",#N/A,FALSE,"SRB"}</definedName>
    <definedName name="adfew2" localSheetId="10" hidden="1">{"SRB",#N/A,FALSE,"SRB"}</definedName>
    <definedName name="adfew2" localSheetId="1" hidden="1">{"SRB",#N/A,FALSE,"SRB"}</definedName>
    <definedName name="adfew2" localSheetId="3" hidden="1">{"SRB",#N/A,FALSE,"SRB"}</definedName>
    <definedName name="adfew2" hidden="1">{"SRB",#N/A,FALSE,"SRB"}</definedName>
    <definedName name="adffffff" localSheetId="6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localSheetId="11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localSheetId="10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localSheetId="1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localSheetId="3" hidden="1">{"REDA",#N/A,FALSE,"REDA";"REDB",#N/A,FALSE,"REDB";"REDC",#N/A,FALSE,"REDC";"REDD",#N/A,FALSE,"REDD";"REDE",#N/A,FALSE,"REDE";"REDF",#N/A,FALSE,"REDF";"REDG",#N/A,FALSE,"REDG";"REDH",#N/A,FALSE,"REDH";"REDI",#N/A,FALSE,"REDI"}</definedName>
    <definedName name="adffffff" hidden="1">{"REDA",#N/A,FALSE,"REDA";"REDB",#N/A,FALSE,"REDB";"REDC",#N/A,FALSE,"REDC";"REDD",#N/A,FALSE,"REDD";"REDE",#N/A,FALSE,"REDE";"REDF",#N/A,FALSE,"REDF";"REDG",#N/A,FALSE,"REDG";"REDH",#N/A,FALSE,"REDH";"REDI",#N/A,FALSE,"REDI"}</definedName>
    <definedName name="adreacd" localSheetId="6" hidden="1">{"SRC",#N/A,FALSE,"SRC"}</definedName>
    <definedName name="adreacd" localSheetId="11" hidden="1">{"SRC",#N/A,FALSE,"SRC"}</definedName>
    <definedName name="adreacd" localSheetId="5" hidden="1">{"SRC",#N/A,FALSE,"SRC"}</definedName>
    <definedName name="adreacd" localSheetId="4" hidden="1">{"SRC",#N/A,FALSE,"SRC"}</definedName>
    <definedName name="adreacd" localSheetId="10" hidden="1">{"SRC",#N/A,FALSE,"SRC"}</definedName>
    <definedName name="adreacd" localSheetId="1" hidden="1">{"SRC",#N/A,FALSE,"SRC"}</definedName>
    <definedName name="adreacd" localSheetId="3" hidden="1">{"SRC",#N/A,FALSE,"SRC"}</definedName>
    <definedName name="adreacd" hidden="1">{"SRC",#N/A,FALSE,"SRC"}</definedName>
    <definedName name="adreacd2" localSheetId="6" hidden="1">{"SRC",#N/A,FALSE,"SRC"}</definedName>
    <definedName name="adreacd2" localSheetId="11" hidden="1">{"SRC",#N/A,FALSE,"SRC"}</definedName>
    <definedName name="adreacd2" localSheetId="5" hidden="1">{"SRC",#N/A,FALSE,"SRC"}</definedName>
    <definedName name="adreacd2" localSheetId="4" hidden="1">{"SRC",#N/A,FALSE,"SRC"}</definedName>
    <definedName name="adreacd2" localSheetId="10" hidden="1">{"SRC",#N/A,FALSE,"SRC"}</definedName>
    <definedName name="adreacd2" localSheetId="1" hidden="1">{"SRC",#N/A,FALSE,"SRC"}</definedName>
    <definedName name="adreacd2" localSheetId="3" hidden="1">{"SRC",#N/A,FALSE,"SRC"}</definedName>
    <definedName name="adreacd2" hidden="1">{"SRC",#N/A,FALSE,"SRC"}</definedName>
    <definedName name="adreadh" localSheetId="6" hidden="1">{"SRB",#N/A,FALSE,"SRB"}</definedName>
    <definedName name="adreadh" localSheetId="11" hidden="1">{"SRB",#N/A,FALSE,"SRB"}</definedName>
    <definedName name="adreadh" localSheetId="5" hidden="1">{"SRB",#N/A,FALSE,"SRB"}</definedName>
    <definedName name="adreadh" localSheetId="4" hidden="1">{"SRB",#N/A,FALSE,"SRB"}</definedName>
    <definedName name="adreadh" localSheetId="10" hidden="1">{"SRB",#N/A,FALSE,"SRB"}</definedName>
    <definedName name="adreadh" localSheetId="1" hidden="1">{"SRB",#N/A,FALSE,"SRB"}</definedName>
    <definedName name="adreadh" localSheetId="3" hidden="1">{"SRB",#N/A,FALSE,"SRB"}</definedName>
    <definedName name="adreadh" hidden="1">{"SRB",#N/A,FALSE,"SRB"}</definedName>
    <definedName name="adreadh2" localSheetId="6" hidden="1">{"SRB",#N/A,FALSE,"SRB"}</definedName>
    <definedName name="adreadh2" localSheetId="11" hidden="1">{"SRB",#N/A,FALSE,"SRB"}</definedName>
    <definedName name="adreadh2" localSheetId="5" hidden="1">{"SRB",#N/A,FALSE,"SRB"}</definedName>
    <definedName name="adreadh2" localSheetId="4" hidden="1">{"SRB",#N/A,FALSE,"SRB"}</definedName>
    <definedName name="adreadh2" localSheetId="10" hidden="1">{"SRB",#N/A,FALSE,"SRB"}</definedName>
    <definedName name="adreadh2" localSheetId="1" hidden="1">{"SRB",#N/A,FALSE,"SRB"}</definedName>
    <definedName name="adreadh2" localSheetId="3" hidden="1">{"SRB",#N/A,FALSE,"SRB"}</definedName>
    <definedName name="adreadh2" hidden="1">{"SRB",#N/A,FALSE,"SRB"}</definedName>
    <definedName name="adsfae" localSheetId="6" hidden="1">{"SRA",#N/A,FALSE,"SRA";"SRB",#N/A,FALSE,"SRB";"SRC",#N/A,FALSE,"SRC"}</definedName>
    <definedName name="adsfae" localSheetId="11" hidden="1">{"SRA",#N/A,FALSE,"SRA";"SRB",#N/A,FALSE,"SRB";"SRC",#N/A,FALSE,"SRC"}</definedName>
    <definedName name="adsfae" localSheetId="5" hidden="1">{"SRA",#N/A,FALSE,"SRA";"SRB",#N/A,FALSE,"SRB";"SRC",#N/A,FALSE,"SRC"}</definedName>
    <definedName name="adsfae" localSheetId="4" hidden="1">{"SRA",#N/A,FALSE,"SRA";"SRB",#N/A,FALSE,"SRB";"SRC",#N/A,FALSE,"SRC"}</definedName>
    <definedName name="adsfae" localSheetId="10" hidden="1">{"SRA",#N/A,FALSE,"SRA";"SRB",#N/A,FALSE,"SRB";"SRC",#N/A,FALSE,"SRC"}</definedName>
    <definedName name="adsfae" localSheetId="1" hidden="1">{"SRA",#N/A,FALSE,"SRA";"SRB",#N/A,FALSE,"SRB";"SRC",#N/A,FALSE,"SRC"}</definedName>
    <definedName name="adsfae" localSheetId="3" hidden="1">{"SRA",#N/A,FALSE,"SRA";"SRB",#N/A,FALSE,"SRB";"SRC",#N/A,FALSE,"SRC"}</definedName>
    <definedName name="adsfae" hidden="1">{"SRA",#N/A,FALSE,"SRA";"SRB",#N/A,FALSE,"SRB";"SRC",#N/A,FALSE,"SRC"}</definedName>
    <definedName name="adsfeafyhgtuhjt" localSheetId="6" hidden="1">{"SRD",#N/A,FALSE,"SRA"}</definedName>
    <definedName name="adsfeafyhgtuhjt" localSheetId="11" hidden="1">{"SRD",#N/A,FALSE,"SRA"}</definedName>
    <definedName name="adsfeafyhgtuhjt" localSheetId="5" hidden="1">{"SRD",#N/A,FALSE,"SRA"}</definedName>
    <definedName name="adsfeafyhgtuhjt" localSheetId="4" hidden="1">{"SRD",#N/A,FALSE,"SRA"}</definedName>
    <definedName name="adsfeafyhgtuhjt" localSheetId="10" hidden="1">{"SRD",#N/A,FALSE,"SRA"}</definedName>
    <definedName name="adsfeafyhgtuhjt" localSheetId="1" hidden="1">{"SRD",#N/A,FALSE,"SRA"}</definedName>
    <definedName name="adsfeafyhgtuhjt" localSheetId="3" hidden="1">{"SRD",#N/A,FALSE,"SRA"}</definedName>
    <definedName name="adsfeafyhgtuhjt" hidden="1">{"SRD",#N/A,FALSE,"SRA"}</definedName>
    <definedName name="aedg" localSheetId="6" hidden="1">{"SRA",#N/A,FALSE,"SRA"}</definedName>
    <definedName name="aedg" localSheetId="11" hidden="1">{"SRA",#N/A,FALSE,"SRA"}</definedName>
    <definedName name="aedg" localSheetId="5" hidden="1">{"SRA",#N/A,FALSE,"SRA"}</definedName>
    <definedName name="aedg" localSheetId="4" hidden="1">{"SRA",#N/A,FALSE,"SRA"}</definedName>
    <definedName name="aedg" localSheetId="10" hidden="1">{"SRA",#N/A,FALSE,"SRA"}</definedName>
    <definedName name="aedg" localSheetId="1" hidden="1">{"SRA",#N/A,FALSE,"SRA"}</definedName>
    <definedName name="aedg" localSheetId="3" hidden="1">{"SRA",#N/A,FALSE,"SRA"}</definedName>
    <definedName name="aedg" hidden="1">{"SRA",#N/A,FALSE,"SRA"}</definedName>
    <definedName name="aer" localSheetId="6" hidden="1">{"SRA",#N/A,FALSE,"SRA";"SRB",#N/A,FALSE,"SRB";"SRC",#N/A,FALSE,"SRC"}</definedName>
    <definedName name="aer" localSheetId="11" hidden="1">{"SRA",#N/A,FALSE,"SRA";"SRB",#N/A,FALSE,"SRB";"SRC",#N/A,FALSE,"SRC"}</definedName>
    <definedName name="aer" localSheetId="5" hidden="1">{"SRA",#N/A,FALSE,"SRA";"SRB",#N/A,FALSE,"SRB";"SRC",#N/A,FALSE,"SRC"}</definedName>
    <definedName name="aer" localSheetId="4" hidden="1">{"SRA",#N/A,FALSE,"SRA";"SRB",#N/A,FALSE,"SRB";"SRC",#N/A,FALSE,"SRC"}</definedName>
    <definedName name="aer" localSheetId="10" hidden="1">{"SRA",#N/A,FALSE,"SRA";"SRB",#N/A,FALSE,"SRB";"SRC",#N/A,FALSE,"SRC"}</definedName>
    <definedName name="aer" localSheetId="1" hidden="1">{"SRA",#N/A,FALSE,"SRA";"SRB",#N/A,FALSE,"SRB";"SRC",#N/A,FALSE,"SRC"}</definedName>
    <definedName name="aer" localSheetId="3" hidden="1">{"SRA",#N/A,FALSE,"SRA";"SRB",#N/A,FALSE,"SRB";"SRC",#N/A,FALSE,"SRC"}</definedName>
    <definedName name="aer" hidden="1">{"SRA",#N/A,FALSE,"SRA";"SRB",#N/A,FALSE,"SRB";"SRC",#N/A,FALSE,"SRC"}</definedName>
    <definedName name="afce" localSheetId="6" hidden="1">{"SRB",#N/A,FALSE,"SRB"}</definedName>
    <definedName name="afce" localSheetId="11" hidden="1">{"SRB",#N/A,FALSE,"SRB"}</definedName>
    <definedName name="afce" localSheetId="5" hidden="1">{"SRB",#N/A,FALSE,"SRB"}</definedName>
    <definedName name="afce" localSheetId="4" hidden="1">{"SRB",#N/A,FALSE,"SRB"}</definedName>
    <definedName name="afce" localSheetId="10" hidden="1">{"SRB",#N/A,FALSE,"SRB"}</definedName>
    <definedName name="afce" localSheetId="1" hidden="1">{"SRB",#N/A,FALSE,"SRB"}</definedName>
    <definedName name="afce" localSheetId="3" hidden="1">{"SRB",#N/A,FALSE,"SRB"}</definedName>
    <definedName name="afce" hidden="1">{"SRB",#N/A,FALSE,"SRB"}</definedName>
    <definedName name="annie" localSheetId="6" hidden="1">{"SRB",#N/A,FALSE,"SRB"}</definedName>
    <definedName name="annie" localSheetId="11" hidden="1">{"SRB",#N/A,FALSE,"SRB"}</definedName>
    <definedName name="annie" localSheetId="5" hidden="1">{"SRB",#N/A,FALSE,"SRB"}</definedName>
    <definedName name="annie" localSheetId="4" hidden="1">{"SRB",#N/A,FALSE,"SRB"}</definedName>
    <definedName name="annie" localSheetId="10" hidden="1">{"SRB",#N/A,FALSE,"SRB"}</definedName>
    <definedName name="annie" localSheetId="1" hidden="1">{"SRB",#N/A,FALSE,"SRB"}</definedName>
    <definedName name="annie" localSheetId="3" hidden="1">{"SRB",#N/A,FALSE,"SRB"}</definedName>
    <definedName name="annie" hidden="1">{"SRB",#N/A,FALSE,"SRB"}</definedName>
    <definedName name="annie2" hidden="1">#REF!,#REF!,#REF!,#REF!,#REF!,#REF!,#REF!,#REF!,#REF!</definedName>
    <definedName name="anscount" hidden="1">1</definedName>
    <definedName name="_xlnm.Print_Area" localSheetId="11">' AI _Funcional_Sem Pessoal'!$A$1:$E$118</definedName>
    <definedName name="_xlnm.Print_Area" localSheetId="2">'Mapa II_ Despesas'!$A$1:$EJ$24</definedName>
    <definedName name="as" localSheetId="6" hidden="1">#REF!,#REF!,#REF!,#REF!,#REF!,#REF!</definedName>
    <definedName name="as" localSheetId="11" hidden="1">#REF!,#REF!,#REF!,#REF!,#REF!,#REF!</definedName>
    <definedName name="as" localSheetId="5" hidden="1">#REF!,#REF!,#REF!,#REF!,#REF!,#REF!</definedName>
    <definedName name="as" localSheetId="4" hidden="1">#REF!,#REF!,#REF!,#REF!,#REF!,#REF!</definedName>
    <definedName name="as" hidden="1">#REF!,#REF!,#REF!,#REF!,#REF!,#REF!</definedName>
    <definedName name="asdfe" localSheetId="6" hidden="1">{"SRB",#N/A,FALSE,"SRB"}</definedName>
    <definedName name="asdfe" localSheetId="11" hidden="1">{"SRB",#N/A,FALSE,"SRB"}</definedName>
    <definedName name="asdfe" localSheetId="5" hidden="1">{"SRB",#N/A,FALSE,"SRB"}</definedName>
    <definedName name="asdfe" localSheetId="4" hidden="1">{"SRB",#N/A,FALSE,"SRB"}</definedName>
    <definedName name="asdfe" localSheetId="10" hidden="1">{"SRB",#N/A,FALSE,"SRB"}</definedName>
    <definedName name="asdfe" localSheetId="1" hidden="1">{"SRB",#N/A,FALSE,"SRB"}</definedName>
    <definedName name="asdfe" localSheetId="3" hidden="1">{"SRB",#N/A,FALSE,"SRB"}</definedName>
    <definedName name="asdfe" hidden="1">{"SRB",#N/A,FALSE,"SRB"}</definedName>
    <definedName name="aserfdrew" localSheetId="6" hidden="1">{"SRC",#N/A,FALSE,"SRC"}</definedName>
    <definedName name="aserfdrew" localSheetId="11" hidden="1">{"SRC",#N/A,FALSE,"SRC"}</definedName>
    <definedName name="aserfdrew" localSheetId="5" hidden="1">{"SRC",#N/A,FALSE,"SRC"}</definedName>
    <definedName name="aserfdrew" localSheetId="4" hidden="1">{"SRC",#N/A,FALSE,"SRC"}</definedName>
    <definedName name="aserfdrew" localSheetId="10" hidden="1">{"SRC",#N/A,FALSE,"SRC"}</definedName>
    <definedName name="aserfdrew" localSheetId="1" hidden="1">{"SRC",#N/A,FALSE,"SRC"}</definedName>
    <definedName name="aserfdrew" localSheetId="3" hidden="1">{"SRC",#N/A,FALSE,"SRC"}</definedName>
    <definedName name="aserfdrew" hidden="1">{"SRC",#N/A,FALSE,"SRC"}</definedName>
    <definedName name="aserss" localSheetId="6" hidden="1">{"SRD",#N/A,FALSE,"SRD"}</definedName>
    <definedName name="aserss" localSheetId="11" hidden="1">{"SRD",#N/A,FALSE,"SRD"}</definedName>
    <definedName name="aserss" localSheetId="5" hidden="1">{"SRD",#N/A,FALSE,"SRD"}</definedName>
    <definedName name="aserss" localSheetId="4" hidden="1">{"SRD",#N/A,FALSE,"SRD"}</definedName>
    <definedName name="aserss" localSheetId="10" hidden="1">{"SRD",#N/A,FALSE,"SRD"}</definedName>
    <definedName name="aserss" localSheetId="1" hidden="1">{"SRD",#N/A,FALSE,"SRD"}</definedName>
    <definedName name="aserss" localSheetId="3" hidden="1">{"SRD",#N/A,FALSE,"SRD"}</definedName>
    <definedName name="aserss" hidden="1">{"SRD",#N/A,FALSE,"SRD"}</definedName>
    <definedName name="cb" localSheetId="6" hidden="1">{"SRB",#N/A,FALSE,"SRB"}</definedName>
    <definedName name="cb" localSheetId="11" hidden="1">{"SRB",#N/A,FALSE,"SRB"}</definedName>
    <definedName name="cb" localSheetId="5" hidden="1">{"SRB",#N/A,FALSE,"SRB"}</definedName>
    <definedName name="cb" localSheetId="4" hidden="1">{"SRB",#N/A,FALSE,"SRB"}</definedName>
    <definedName name="cb" localSheetId="10" hidden="1">{"SRB",#N/A,FALSE,"SRB"}</definedName>
    <definedName name="cb" localSheetId="1" hidden="1">{"SRB",#N/A,FALSE,"SRB"}</definedName>
    <definedName name="cb" localSheetId="3" hidden="1">{"SRB",#N/A,FALSE,"SRB"}</definedName>
    <definedName name="cb" hidden="1">{"SRB",#N/A,FALSE,"SRB"}</definedName>
    <definedName name="cc" localSheetId="6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localSheetId="11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localSheetId="10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localSheetId="1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localSheetId="3" hidden="1">{"REDA",#N/A,FALSE,"REDA";"REDB",#N/A,FALSE,"REDB";"REDC",#N/A,FALSE,"REDC";"REDD",#N/A,FALSE,"REDD";"REDE",#N/A,FALSE,"REDE";"REDF",#N/A,FALSE,"REDF";"REDG",#N/A,FALSE,"REDG";"REDH",#N/A,FALSE,"REDH";"REDI",#N/A,FALSE,"REDI"}</definedName>
    <definedName name="cc" hidden="1">{"REDA",#N/A,FALSE,"REDA";"REDB",#N/A,FALSE,"REDB";"REDC",#N/A,FALSE,"REDC";"REDD",#N/A,FALSE,"REDD";"REDE",#N/A,FALSE,"REDE";"REDF",#N/A,FALSE,"REDF";"REDG",#N/A,FALSE,"REDG";"REDH",#N/A,FALSE,"REDH";"REDI",#N/A,FALSE,"REDI"}</definedName>
    <definedName name="celina" localSheetId="6" hidden="1">#REF!</definedName>
    <definedName name="celina" localSheetId="11" hidden="1">#REF!</definedName>
    <definedName name="celina" localSheetId="5" hidden="1">#REF!</definedName>
    <definedName name="celina" localSheetId="4" hidden="1">#REF!</definedName>
    <definedName name="celina" localSheetId="10" hidden="1">#REF!</definedName>
    <definedName name="celina" hidden="1">#REF!</definedName>
    <definedName name="Cenario21" localSheetId="6" hidden="1">#REF!,#REF!,#REF!,#REF!,#REF!,#REF!,#REF!,#REF!</definedName>
    <definedName name="Cenario21" localSheetId="11" hidden="1">#REF!,#REF!,#REF!,#REF!,#REF!,#REF!,#REF!,#REF!</definedName>
    <definedName name="Cenario21" localSheetId="5" hidden="1">#REF!,#REF!,#REF!,#REF!,#REF!,#REF!,#REF!,#REF!</definedName>
    <definedName name="Cenario21" localSheetId="4" hidden="1">#REF!,#REF!,#REF!,#REF!,#REF!,#REF!,#REF!,#REF!</definedName>
    <definedName name="Cenario21" hidden="1">#REF!,#REF!,#REF!,#REF!,#REF!,#REF!,#REF!,#REF!</definedName>
    <definedName name="cjhfrjhdfjhdfjhdf" localSheetId="6" hidden="1">#REF!</definedName>
    <definedName name="cjhfrjhdfjhdfjhdf" localSheetId="11" hidden="1">#REF!</definedName>
    <definedName name="cjhfrjhdfjhdfjhdf" localSheetId="5" hidden="1">#REF!</definedName>
    <definedName name="cjhfrjhdfjhdfjhdf" localSheetId="4" hidden="1">#REF!</definedName>
    <definedName name="cjhfrjhdfjhdfjhdf" localSheetId="10" hidden="1">#REF!</definedName>
    <definedName name="cjhfrjhdfjhdfjhdf" hidden="1">#REF!</definedName>
    <definedName name="Code" localSheetId="6" hidden="1">#REF!</definedName>
    <definedName name="Code" localSheetId="11" hidden="1">#REF!</definedName>
    <definedName name="Code" localSheetId="5" hidden="1">#REF!</definedName>
    <definedName name="Code" localSheetId="4" hidden="1">#REF!</definedName>
    <definedName name="Code" localSheetId="10" hidden="1">#REF!</definedName>
    <definedName name="Code" hidden="1">#REF!</definedName>
    <definedName name="Composition" localSheetId="6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localSheetId="1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localSheetId="5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localSheetId="4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localSheetId="1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localSheetId="3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mposition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v">{"Annually";"Semi-Annually";"Quarterly";"Bi-Monthly";"Monthly"}</definedName>
    <definedName name="Cwvu.a." localSheetId="6" hidden="1">#REF!,#REF!,#REF!,#REF!,#REF!,#REF!</definedName>
    <definedName name="Cwvu.a." localSheetId="11" hidden="1">#REF!,#REF!,#REF!,#REF!,#REF!,#REF!</definedName>
    <definedName name="Cwvu.a." localSheetId="5" hidden="1">#REF!,#REF!,#REF!,#REF!,#REF!,#REF!</definedName>
    <definedName name="Cwvu.a." localSheetId="4" hidden="1">#REF!,#REF!,#REF!,#REF!,#REF!,#REF!</definedName>
    <definedName name="Cwvu.a." hidden="1">#REF!,#REF!,#REF!,#REF!,#REF!,#REF!</definedName>
    <definedName name="Cwvu.bop." localSheetId="6" hidden="1">#REF!,#REF!,#REF!,#REF!,#REF!,#REF!</definedName>
    <definedName name="Cwvu.bop." localSheetId="11" hidden="1">#REF!,#REF!,#REF!,#REF!,#REF!,#REF!</definedName>
    <definedName name="Cwvu.bop." localSheetId="5" hidden="1">#REF!,#REF!,#REF!,#REF!,#REF!,#REF!</definedName>
    <definedName name="Cwvu.bop." localSheetId="4" hidden="1">#REF!,#REF!,#REF!,#REF!,#REF!,#REF!</definedName>
    <definedName name="Cwvu.bop." hidden="1">#REF!,#REF!,#REF!,#REF!,#REF!,#REF!</definedName>
    <definedName name="Cwvu.bop.sr." localSheetId="5" hidden="1">#REF!,#REF!,#REF!,#REF!,#REF!,#REF!</definedName>
    <definedName name="Cwvu.bop.sr." localSheetId="4" hidden="1">#REF!,#REF!,#REF!,#REF!,#REF!,#REF!</definedName>
    <definedName name="Cwvu.bop.sr." hidden="1">#REF!,#REF!,#REF!,#REF!,#REF!,#REF!</definedName>
    <definedName name="Cwvu.bopsdr.sr." localSheetId="5" hidden="1">#REF!,#REF!,#REF!,#REF!,#REF!,#REF!</definedName>
    <definedName name="Cwvu.bopsdr.sr." localSheetId="4" hidden="1">#REF!,#REF!,#REF!,#REF!,#REF!,#REF!</definedName>
    <definedName name="Cwvu.bopsdr.sr." hidden="1">#REF!,#REF!,#REF!,#REF!,#REF!,#REF!</definedName>
    <definedName name="Cwvu.cotton." localSheetId="6" hidden="1">#REF!,#REF!,#REF!,#REF!,#REF!,#REF!,#REF!,#REF!</definedName>
    <definedName name="Cwvu.cotton." localSheetId="11" hidden="1">#REF!,#REF!,#REF!,#REF!,#REF!,#REF!,#REF!,#REF!</definedName>
    <definedName name="Cwvu.cotton." localSheetId="5" hidden="1">#REF!,#REF!,#REF!,#REF!,#REF!,#REF!,#REF!,#REF!</definedName>
    <definedName name="Cwvu.cotton." localSheetId="4" hidden="1">#REF!,#REF!,#REF!,#REF!,#REF!,#REF!,#REF!,#REF!</definedName>
    <definedName name="Cwvu.cotton." hidden="1">#REF!,#REF!,#REF!,#REF!,#REF!,#REF!,#REF!,#REF!</definedName>
    <definedName name="Cwvu.cottonall." localSheetId="5" hidden="1">#REF!,#REF!,#REF!,#REF!,#REF!,#REF!,#REF!</definedName>
    <definedName name="Cwvu.cottonall." localSheetId="4" hidden="1">#REF!,#REF!,#REF!,#REF!,#REF!,#REF!,#REF!</definedName>
    <definedName name="Cwvu.cottonall." hidden="1">#REF!,#REF!,#REF!,#REF!,#REF!,#REF!,#REF!</definedName>
    <definedName name="Cwvu.exportdetails." localSheetId="6" hidden="1">#REF!,#REF!,#REF!,#REF!,#REF!,#REF!,#REF!</definedName>
    <definedName name="Cwvu.exportdetails." localSheetId="11" hidden="1">#REF!,#REF!,#REF!,#REF!,#REF!,#REF!,#REF!</definedName>
    <definedName name="Cwvu.exportdetails." localSheetId="5" hidden="1">#REF!,#REF!,#REF!,#REF!,#REF!,#REF!,#REF!</definedName>
    <definedName name="Cwvu.exportdetails." localSheetId="4" hidden="1">#REF!,#REF!,#REF!,#REF!,#REF!,#REF!,#REF!</definedName>
    <definedName name="Cwvu.exportdetails." localSheetId="10" hidden="1">#REF!,#REF!,#REF!,#REF!,#REF!,#REF!,#REF!</definedName>
    <definedName name="Cwvu.exportdetails." hidden="1">#REF!,#REF!,#REF!,#REF!,#REF!,#REF!,#REF!</definedName>
    <definedName name="Cwvu.exports." localSheetId="6" hidden="1">#REF!,#REF!,#REF!,#REF!,#REF!,#REF!,#REF!,#REF!</definedName>
    <definedName name="Cwvu.exports." localSheetId="11" hidden="1">#REF!,#REF!,#REF!,#REF!,#REF!,#REF!,#REF!,#REF!</definedName>
    <definedName name="Cwvu.exports." localSheetId="5" hidden="1">#REF!,#REF!,#REF!,#REF!,#REF!,#REF!,#REF!,#REF!</definedName>
    <definedName name="Cwvu.exports." localSheetId="4" hidden="1">#REF!,#REF!,#REF!,#REF!,#REF!,#REF!,#REF!,#REF!</definedName>
    <definedName name="Cwvu.exports." hidden="1">#REF!,#REF!,#REF!,#REF!,#REF!,#REF!,#REF!,#REF!</definedName>
    <definedName name="Cwvu.gold." localSheetId="6" hidden="1">#REF!,#REF!,#REF!,#REF!,#REF!,#REF!,#REF!,#REF!</definedName>
    <definedName name="Cwvu.gold." localSheetId="11" hidden="1">#REF!,#REF!,#REF!,#REF!,#REF!,#REF!,#REF!,#REF!</definedName>
    <definedName name="Cwvu.gold." localSheetId="5" hidden="1">#REF!,#REF!,#REF!,#REF!,#REF!,#REF!,#REF!,#REF!</definedName>
    <definedName name="Cwvu.gold." localSheetId="4" hidden="1">#REF!,#REF!,#REF!,#REF!,#REF!,#REF!,#REF!,#REF!</definedName>
    <definedName name="Cwvu.gold." hidden="1">#REF!,#REF!,#REF!,#REF!,#REF!,#REF!,#REF!,#REF!</definedName>
    <definedName name="Cwvu.goldall." localSheetId="6" hidden="1">#REF!,#REF!,#REF!,#REF!,#REF!,#REF!,#REF!,#REF!</definedName>
    <definedName name="Cwvu.goldall." localSheetId="11" hidden="1">#REF!,#REF!,#REF!,#REF!,#REF!,#REF!,#REF!,#REF!</definedName>
    <definedName name="Cwvu.goldall." localSheetId="5" hidden="1">#REF!,#REF!,#REF!,#REF!,#REF!,#REF!,#REF!,#REF!</definedName>
    <definedName name="Cwvu.goldall." localSheetId="4" hidden="1">#REF!,#REF!,#REF!,#REF!,#REF!,#REF!,#REF!,#REF!</definedName>
    <definedName name="Cwvu.goldall." hidden="1">#REF!,#REF!,#REF!,#REF!,#REF!,#REF!,#REF!,#REF!</definedName>
    <definedName name="Cwvu.IMPORT." localSheetId="6" hidden="1">#REF!</definedName>
    <definedName name="Cwvu.IMPORT." localSheetId="11" hidden="1">#REF!</definedName>
    <definedName name="Cwvu.IMPORT." localSheetId="5" hidden="1">#REF!</definedName>
    <definedName name="Cwvu.IMPORT." localSheetId="4" hidden="1">#REF!</definedName>
    <definedName name="Cwvu.IMPORT." localSheetId="10" hidden="1">#REF!</definedName>
    <definedName name="Cwvu.IMPORT." hidden="1">#REF!</definedName>
    <definedName name="Cwvu.imports." localSheetId="6" hidden="1">#REF!,#REF!,#REF!,#REF!,#REF!,#REF!,#REF!,#REF!,#REF!</definedName>
    <definedName name="Cwvu.imports." localSheetId="11" hidden="1">#REF!,#REF!,#REF!,#REF!,#REF!,#REF!,#REF!,#REF!,#REF!</definedName>
    <definedName name="Cwvu.imports." localSheetId="5" hidden="1">#REF!,#REF!,#REF!,#REF!,#REF!,#REF!,#REF!,#REF!,#REF!</definedName>
    <definedName name="Cwvu.imports." localSheetId="4" hidden="1">#REF!,#REF!,#REF!,#REF!,#REF!,#REF!,#REF!,#REF!,#REF!</definedName>
    <definedName name="Cwvu.imports." localSheetId="10" hidden="1">#REF!,#REF!,#REF!,#REF!,#REF!,#REF!,#REF!,#REF!,#REF!</definedName>
    <definedName name="Cwvu.imports." hidden="1">#REF!,#REF!,#REF!,#REF!,#REF!,#REF!,#REF!,#REF!,#REF!</definedName>
    <definedName name="Cwvu.importsall." localSheetId="6" hidden="1">#REF!,#REF!,#REF!,#REF!,#REF!,#REF!,#REF!,#REF!,#REF!</definedName>
    <definedName name="Cwvu.importsall." localSheetId="11" hidden="1">#REF!,#REF!,#REF!,#REF!,#REF!,#REF!,#REF!,#REF!,#REF!</definedName>
    <definedName name="Cwvu.importsall." localSheetId="5" hidden="1">#REF!,#REF!,#REF!,#REF!,#REF!,#REF!,#REF!,#REF!,#REF!</definedName>
    <definedName name="Cwvu.importsall." localSheetId="4" hidden="1">#REF!,#REF!,#REF!,#REF!,#REF!,#REF!,#REF!,#REF!,#REF!</definedName>
    <definedName name="Cwvu.importsall." hidden="1">#REF!,#REF!,#REF!,#REF!,#REF!,#REF!,#REF!,#REF!,#REF!</definedName>
    <definedName name="Cwvu.tot." localSheetId="5" hidden="1">#REF!,#REF!,#REF!,#REF!,#REF!,#REF!</definedName>
    <definedName name="Cwvu.tot." localSheetId="4" hidden="1">#REF!,#REF!,#REF!,#REF!,#REF!,#REF!</definedName>
    <definedName name="Cwvu.tot." hidden="1">#REF!,#REF!,#REF!,#REF!,#REF!,#REF!</definedName>
    <definedName name="D" localSheetId="6" hidden="1">{"Main Economic Indicators",#N/A,FALSE,"C"}</definedName>
    <definedName name="D" localSheetId="11" hidden="1">{"Main Economic Indicators",#N/A,FALSE,"C"}</definedName>
    <definedName name="D" localSheetId="5" hidden="1">{"Main Economic Indicators",#N/A,FALSE,"C"}</definedName>
    <definedName name="D" localSheetId="4" hidden="1">{"Main Economic Indicators",#N/A,FALSE,"C"}</definedName>
    <definedName name="D" localSheetId="10" hidden="1">{"Main Economic Indicators",#N/A,FALSE,"C"}</definedName>
    <definedName name="D" localSheetId="1" hidden="1">{"Main Economic Indicators",#N/A,FALSE,"C"}</definedName>
    <definedName name="D" localSheetId="3" hidden="1">{"Main Economic Indicators",#N/A,FALSE,"C"}</definedName>
    <definedName name="D" hidden="1">{"Main Economic Indicators",#N/A,FALSE,"C"}</definedName>
    <definedName name="d_" localSheetId="5" hidden="1">#REF!,#REF!,#REF!,#REF!,#REF!,#REF!,#REF!</definedName>
    <definedName name="d_" localSheetId="4" hidden="1">#REF!,#REF!,#REF!,#REF!,#REF!,#REF!,#REF!</definedName>
    <definedName name="d_" hidden="1">#REF!,#REF!,#REF!,#REF!,#REF!,#REF!,#REF!</definedName>
    <definedName name="data1" localSheetId="6" hidden="1">#REF!</definedName>
    <definedName name="data1" localSheetId="11" hidden="1">#REF!</definedName>
    <definedName name="data1" localSheetId="5" hidden="1">#REF!</definedName>
    <definedName name="data1" localSheetId="4" hidden="1">#REF!</definedName>
    <definedName name="data1" localSheetId="10" hidden="1">#REF!</definedName>
    <definedName name="data1" hidden="1">#REF!</definedName>
    <definedName name="data2" localSheetId="6" hidden="1">#REF!</definedName>
    <definedName name="data2" localSheetId="11" hidden="1">#REF!</definedName>
    <definedName name="data2" localSheetId="5" hidden="1">#REF!</definedName>
    <definedName name="data2" localSheetId="4" hidden="1">#REF!</definedName>
    <definedName name="data2" localSheetId="10" hidden="1">#REF!</definedName>
    <definedName name="data2" hidden="1">#REF!</definedName>
    <definedName name="data3" localSheetId="6" hidden="1">#REF!</definedName>
    <definedName name="data3" localSheetId="11" hidden="1">#REF!</definedName>
    <definedName name="data3" localSheetId="5" hidden="1">#REF!</definedName>
    <definedName name="data3" localSheetId="4" hidden="1">#REF!</definedName>
    <definedName name="data3" localSheetId="10" hidden="1">#REF!</definedName>
    <definedName name="data3" hidden="1">#REF!</definedName>
    <definedName name="ddd" hidden="1">#REF!,#REF!,#REF!,#REF!,#REF!,#REF!</definedName>
    <definedName name="de" localSheetId="6" hidden="1">#REF!</definedName>
    <definedName name="de" localSheetId="11" hidden="1">#REF!</definedName>
    <definedName name="de" localSheetId="5" hidden="1">#REF!</definedName>
    <definedName name="de" localSheetId="4" hidden="1">#REF!</definedName>
    <definedName name="de" localSheetId="10" hidden="1">#REF!</definedName>
    <definedName name="de" hidden="1">#REF!</definedName>
    <definedName name="Dez" localSheetId="6" hidden="1">#REF!</definedName>
    <definedName name="Dez" localSheetId="11" hidden="1">#REF!</definedName>
    <definedName name="Dez" localSheetId="5" hidden="1">#REF!</definedName>
    <definedName name="Dez" localSheetId="4" hidden="1">#REF!</definedName>
    <definedName name="Dez" localSheetId="10" hidden="1">#REF!</definedName>
    <definedName name="Dez" hidden="1">#REF!</definedName>
    <definedName name="DEzl" localSheetId="6" hidden="1">#REF!</definedName>
    <definedName name="DEzl" localSheetId="11" hidden="1">#REF!</definedName>
    <definedName name="DEzl" localSheetId="5" hidden="1">#REF!</definedName>
    <definedName name="DEzl" localSheetId="4" hidden="1">#REF!</definedName>
    <definedName name="DEzl" localSheetId="10" hidden="1">#REF!</definedName>
    <definedName name="DEzl" hidden="1">#REF!</definedName>
    <definedName name="di" localSheetId="6" hidden="1">#REF!</definedName>
    <definedName name="di" localSheetId="11" hidden="1">#REF!</definedName>
    <definedName name="di" localSheetId="5" hidden="1">#REF!</definedName>
    <definedName name="di" localSheetId="4" hidden="1">#REF!</definedName>
    <definedName name="di" localSheetId="10" hidden="1">#REF!</definedName>
    <definedName name="di" hidden="1">#REF!</definedName>
    <definedName name="Discount" localSheetId="6" hidden="1">#REF!</definedName>
    <definedName name="Discount" localSheetId="11" hidden="1">#REF!</definedName>
    <definedName name="Discount" localSheetId="5" hidden="1">#REF!</definedName>
    <definedName name="Discount" localSheetId="4" hidden="1">#REF!</definedName>
    <definedName name="Discount" localSheetId="10" hidden="1">#REF!</definedName>
    <definedName name="Discount" hidden="1">#REF!</definedName>
    <definedName name="display_" localSheetId="6" hidden="1">#REF!</definedName>
    <definedName name="display_" localSheetId="11" hidden="1">#REF!</definedName>
    <definedName name="display_" localSheetId="5" hidden="1">#REF!</definedName>
    <definedName name="display_" localSheetId="4" hidden="1">#REF!</definedName>
    <definedName name="display_" localSheetId="10" hidden="1">#REF!</definedName>
    <definedName name="display_" hidden="1">#REF!</definedName>
    <definedName name="display_area_2" localSheetId="6" hidden="1">#REF!</definedName>
    <definedName name="display_area_2" localSheetId="11" hidden="1">#REF!</definedName>
    <definedName name="display_area_2" localSheetId="5" hidden="1">#REF!</definedName>
    <definedName name="display_area_2" localSheetId="4" hidden="1">#REF!</definedName>
    <definedName name="display_area_2" localSheetId="10" hidden="1">#REF!</definedName>
    <definedName name="display_area_2" hidden="1">#REF!</definedName>
    <definedName name="Div" localSheetId="6" hidden="1">#REF!</definedName>
    <definedName name="Div" localSheetId="11" hidden="1">#REF!</definedName>
    <definedName name="Div" localSheetId="5" hidden="1">#REF!</definedName>
    <definedName name="Div" localSheetId="4" hidden="1">#REF!</definedName>
    <definedName name="Div" localSheetId="10" hidden="1">#REF!</definedName>
    <definedName name="Div" hidden="1">#REF!</definedName>
    <definedName name="DMXHUB">#REF!</definedName>
    <definedName name="ds" localSheetId="5" hidden="1">#REF!,#REF!,#REF!,#REF!,#REF!,#REF!,#REF!,#REF!</definedName>
    <definedName name="ds" localSheetId="4" hidden="1">#REF!,#REF!,#REF!,#REF!,#REF!,#REF!,#REF!,#REF!</definedName>
    <definedName name="ds" hidden="1">#REF!,#REF!,#REF!,#REF!,#REF!,#REF!,#REF!,#REF!</definedName>
    <definedName name="dsf" localSheetId="6" hidden="1">{"SRD",#N/A,FALSE,"SRD"}</definedName>
    <definedName name="dsf" localSheetId="11" hidden="1">{"SRD",#N/A,FALSE,"SRD"}</definedName>
    <definedName name="dsf" localSheetId="5" hidden="1">{"SRD",#N/A,FALSE,"SRD"}</definedName>
    <definedName name="dsf" localSheetId="4" hidden="1">{"SRD",#N/A,FALSE,"SRD"}</definedName>
    <definedName name="dsf" localSheetId="10" hidden="1">{"SRD",#N/A,FALSE,"SRD"}</definedName>
    <definedName name="dsf" localSheetId="1" hidden="1">{"SRD",#N/A,FALSE,"SRD"}</definedName>
    <definedName name="dsf" localSheetId="3" hidden="1">{"SRD",#N/A,FALSE,"SRD"}</definedName>
    <definedName name="dsf" hidden="1">{"SRD",#N/A,FALSE,"SRD"}</definedName>
    <definedName name="dsof" localSheetId="6" hidden="1">{"SRB",#N/A,FALSE,"SRB"}</definedName>
    <definedName name="dsof" localSheetId="11" hidden="1">{"SRB",#N/A,FALSE,"SRB"}</definedName>
    <definedName name="dsof" localSheetId="5" hidden="1">{"SRB",#N/A,FALSE,"SRB"}</definedName>
    <definedName name="dsof" localSheetId="4" hidden="1">{"SRB",#N/A,FALSE,"SRB"}</definedName>
    <definedName name="dsof" localSheetId="10" hidden="1">{"SRB",#N/A,FALSE,"SRB"}</definedName>
    <definedName name="dsof" localSheetId="1" hidden="1">{"SRB",#N/A,FALSE,"SRB"}</definedName>
    <definedName name="dsof" localSheetId="3" hidden="1">{"SRB",#N/A,FALSE,"SRB"}</definedName>
    <definedName name="dsof" hidden="1">{"SRB",#N/A,FALSE,"SRB"}</definedName>
    <definedName name="e" localSheetId="6" hidden="1">#REF!</definedName>
    <definedName name="e" localSheetId="11" hidden="1">#REF!</definedName>
    <definedName name="e" localSheetId="5" hidden="1">#REF!</definedName>
    <definedName name="e" localSheetId="4" hidden="1">#REF!</definedName>
    <definedName name="e" localSheetId="10" hidden="1">#REF!</definedName>
    <definedName name="e" hidden="1">#REF!</definedName>
    <definedName name="Economica" hidden="1">#REF!</definedName>
    <definedName name="Edmir" localSheetId="5" hidden="1">#REF!,#REF!,#REF!,#REF!,#REF!,#REF!</definedName>
    <definedName name="Edmir" localSheetId="4" hidden="1">#REF!,#REF!,#REF!,#REF!,#REF!,#REF!</definedName>
    <definedName name="Edmir" hidden="1">#REF!,#REF!,#REF!,#REF!,#REF!,#REF!</definedName>
    <definedName name="EEEE" localSheetId="6" hidden="1">{"SRB",#N/A,FALSE,"SRB"}</definedName>
    <definedName name="EEEE" localSheetId="11" hidden="1">{"SRB",#N/A,FALSE,"SRB"}</definedName>
    <definedName name="EEEE" localSheetId="5" hidden="1">{"SRB",#N/A,FALSE,"SRB"}</definedName>
    <definedName name="EEEE" localSheetId="4" hidden="1">{"SRB",#N/A,FALSE,"SRB"}</definedName>
    <definedName name="EEEE" localSheetId="10" hidden="1">{"SRB",#N/A,FALSE,"SRB"}</definedName>
    <definedName name="EEEE" localSheetId="1" hidden="1">{"SRB",#N/A,FALSE,"SRB"}</definedName>
    <definedName name="EEEE" localSheetId="3" hidden="1">{"SRB",#N/A,FALSE,"SRB"}</definedName>
    <definedName name="EEEE" hidden="1">{"SRB",#N/A,FALSE,"SRB"}</definedName>
    <definedName name="EEEEE" localSheetId="6" hidden="1">{"SRD",#N/A,FALSE,"SRD"}</definedName>
    <definedName name="EEEEE" localSheetId="11" hidden="1">{"SRD",#N/A,FALSE,"SRD"}</definedName>
    <definedName name="EEEEE" localSheetId="5" hidden="1">{"SRD",#N/A,FALSE,"SRD"}</definedName>
    <definedName name="EEEEE" localSheetId="4" hidden="1">{"SRD",#N/A,FALSE,"SRD"}</definedName>
    <definedName name="EEEEE" localSheetId="10" hidden="1">{"SRD",#N/A,FALSE,"SRD"}</definedName>
    <definedName name="EEEEE" localSheetId="1" hidden="1">{"SRD",#N/A,FALSE,"SRD"}</definedName>
    <definedName name="EEEEE" localSheetId="3" hidden="1">{"SRD",#N/A,FALSE,"SRD"}</definedName>
    <definedName name="EEEEE" hidden="1">{"SRD",#N/A,FALSE,"SRD"}</definedName>
    <definedName name="EEEEEEE" localSheetId="6" hidden="1">{"SRC",#N/A,FALSE,"SRC"}</definedName>
    <definedName name="EEEEEEE" localSheetId="11" hidden="1">{"SRC",#N/A,FALSE,"SRC"}</definedName>
    <definedName name="EEEEEEE" localSheetId="5" hidden="1">{"SRC",#N/A,FALSE,"SRC"}</definedName>
    <definedName name="EEEEEEE" localSheetId="4" hidden="1">{"SRC",#N/A,FALSE,"SRC"}</definedName>
    <definedName name="EEEEEEE" localSheetId="10" hidden="1">{"SRC",#N/A,FALSE,"SRC"}</definedName>
    <definedName name="EEEEEEE" localSheetId="1" hidden="1">{"SRC",#N/A,FALSE,"SRC"}</definedName>
    <definedName name="EEEEEEE" localSheetId="3" hidden="1">{"SRC",#N/A,FALSE,"SRC"}</definedName>
    <definedName name="EEEEEEE" hidden="1">{"SRC",#N/A,FALSE,"SRC"}</definedName>
    <definedName name="er" localSheetId="6" hidden="1">{"Main Economic Indicators",#N/A,FALSE,"C"}</definedName>
    <definedName name="er" localSheetId="11" hidden="1">{"Main Economic Indicators",#N/A,FALSE,"C"}</definedName>
    <definedName name="er" localSheetId="5" hidden="1">{"Main Economic Indicators",#N/A,FALSE,"C"}</definedName>
    <definedName name="er" localSheetId="4" hidden="1">{"Main Economic Indicators",#N/A,FALSE,"C"}</definedName>
    <definedName name="er" localSheetId="10" hidden="1">{"Main Economic Indicators",#N/A,FALSE,"C"}</definedName>
    <definedName name="er" localSheetId="1" hidden="1">{"Main Economic Indicators",#N/A,FALSE,"C"}</definedName>
    <definedName name="er" localSheetId="3" hidden="1">{"Main Economic Indicators",#N/A,FALSE,"C"}</definedName>
    <definedName name="er" hidden="1">{"Main Economic Indicators",#N/A,FALSE,"C"}</definedName>
    <definedName name="erajoip" localSheetId="6" hidden="1">{"SRB",#N/A,FALSE,"SRB"}</definedName>
    <definedName name="erajoip" localSheetId="11" hidden="1">{"SRB",#N/A,FALSE,"SRB"}</definedName>
    <definedName name="erajoip" localSheetId="5" hidden="1">{"SRB",#N/A,FALSE,"SRB"}</definedName>
    <definedName name="erajoip" localSheetId="4" hidden="1">{"SRB",#N/A,FALSE,"SRB"}</definedName>
    <definedName name="erajoip" localSheetId="10" hidden="1">{"SRB",#N/A,FALSE,"SRB"}</definedName>
    <definedName name="erajoip" localSheetId="1" hidden="1">{"SRB",#N/A,FALSE,"SRB"}</definedName>
    <definedName name="erajoip" localSheetId="3" hidden="1">{"SRB",#N/A,FALSE,"SRB"}</definedName>
    <definedName name="erajoip" hidden="1">{"SRB",#N/A,FALSE,"SRB"}</definedName>
    <definedName name="ergf" localSheetId="6" hidden="1">{"Main Economic Indicators",#N/A,FALSE,"C"}</definedName>
    <definedName name="ergf" localSheetId="11" hidden="1">{"Main Economic Indicators",#N/A,FALSE,"C"}</definedName>
    <definedName name="ergf" localSheetId="5" hidden="1">{"Main Economic Indicators",#N/A,FALSE,"C"}</definedName>
    <definedName name="ergf" localSheetId="4" hidden="1">{"Main Economic Indicators",#N/A,FALSE,"C"}</definedName>
    <definedName name="ergf" localSheetId="10" hidden="1">{"Main Economic Indicators",#N/A,FALSE,"C"}</definedName>
    <definedName name="ergf" localSheetId="1" hidden="1">{"Main Economic Indicators",#N/A,FALSE,"C"}</definedName>
    <definedName name="ergf" localSheetId="3" hidden="1">{"Main Economic Indicators",#N/A,FALSE,"C"}</definedName>
    <definedName name="ergf" hidden="1">{"Main Economic Indicators",#N/A,FALSE,"C"}</definedName>
    <definedName name="ergferger" localSheetId="6" hidden="1">{"Main Economic Indicators",#N/A,FALSE,"C"}</definedName>
    <definedName name="ergferger" localSheetId="11" hidden="1">{"Main Economic Indicators",#N/A,FALSE,"C"}</definedName>
    <definedName name="ergferger" localSheetId="5" hidden="1">{"Main Economic Indicators",#N/A,FALSE,"C"}</definedName>
    <definedName name="ergferger" localSheetId="4" hidden="1">{"Main Economic Indicators",#N/A,FALSE,"C"}</definedName>
    <definedName name="ergferger" localSheetId="10" hidden="1">{"Main Economic Indicators",#N/A,FALSE,"C"}</definedName>
    <definedName name="ergferger" localSheetId="1" hidden="1">{"Main Economic Indicators",#N/A,FALSE,"C"}</definedName>
    <definedName name="ergferger" localSheetId="3" hidden="1">{"Main Economic Indicators",#N/A,FALSE,"C"}</definedName>
    <definedName name="ergferger" hidden="1">{"Main Economic Indicators",#N/A,FALSE,"C"}</definedName>
    <definedName name="ert" localSheetId="6" hidden="1">{"SRC",#N/A,FALSE,"SRC"}</definedName>
    <definedName name="ert" localSheetId="11" hidden="1">{"SRC",#N/A,FALSE,"SRC"}</definedName>
    <definedName name="ert" localSheetId="5" hidden="1">{"SRC",#N/A,FALSE,"SRC"}</definedName>
    <definedName name="ert" localSheetId="4" hidden="1">{"SRC",#N/A,FALSE,"SRC"}</definedName>
    <definedName name="ert" localSheetId="10" hidden="1">{"SRC",#N/A,FALSE,"SRC"}</definedName>
    <definedName name="ert" localSheetId="1" hidden="1">{"SRC",#N/A,FALSE,"SRC"}</definedName>
    <definedName name="ert" localSheetId="3" hidden="1">{"SRC",#N/A,FALSE,"SRC"}</definedName>
    <definedName name="ert" hidden="1">{"SRC",#N/A,FALSE,"SRC"}</definedName>
    <definedName name="ew" localSheetId="5" hidden="1">#REF!,#REF!,#REF!,#REF!,#REF!,#REF!,#REF!</definedName>
    <definedName name="ew" localSheetId="4" hidden="1">#REF!,#REF!,#REF!,#REF!,#REF!,#REF!,#REF!</definedName>
    <definedName name="ew" hidden="1">#REF!,#REF!,#REF!,#REF!,#REF!,#REF!,#REF!</definedName>
    <definedName name="ewt" localSheetId="6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localSheetId="11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localSheetId="10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localSheetId="1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localSheetId="3" hidden="1">{"REDA",#N/A,FALSE,"REDA";"REDB",#N/A,FALSE,"REDB";"REDC",#N/A,FALSE,"REDC";"REDD",#N/A,FALSE,"REDD";"REDE",#N/A,FALSE,"REDE";"REDF",#N/A,FALSE,"REDF";"REDG",#N/A,FALSE,"REDG";"REDH",#N/A,FALSE,"REDH";"REDI",#N/A,FALSE,"REDI"}</definedName>
    <definedName name="ewt" hidden="1">{"REDA",#N/A,FALSE,"REDA";"REDB",#N/A,FALSE,"REDB";"REDC",#N/A,FALSE,"REDC";"REDD",#N/A,FALSE,"REDD";"REDE",#N/A,FALSE,"REDE";"REDF",#N/A,FALSE,"REDF";"REDG",#N/A,FALSE,"REDG";"REDH",#N/A,FALSE,"REDH";"REDI",#N/A,FALSE,"REDI"}</definedName>
    <definedName name="Ex_" localSheetId="5" hidden="1">#REF!,#REF!,#REF!,#REF!,#REF!,#REF!,#REF!,#REF!</definedName>
    <definedName name="Ex_" localSheetId="4" hidden="1">#REF!,#REF!,#REF!,#REF!,#REF!,#REF!,#REF!,#REF!</definedName>
    <definedName name="Ex_" hidden="1">#REF!,#REF!,#REF!,#REF!,#REF!,#REF!,#REF!,#REF!</definedName>
    <definedName name="Exe" localSheetId="6" hidden="1">#REF!,#REF!,#REF!,#REF!,#REF!,#REF!,#REF!,#REF!,#REF!</definedName>
    <definedName name="Exe" localSheetId="11" hidden="1">#REF!,#REF!,#REF!,#REF!,#REF!,#REF!,#REF!,#REF!,#REF!</definedName>
    <definedName name="Exe" localSheetId="5" hidden="1">#REF!,#REF!,#REF!,#REF!,#REF!,#REF!,#REF!,#REF!,#REF!</definedName>
    <definedName name="Exe" localSheetId="4" hidden="1">#REF!,#REF!,#REF!,#REF!,#REF!,#REF!,#REF!,#REF!,#REF!</definedName>
    <definedName name="Exe" hidden="1">#REF!,#REF!,#REF!,#REF!,#REF!,#REF!,#REF!,#REF!,#REF!</definedName>
    <definedName name="External_debt_indicators">#REF!:#REF!</definedName>
    <definedName name="f" localSheetId="6" hidden="1">{"Main Economic Indicators",#N/A,FALSE,"C"}</definedName>
    <definedName name="f" localSheetId="11" hidden="1">{"Main Economic Indicators",#N/A,FALSE,"C"}</definedName>
    <definedName name="f" localSheetId="5" hidden="1">{"Main Economic Indicators",#N/A,FALSE,"C"}</definedName>
    <definedName name="f" localSheetId="4" hidden="1">{"Main Economic Indicators",#N/A,FALSE,"C"}</definedName>
    <definedName name="f" localSheetId="10" hidden="1">{"Main Economic Indicators",#N/A,FALSE,"C"}</definedName>
    <definedName name="f" localSheetId="1" hidden="1">{"Main Economic Indicators",#N/A,FALSE,"C"}</definedName>
    <definedName name="f" localSheetId="3" hidden="1">{"Main Economic Indicators",#N/A,FALSE,"C"}</definedName>
    <definedName name="f" hidden="1">{"Main Economic Indicators",#N/A,FALSE,"C"}</definedName>
    <definedName name="fb" localSheetId="6" hidden="1">{"SRD",#N/A,FALSE,"SRA"}</definedName>
    <definedName name="fb" localSheetId="11" hidden="1">{"SRD",#N/A,FALSE,"SRA"}</definedName>
    <definedName name="fb" localSheetId="5" hidden="1">{"SRD",#N/A,FALSE,"SRA"}</definedName>
    <definedName name="fb" localSheetId="4" hidden="1">{"SRD",#N/A,FALSE,"SRA"}</definedName>
    <definedName name="fb" localSheetId="10" hidden="1">{"SRD",#N/A,FALSE,"SRA"}</definedName>
    <definedName name="fb" localSheetId="1" hidden="1">{"SRD",#N/A,FALSE,"SRA"}</definedName>
    <definedName name="fb" localSheetId="3" hidden="1">{"SRD",#N/A,FALSE,"SRA"}</definedName>
    <definedName name="fb" hidden="1">{"SRD",#N/A,FALSE,"SRA"}</definedName>
    <definedName name="FCode" localSheetId="6" hidden="1">#REF!</definedName>
    <definedName name="FCode" localSheetId="11" hidden="1">#REF!</definedName>
    <definedName name="FCode" localSheetId="5" hidden="1">#REF!</definedName>
    <definedName name="FCode" localSheetId="4" hidden="1">#REF!</definedName>
    <definedName name="FCode" localSheetId="10" hidden="1">#REF!</definedName>
    <definedName name="FCode" hidden="1">#REF!</definedName>
    <definedName name="fddhfgjkljhlkjl" localSheetId="5" hidden="1">#REF!,#REF!,#REF!,#REF!,#REF!,#REF!</definedName>
    <definedName name="fddhfgjkljhlkjl" localSheetId="4" hidden="1">#REF!,#REF!,#REF!,#REF!,#REF!,#REF!</definedName>
    <definedName name="fddhfgjkljhlkjl" hidden="1">#REF!,#REF!,#REF!,#REF!,#REF!,#REF!</definedName>
    <definedName name="fdsbyg" localSheetId="6" hidden="1">{"SRA",#N/A,FALSE,"SRA"}</definedName>
    <definedName name="fdsbyg" localSheetId="11" hidden="1">{"SRA",#N/A,FALSE,"SRA"}</definedName>
    <definedName name="fdsbyg" localSheetId="5" hidden="1">{"SRA",#N/A,FALSE,"SRA"}</definedName>
    <definedName name="fdsbyg" localSheetId="4" hidden="1">{"SRA",#N/A,FALSE,"SRA"}</definedName>
    <definedName name="fdsbyg" localSheetId="10" hidden="1">{"SRA",#N/A,FALSE,"SRA"}</definedName>
    <definedName name="fdsbyg" localSheetId="1" hidden="1">{"SRA",#N/A,FALSE,"SRA"}</definedName>
    <definedName name="fdsbyg" localSheetId="3" hidden="1">{"SRA",#N/A,FALSE,"SRA"}</definedName>
    <definedName name="fdsbyg" hidden="1">{"SRA",#N/A,FALSE,"SRA"}</definedName>
    <definedName name="fergs" localSheetId="6" hidden="1">#REF!</definedName>
    <definedName name="fergs" localSheetId="11" hidden="1">#REF!</definedName>
    <definedName name="fergs" localSheetId="5" hidden="1">#REF!</definedName>
    <definedName name="fergs" localSheetId="4" hidden="1">#REF!</definedName>
    <definedName name="fergs" localSheetId="10" hidden="1">#REF!</definedName>
    <definedName name="fergs" localSheetId="8" hidden="1">#REF!</definedName>
    <definedName name="fergs" localSheetId="9" hidden="1">#REF!</definedName>
    <definedName name="fergs" hidden="1">#REF!</definedName>
    <definedName name="fgyn" localSheetId="6" hidden="1">{"SRD",#N/A,FALSE,"SRD"}</definedName>
    <definedName name="fgyn" localSheetId="11" hidden="1">{"SRD",#N/A,FALSE,"SRD"}</definedName>
    <definedName name="fgyn" localSheetId="5" hidden="1">{"SRD",#N/A,FALSE,"SRD"}</definedName>
    <definedName name="fgyn" localSheetId="4" hidden="1">{"SRD",#N/A,FALSE,"SRD"}</definedName>
    <definedName name="fgyn" localSheetId="10" hidden="1">{"SRD",#N/A,FALSE,"SRD"}</definedName>
    <definedName name="fgyn" localSheetId="1" hidden="1">{"SRD",#N/A,FALSE,"SRD"}</definedName>
    <definedName name="fgyn" localSheetId="3" hidden="1">{"SRD",#N/A,FALSE,"SRD"}</definedName>
    <definedName name="fgyn" hidden="1">{"SRD",#N/A,FALSE,"SRD"}</definedName>
    <definedName name="fpdate" localSheetId="6">#REF!</definedName>
    <definedName name="fpdate" localSheetId="11">#REF!</definedName>
    <definedName name="fpdate" localSheetId="5">#REF!</definedName>
    <definedName name="fpdate" localSheetId="4">#REF!</definedName>
    <definedName name="fpdate" localSheetId="10">#REF!</definedName>
    <definedName name="fpdate" localSheetId="8">#REF!</definedName>
    <definedName name="fpdate" localSheetId="9">#REF!</definedName>
    <definedName name="fpdate">#REF!</definedName>
    <definedName name="frequency" localSheetId="6">{"Annually";"Semi-Annually";"Quarterly";"Bi-Monthly";"Monthly"}</definedName>
    <definedName name="frequency" localSheetId="11">{"Annually";"Semi-Annually";"Quarterly";"Bi-Monthly";"Monthly"}</definedName>
    <definedName name="frequency" localSheetId="5">{"Annually";"Semi-Annually";"Quarterly";"Bi-Monthly";"Monthly"}</definedName>
    <definedName name="frequency" localSheetId="4">{"Annually";"Semi-Annually";"Quarterly";"Bi-Monthly";"Monthly"}</definedName>
    <definedName name="frequency" localSheetId="10">{"Annually";"Semi-Annually";"Quarterly";"Bi-Monthly";"Monthly"}</definedName>
    <definedName name="frequency" localSheetId="1">{"Annually";"Semi-Annually";"Quarterly";"Bi-Monthly";"Monthly"}</definedName>
    <definedName name="frequency" localSheetId="3">{"Annually";"Semi-Annually";"Quarterly";"Bi-Monthly";"Monthly"}</definedName>
    <definedName name="frequency" localSheetId="7">{"Annually";"Semi-Annually";"Quarterly";"Bi-Monthly";"Monthly"}</definedName>
    <definedName name="frequency" localSheetId="8">{"Annually";"Semi-Annually";"Quarterly";"Bi-Monthly";"Monthly"}</definedName>
    <definedName name="frequency" localSheetId="9">{"Annually";"Semi-Annually";"Quarterly";"Bi-Monthly";"Monthly"}</definedName>
    <definedName name="frequency">{"Annually";"Semi-Annually";"Quarterly";"Bi-Monthly";"Monthly"}</definedName>
    <definedName name="hg" localSheetId="5" hidden="1">#REF!,#REF!,#REF!,#REF!,#REF!,#REF!,#REF!,#REF!</definedName>
    <definedName name="hg" localSheetId="4" hidden="1">#REF!,#REF!,#REF!,#REF!,#REF!,#REF!,#REF!,#REF!</definedName>
    <definedName name="hg" hidden="1">#REF!,#REF!,#REF!,#REF!,#REF!,#REF!,#REF!,#REF!</definedName>
    <definedName name="HiddenRows" localSheetId="6" hidden="1">#REF!</definedName>
    <definedName name="HiddenRows" localSheetId="11" hidden="1">#REF!</definedName>
    <definedName name="HiddenRows" localSheetId="5" hidden="1">#REF!</definedName>
    <definedName name="HiddenRows" localSheetId="4" hidden="1">#REF!</definedName>
    <definedName name="HiddenRows" localSheetId="10" hidden="1">#REF!</definedName>
    <definedName name="HiddenRows" hidden="1">#REF!</definedName>
    <definedName name="hub">#REF!</definedName>
    <definedName name="JKHJK" localSheetId="6" hidden="1">{"SRD",#N/A,FALSE,"SRD"}</definedName>
    <definedName name="JKHJK" localSheetId="11" hidden="1">{"SRD",#N/A,FALSE,"SRD"}</definedName>
    <definedName name="JKHJK" localSheetId="5" hidden="1">{"SRD",#N/A,FALSE,"SRD"}</definedName>
    <definedName name="JKHJK" localSheetId="4" hidden="1">{"SRD",#N/A,FALSE,"SRD"}</definedName>
    <definedName name="JKHJK" localSheetId="10" hidden="1">{"SRD",#N/A,FALSE,"SRD"}</definedName>
    <definedName name="JKHJK" localSheetId="1" hidden="1">{"SRD",#N/A,FALSE,"SRD"}</definedName>
    <definedName name="JKHJK" localSheetId="3" hidden="1">{"SRD",#N/A,FALSE,"SRD"}</definedName>
    <definedName name="JKHJK" hidden="1">{"SRD",#N/A,FALSE,"SRD"}</definedName>
    <definedName name="jpo" localSheetId="6" hidden="1">{"SRB",#N/A,FALSE,"SRB"}</definedName>
    <definedName name="jpo" localSheetId="11" hidden="1">{"SRB",#N/A,FALSE,"SRB"}</definedName>
    <definedName name="jpo" localSheetId="5" hidden="1">{"SRB",#N/A,FALSE,"SRB"}</definedName>
    <definedName name="jpo" localSheetId="4" hidden="1">{"SRB",#N/A,FALSE,"SRB"}</definedName>
    <definedName name="jpo" localSheetId="10" hidden="1">{"SRB",#N/A,FALSE,"SRB"}</definedName>
    <definedName name="jpo" localSheetId="1" hidden="1">{"SRB",#N/A,FALSE,"SRB"}</definedName>
    <definedName name="jpo" localSheetId="3" hidden="1">{"SRB",#N/A,FALSE,"SRB"}</definedName>
    <definedName name="jpo" hidden="1">{"SRB",#N/A,FALSE,"SRB"}</definedName>
    <definedName name="loan_amount" localSheetId="6">#REF!</definedName>
    <definedName name="loan_amount" localSheetId="11">#REF!</definedName>
    <definedName name="loan_amount" localSheetId="5">#REF!</definedName>
    <definedName name="loan_amount" localSheetId="4">#REF!</definedName>
    <definedName name="loan_amount" localSheetId="10">#REF!</definedName>
    <definedName name="loan_amount" localSheetId="8">#REF!</definedName>
    <definedName name="loan_amount" localSheetId="9">#REF!</definedName>
    <definedName name="loan_amount">#REF!</definedName>
    <definedName name="month" localSheetId="6" hidden="1">{"SRD",#N/A,FALSE,"SRA"}</definedName>
    <definedName name="month" localSheetId="11" hidden="1">{"SRD",#N/A,FALSE,"SRA"}</definedName>
    <definedName name="month" localSheetId="5" hidden="1">{"SRD",#N/A,FALSE,"SRA"}</definedName>
    <definedName name="month" localSheetId="4" hidden="1">{"SRD",#N/A,FALSE,"SRA"}</definedName>
    <definedName name="month" localSheetId="10" hidden="1">{"SRD",#N/A,FALSE,"SRA"}</definedName>
    <definedName name="month" localSheetId="1" hidden="1">{"SRD",#N/A,FALSE,"SRA"}</definedName>
    <definedName name="month" localSheetId="3" hidden="1">{"SRD",#N/A,FALSE,"SRA"}</definedName>
    <definedName name="month" hidden="1">{"SRD",#N/A,FALSE,"SRA"}</definedName>
    <definedName name="monthly" localSheetId="6" hidden="1">{"SRA",#N/A,FALSE,"SRA";"SRB",#N/A,FALSE,"SRB";"SRC",#N/A,FALSE,"SRC"}</definedName>
    <definedName name="monthly" localSheetId="11" hidden="1">{"SRA",#N/A,FALSE,"SRA";"SRB",#N/A,FALSE,"SRB";"SRC",#N/A,FALSE,"SRC"}</definedName>
    <definedName name="monthly" localSheetId="5" hidden="1">{"SRA",#N/A,FALSE,"SRA";"SRB",#N/A,FALSE,"SRB";"SRC",#N/A,FALSE,"SRC"}</definedName>
    <definedName name="monthly" localSheetId="4" hidden="1">{"SRA",#N/A,FALSE,"SRA";"SRB",#N/A,FALSE,"SRB";"SRC",#N/A,FALSE,"SRC"}</definedName>
    <definedName name="monthly" localSheetId="10" hidden="1">{"SRA",#N/A,FALSE,"SRA";"SRB",#N/A,FALSE,"SRB";"SRC",#N/A,FALSE,"SRC"}</definedName>
    <definedName name="monthly" localSheetId="1" hidden="1">{"SRA",#N/A,FALSE,"SRA";"SRB",#N/A,FALSE,"SRB";"SRC",#N/A,FALSE,"SRC"}</definedName>
    <definedName name="monthly" localSheetId="3" hidden="1">{"SRA",#N/A,FALSE,"SRA";"SRB",#N/A,FALSE,"SRB";"SRC",#N/A,FALSE,"SRC"}</definedName>
    <definedName name="monthly" hidden="1">{"SRA",#N/A,FALSE,"SRA";"SRB",#N/A,FALSE,"SRB";"SRC",#N/A,FALSE,"SRC"}</definedName>
    <definedName name="months_per_period" localSheetId="6">INDEX({12,6,3,2,1},MATCH(#REF!,frequency,0))</definedName>
    <definedName name="months_per_period" localSheetId="5">INDEX({12,6,3,2,1},MATCH(#REF!,#REF!,0))</definedName>
    <definedName name="months_per_period" localSheetId="4">INDEX({12,6,3,2,1},MATCH(#REF!,#REF!,0))</definedName>
    <definedName name="months_per_period" localSheetId="7">INDEX({12,6,3,2,1},MATCH(#REF!,'Movi Janeiro a Julho - 2021'!frequency,0))</definedName>
    <definedName name="months_per_period" localSheetId="8">INDEX({12,6,3,2,1},MATCH(#REF!,'Movi Janeiro a Junho - 2021'!frequency,0))</definedName>
    <definedName name="months_per_period">INDEX({12,6,3,2,1},MATCH(#REF!,frequency,0))</definedName>
    <definedName name="Municipio">#REF!</definedName>
    <definedName name="neta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NewMoneyIteration">#REF!,#REF!</definedName>
    <definedName name="nnn" localSheetId="6" hidden="1">{"Main Economic Indicators",#N/A,FALSE,"C"}</definedName>
    <definedName name="nnn" localSheetId="11" hidden="1">{"Main Economic Indicators",#N/A,FALSE,"C"}</definedName>
    <definedName name="nnn" localSheetId="5" hidden="1">{"Main Economic Indicators",#N/A,FALSE,"C"}</definedName>
    <definedName name="nnn" localSheetId="4" hidden="1">{"Main Economic Indicators",#N/A,FALSE,"C"}</definedName>
    <definedName name="nnn" localSheetId="10" hidden="1">{"Main Economic Indicators",#N/A,FALSE,"C"}</definedName>
    <definedName name="nnn" localSheetId="1" hidden="1">{"Main Economic Indicators",#N/A,FALSE,"C"}</definedName>
    <definedName name="nnn" localSheetId="3" hidden="1">{"Main Economic Indicators",#N/A,FALSE,"C"}</definedName>
    <definedName name="nnn" hidden="1">{"Main Economic Indicators",#N/A,FALSE,"C"}</definedName>
    <definedName name="nper" localSheetId="6">#N/A</definedName>
    <definedName name="nper" localSheetId="5">#N/A</definedName>
    <definedName name="nper" localSheetId="4">#N/A</definedName>
    <definedName name="nper" localSheetId="7">[0]!term*'Movi Janeiro a Julho - 2021'!periods_per_year</definedName>
    <definedName name="nper">'Movi Janeiro a Junho - 2021'!term*'Movi Janeiro a Junho - 2021'!periods_per_year</definedName>
    <definedName name="ofe_cenario2" localSheetId="6">#REF!</definedName>
    <definedName name="ofe_cenario2" localSheetId="11">#REF!</definedName>
    <definedName name="ofe_cenario2" localSheetId="5">#REF!</definedName>
    <definedName name="ofe_cenario2" localSheetId="4">#REF!</definedName>
    <definedName name="ofe_cenario2" localSheetId="10">#REF!</definedName>
    <definedName name="ofe_cenario2">#REF!</definedName>
    <definedName name="OLE_LINK1" localSheetId="12">'AI_ Abaixo da linha '!#REF!</definedName>
    <definedName name="OrderTable" localSheetId="6" hidden="1">#REF!</definedName>
    <definedName name="OrderTable" localSheetId="11" hidden="1">#REF!</definedName>
    <definedName name="OrderTable" localSheetId="5" hidden="1">#REF!</definedName>
    <definedName name="OrderTable" localSheetId="4" hidden="1">#REF!</definedName>
    <definedName name="OrderTable" localSheetId="10" hidden="1">#REF!</definedName>
    <definedName name="OrderTable" hidden="1">#REF!</definedName>
    <definedName name="PARPA_Investimento" localSheetId="6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localSheetId="1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localSheetId="5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localSheetId="4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localSheetId="1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localSheetId="3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ULO" hidden="1">#REF!</definedName>
    <definedName name="payment" localSheetId="6">#REF!</definedName>
    <definedName name="payment" localSheetId="11">#REF!</definedName>
    <definedName name="payment" localSheetId="5">#REF!</definedName>
    <definedName name="payment" localSheetId="4">#REF!</definedName>
    <definedName name="payment" localSheetId="10">#REF!</definedName>
    <definedName name="payment" localSheetId="8">#REF!</definedName>
    <definedName name="payment" localSheetId="9">#REF!</definedName>
    <definedName name="payment">#REF!</definedName>
    <definedName name="periods_per_year" localSheetId="6">INDEX({1,2,4,6,12},MATCH(#REF!,frequency,0))</definedName>
    <definedName name="periods_per_year" localSheetId="5">INDEX({1,2,4,6,12},MATCH(#REF!,#REF!,0))</definedName>
    <definedName name="periods_per_year" localSheetId="4">INDEX({1,2,4,6,12},MATCH(#REF!,#REF!,0))</definedName>
    <definedName name="periods_per_year" localSheetId="7">INDEX({1,2,4,6,12},MATCH(#REF!,'Movi Janeiro a Julho - 2021'!frequency,0))</definedName>
    <definedName name="periods_per_year" localSheetId="8">INDEX({1,2,4,6,12},MATCH(#REF!,'Movi Janeiro a Junho - 2021'!frequency,0))</definedName>
    <definedName name="periods_per_year">INDEX({1,2,4,6,12},MATCH(#REF!,frequency,0))</definedName>
    <definedName name="PJ_2014" localSheetId="6" hidden="1">#REF!</definedName>
    <definedName name="PJ_2014" localSheetId="11" hidden="1">#REF!</definedName>
    <definedName name="PJ_2014" localSheetId="5" hidden="1">#REF!</definedName>
    <definedName name="PJ_2014" localSheetId="4" hidden="1">#REF!</definedName>
    <definedName name="PJ_2014" localSheetId="10" hidden="1">#REF!</definedName>
    <definedName name="PJ_2014" hidden="1">#REF!</definedName>
    <definedName name="ProdForm" localSheetId="6" hidden="1">#REF!</definedName>
    <definedName name="ProdForm" localSheetId="11" hidden="1">#REF!</definedName>
    <definedName name="ProdForm" localSheetId="5" hidden="1">#REF!</definedName>
    <definedName name="ProdForm" localSheetId="4" hidden="1">#REF!</definedName>
    <definedName name="ProdForm" localSheetId="10" hidden="1">#REF!</definedName>
    <definedName name="ProdForm" hidden="1">#REF!</definedName>
    <definedName name="Product" localSheetId="6" hidden="1">#REF!</definedName>
    <definedName name="Product" localSheetId="11" hidden="1">#REF!</definedName>
    <definedName name="Product" localSheetId="5" hidden="1">#REF!</definedName>
    <definedName name="Product" localSheetId="4" hidden="1">#REF!</definedName>
    <definedName name="Product" localSheetId="10" hidden="1">#REF!</definedName>
    <definedName name="Product" hidden="1">#REF!</definedName>
    <definedName name="Public" localSheetId="6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localSheetId="1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localSheetId="5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localSheetId="4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localSheetId="1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localSheetId="3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er5t" localSheetId="6" hidden="1">{"SRD",#N/A,FALSE,"SRD"}</definedName>
    <definedName name="qer5t" localSheetId="11" hidden="1">{"SRD",#N/A,FALSE,"SRD"}</definedName>
    <definedName name="qer5t" localSheetId="5" hidden="1">{"SRD",#N/A,FALSE,"SRD"}</definedName>
    <definedName name="qer5t" localSheetId="4" hidden="1">{"SRD",#N/A,FALSE,"SRD"}</definedName>
    <definedName name="qer5t" localSheetId="10" hidden="1">{"SRD",#N/A,FALSE,"SRD"}</definedName>
    <definedName name="qer5t" localSheetId="1" hidden="1">{"SRD",#N/A,FALSE,"SRD"}</definedName>
    <definedName name="qer5t" localSheetId="3" hidden="1">{"SRD",#N/A,FALSE,"SRD"}</definedName>
    <definedName name="qer5t" hidden="1">{"SRD",#N/A,FALSE,"SRD"}</definedName>
    <definedName name="qqq" hidden="1">{"Main Economic Indicators",#N/A,FALSE,"C"}</definedName>
    <definedName name="qwe" localSheetId="6" hidden="1">{"SRB",#N/A,FALSE,"SRB"}</definedName>
    <definedName name="qwe" localSheetId="11" hidden="1">{"SRB",#N/A,FALSE,"SRB"}</definedName>
    <definedName name="qwe" localSheetId="5" hidden="1">{"SRB",#N/A,FALSE,"SRB"}</definedName>
    <definedName name="qwe" localSheetId="4" hidden="1">{"SRB",#N/A,FALSE,"SRB"}</definedName>
    <definedName name="qwe" localSheetId="10" hidden="1">{"SRB",#N/A,FALSE,"SRB"}</definedName>
    <definedName name="qwe" localSheetId="1" hidden="1">{"SRB",#N/A,FALSE,"SRB"}</definedName>
    <definedName name="qwe" localSheetId="3" hidden="1">{"SRB",#N/A,FALSE,"SRB"}</definedName>
    <definedName name="qwe" hidden="1">{"SRB",#N/A,FALSE,"SRB"}</definedName>
    <definedName name="qwewqe" localSheetId="6" hidden="1">{"SRD",#N/A,FALSE,"SRA"}</definedName>
    <definedName name="qwewqe" localSheetId="11" hidden="1">{"SRD",#N/A,FALSE,"SRA"}</definedName>
    <definedName name="qwewqe" localSheetId="5" hidden="1">{"SRD",#N/A,FALSE,"SRA"}</definedName>
    <definedName name="qwewqe" localSheetId="4" hidden="1">{"SRD",#N/A,FALSE,"SRA"}</definedName>
    <definedName name="qwewqe" localSheetId="10" hidden="1">{"SRD",#N/A,FALSE,"SRA"}</definedName>
    <definedName name="qwewqe" localSheetId="1" hidden="1">{"SRD",#N/A,FALSE,"SRA"}</definedName>
    <definedName name="qwewqe" localSheetId="3" hidden="1">{"SRD",#N/A,FALSE,"SRA"}</definedName>
    <definedName name="qwewqe" hidden="1">{"SRD",#N/A,FALSE,"SRA"}</definedName>
    <definedName name="qwewqeqw" localSheetId="6" hidden="1">{"SRA",#N/A,FALSE,"SRA"}</definedName>
    <definedName name="qwewqeqw" localSheetId="11" hidden="1">{"SRA",#N/A,FALSE,"SRA"}</definedName>
    <definedName name="qwewqeqw" localSheetId="5" hidden="1">{"SRA",#N/A,FALSE,"SRA"}</definedName>
    <definedName name="qwewqeqw" localSheetId="4" hidden="1">{"SRA",#N/A,FALSE,"SRA"}</definedName>
    <definedName name="qwewqeqw" localSheetId="10" hidden="1">{"SRA",#N/A,FALSE,"SRA"}</definedName>
    <definedName name="qwewqeqw" localSheetId="1" hidden="1">{"SRA",#N/A,FALSE,"SRA"}</definedName>
    <definedName name="qwewqeqw" localSheetId="3" hidden="1">{"SRA",#N/A,FALSE,"SRA"}</definedName>
    <definedName name="qwewqeqw" hidden="1">{"SRA",#N/A,FALSE,"SRA"}</definedName>
    <definedName name="rate" localSheetId="6">#REF!</definedName>
    <definedName name="rate" localSheetId="11">#REF!</definedName>
    <definedName name="rate" localSheetId="5">#REF!</definedName>
    <definedName name="rate" localSheetId="4">#REF!</definedName>
    <definedName name="rate" localSheetId="10">#REF!</definedName>
    <definedName name="rate" localSheetId="8">#REF!</definedName>
    <definedName name="rate" localSheetId="9">#REF!</definedName>
    <definedName name="rate">#REF!</definedName>
    <definedName name="RCArea" localSheetId="6" hidden="1">#REF!</definedName>
    <definedName name="RCArea" localSheetId="11" hidden="1">#REF!</definedName>
    <definedName name="RCArea" localSheetId="5" hidden="1">#REF!</definedName>
    <definedName name="RCArea" localSheetId="4" hidden="1">#REF!</definedName>
    <definedName name="RCArea" localSheetId="10" hidden="1">#REF!</definedName>
    <definedName name="RCArea" hidden="1">#REF!</definedName>
    <definedName name="Recy" localSheetId="6" hidden="1">#REF!</definedName>
    <definedName name="Recy" localSheetId="11" hidden="1">#REF!</definedName>
    <definedName name="Recy" localSheetId="5" hidden="1">#REF!</definedName>
    <definedName name="Recy" localSheetId="4" hidden="1">#REF!</definedName>
    <definedName name="Recy" localSheetId="10" hidden="1">#REF!</definedName>
    <definedName name="Recy" hidden="1">#REF!</definedName>
    <definedName name="REDTABB" localSheetId="6" hidden="1">{"SRB",#N/A,FALSE,"SRB"}</definedName>
    <definedName name="REDTABB" localSheetId="11" hidden="1">{"SRB",#N/A,FALSE,"SRB"}</definedName>
    <definedName name="REDTABB" localSheetId="5" hidden="1">{"SRB",#N/A,FALSE,"SRB"}</definedName>
    <definedName name="REDTABB" localSheetId="4" hidden="1">{"SRB",#N/A,FALSE,"SRB"}</definedName>
    <definedName name="REDTABB" localSheetId="10" hidden="1">{"SRB",#N/A,FALSE,"SRB"}</definedName>
    <definedName name="REDTABB" localSheetId="1" hidden="1">{"SRB",#N/A,FALSE,"SRB"}</definedName>
    <definedName name="REDTABB" localSheetId="3" hidden="1">{"SRB",#N/A,FALSE,"SRB"}</definedName>
    <definedName name="REDTABB" hidden="1">{"SRB",#N/A,FALSE,"SRB"}</definedName>
    <definedName name="ret" localSheetId="6" hidden="1">{"SRA",#N/A,FALSE,"SRA"}</definedName>
    <definedName name="ret" localSheetId="11" hidden="1">{"SRA",#N/A,FALSE,"SRA"}</definedName>
    <definedName name="ret" localSheetId="5" hidden="1">{"SRA",#N/A,FALSE,"SRA"}</definedName>
    <definedName name="ret" localSheetId="4" hidden="1">{"SRA",#N/A,FALSE,"SRA"}</definedName>
    <definedName name="ret" localSheetId="10" hidden="1">{"SRA",#N/A,FALSE,"SRA"}</definedName>
    <definedName name="ret" localSheetId="1" hidden="1">{"SRA",#N/A,FALSE,"SRA"}</definedName>
    <definedName name="ret" localSheetId="3" hidden="1">{"SRA",#N/A,FALSE,"SRA"}</definedName>
    <definedName name="ret" hidden="1">{"SRA",#N/A,FALSE,"SRA"}</definedName>
    <definedName name="rgsrt" localSheetId="6" hidden="1">{"SRC",#N/A,FALSE,"SRC"}</definedName>
    <definedName name="rgsrt" localSheetId="11" hidden="1">{"SRC",#N/A,FALSE,"SRC"}</definedName>
    <definedName name="rgsrt" localSheetId="5" hidden="1">{"SRC",#N/A,FALSE,"SRC"}</definedName>
    <definedName name="rgsrt" localSheetId="4" hidden="1">{"SRC",#N/A,FALSE,"SRC"}</definedName>
    <definedName name="rgsrt" localSheetId="10" hidden="1">{"SRC",#N/A,FALSE,"SRC"}</definedName>
    <definedName name="rgsrt" localSheetId="1" hidden="1">{"SRC",#N/A,FALSE,"SRC"}</definedName>
    <definedName name="rgsrt" localSheetId="3" hidden="1">{"SRC",#N/A,FALSE,"SRC"}</definedName>
    <definedName name="rgsrt" hidden="1">{"SRC",#N/A,FALSE,"SRC"}</definedName>
    <definedName name="RRR" localSheetId="6" hidden="1">{"SRA",#N/A,FALSE,"SRA"}</definedName>
    <definedName name="RRR" localSheetId="11" hidden="1">{"SRA",#N/A,FALSE,"SRA"}</definedName>
    <definedName name="RRR" localSheetId="5" hidden="1">{"SRA",#N/A,FALSE,"SRA"}</definedName>
    <definedName name="RRR" localSheetId="4" hidden="1">{"SRA",#N/A,FALSE,"SRA"}</definedName>
    <definedName name="RRR" localSheetId="10" hidden="1">{"SRA",#N/A,FALSE,"SRA"}</definedName>
    <definedName name="RRR" localSheetId="1" hidden="1">{"SRA",#N/A,FALSE,"SRA"}</definedName>
    <definedName name="RRR" localSheetId="3" hidden="1">{"SRA",#N/A,FALSE,"SRA"}</definedName>
    <definedName name="RRR" hidden="1">{"SRA",#N/A,FALSE,"SRA"}</definedName>
    <definedName name="rtr" localSheetId="6" hidden="1">{"Main Economic Indicators",#N/A,FALSE,"C"}</definedName>
    <definedName name="rtr" localSheetId="11" hidden="1">{"Main Economic Indicators",#N/A,FALSE,"C"}</definedName>
    <definedName name="rtr" localSheetId="5" hidden="1">{"Main Economic Indicators",#N/A,FALSE,"C"}</definedName>
    <definedName name="rtr" localSheetId="4" hidden="1">{"Main Economic Indicators",#N/A,FALSE,"C"}</definedName>
    <definedName name="rtr" localSheetId="10" hidden="1">{"Main Economic Indicators",#N/A,FALSE,"C"}</definedName>
    <definedName name="rtr" localSheetId="1" hidden="1">{"Main Economic Indicators",#N/A,FALSE,"C"}</definedName>
    <definedName name="rtr" localSheetId="3" hidden="1">{"Main Economic Indicators",#N/A,FALSE,"C"}</definedName>
    <definedName name="rtr" hidden="1">{"Main Economic Indicators",#N/A,FALSE,"C"}</definedName>
    <definedName name="rtre" localSheetId="6" hidden="1">{"Main Economic Indicators",#N/A,FALSE,"C"}</definedName>
    <definedName name="rtre" localSheetId="11" hidden="1">{"Main Economic Indicators",#N/A,FALSE,"C"}</definedName>
    <definedName name="rtre" localSheetId="5" hidden="1">{"Main Economic Indicators",#N/A,FALSE,"C"}</definedName>
    <definedName name="rtre" localSheetId="4" hidden="1">{"Main Economic Indicators",#N/A,FALSE,"C"}</definedName>
    <definedName name="rtre" localSheetId="10" hidden="1">{"Main Economic Indicators",#N/A,FALSE,"C"}</definedName>
    <definedName name="rtre" localSheetId="1" hidden="1">{"Main Economic Indicators",#N/A,FALSE,"C"}</definedName>
    <definedName name="rtre" localSheetId="3" hidden="1">{"Main Economic Indicators",#N/A,FALSE,"C"}</definedName>
    <definedName name="rtre" hidden="1">{"Main Economic Indicators",#N/A,FALSE,"C"}</definedName>
    <definedName name="Rwvu.Export." localSheetId="6" hidden="1">#REF!,#REF!</definedName>
    <definedName name="Rwvu.Export." localSheetId="11" hidden="1">#REF!,#REF!</definedName>
    <definedName name="Rwvu.Export." localSheetId="5" hidden="1">#REF!,#REF!</definedName>
    <definedName name="Rwvu.Export." localSheetId="4" hidden="1">#REF!,#REF!</definedName>
    <definedName name="Rwvu.Export." localSheetId="10" hidden="1">#REF!,#REF!</definedName>
    <definedName name="Rwvu.Export." hidden="1">#REF!,#REF!</definedName>
    <definedName name="Rwvu.IMPORT." localSheetId="6" hidden="1">#REF!</definedName>
    <definedName name="Rwvu.IMPORT." localSheetId="11" hidden="1">#REF!</definedName>
    <definedName name="Rwvu.IMPORT." localSheetId="5" hidden="1">#REF!</definedName>
    <definedName name="Rwvu.IMPORT." localSheetId="4" hidden="1">#REF!</definedName>
    <definedName name="Rwvu.IMPORT." localSheetId="10" hidden="1">#REF!</definedName>
    <definedName name="Rwvu.IMPORT." hidden="1">#REF!</definedName>
    <definedName name="Rwvu.Print." hidden="1">#N/A</definedName>
    <definedName name="ry" localSheetId="6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localSheetId="11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localSheetId="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localSheetId="1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localSheetId="1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r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s" localSheetId="6" hidden="1">#REF!</definedName>
    <definedName name="s" localSheetId="11" hidden="1">#REF!</definedName>
    <definedName name="s" localSheetId="5" hidden="1">#REF!</definedName>
    <definedName name="s" localSheetId="4" hidden="1">#REF!</definedName>
    <definedName name="s" localSheetId="10" hidden="1">#REF!</definedName>
    <definedName name="s" hidden="1">#REF!</definedName>
    <definedName name="sAD" localSheetId="6" hidden="1">{"SRB",#N/A,FALSE,"SRB"}</definedName>
    <definedName name="sAD" localSheetId="11" hidden="1">{"SRB",#N/A,FALSE,"SRB"}</definedName>
    <definedName name="sAD" localSheetId="5" hidden="1">{"SRB",#N/A,FALSE,"SRB"}</definedName>
    <definedName name="sAD" localSheetId="4" hidden="1">{"SRB",#N/A,FALSE,"SRB"}</definedName>
    <definedName name="sAD" localSheetId="10" hidden="1">{"SRB",#N/A,FALSE,"SRB"}</definedName>
    <definedName name="sAD" localSheetId="1" hidden="1">{"SRB",#N/A,FALSE,"SRB"}</definedName>
    <definedName name="sAD" localSheetId="3" hidden="1">{"SRB",#N/A,FALSE,"SRB"}</definedName>
    <definedName name="sAD" hidden="1">{"SRB",#N/A,FALSE,"SRB"}</definedName>
    <definedName name="sdf" localSheetId="6" hidden="1">{"Main Economic Indicators",#N/A,FALSE,"C"}</definedName>
    <definedName name="sdf" localSheetId="11" hidden="1">{"Main Economic Indicators",#N/A,FALSE,"C"}</definedName>
    <definedName name="sdf" localSheetId="5" hidden="1">{"Main Economic Indicators",#N/A,FALSE,"C"}</definedName>
    <definedName name="sdf" localSheetId="4" hidden="1">{"Main Economic Indicators",#N/A,FALSE,"C"}</definedName>
    <definedName name="sdf" localSheetId="10" hidden="1">{"Main Economic Indicators",#N/A,FALSE,"C"}</definedName>
    <definedName name="sdf" localSheetId="1" hidden="1">{"Main Economic Indicators",#N/A,FALSE,"C"}</definedName>
    <definedName name="sdf" localSheetId="3" hidden="1">{"Main Economic Indicators",#N/A,FALSE,"C"}</definedName>
    <definedName name="sdf" hidden="1">{"Main Economic Indicators",#N/A,FALSE,"C"}</definedName>
    <definedName name="sersa" localSheetId="6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localSheetId="11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localSheetId="10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localSheetId="1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localSheetId="3" hidden="1">{"REDA",#N/A,FALSE,"REDA";"REDB",#N/A,FALSE,"REDB";"REDC",#N/A,FALSE,"REDC";"REDD",#N/A,FALSE,"REDD";"REDE",#N/A,FALSE,"REDE";"REDF",#N/A,FALSE,"REDF";"REDG",#N/A,FALSE,"REDG";"REDH",#N/A,FALSE,"REDH";"REDI",#N/A,FALSE,"REDI"}</definedName>
    <definedName name="sersa" hidden="1">{"REDA",#N/A,FALSE,"REDA";"REDB",#N/A,FALSE,"REDB";"REDC",#N/A,FALSE,"REDC";"REDD",#N/A,FALSE,"REDD";"REDE",#N/A,FALSE,"REDE";"REDF",#N/A,FALSE,"REDF";"REDG",#N/A,FALSE,"REDG";"REDH",#N/A,FALSE,"REDH";"REDI",#N/A,FALSE,"REDI"}</definedName>
    <definedName name="sf_ksd" localSheetId="6" hidden="1">#REF!</definedName>
    <definedName name="sf_ksd" localSheetId="11" hidden="1">#REF!</definedName>
    <definedName name="sf_ksd" localSheetId="5" hidden="1">#REF!</definedName>
    <definedName name="sf_ksd" localSheetId="4" hidden="1">#REF!</definedName>
    <definedName name="sf_ksd" localSheetId="10" hidden="1">#REF!</definedName>
    <definedName name="sf_ksd" hidden="1">#REF!</definedName>
    <definedName name="SpecialPrice" localSheetId="6" hidden="1">#REF!</definedName>
    <definedName name="SpecialPrice" localSheetId="11" hidden="1">#REF!</definedName>
    <definedName name="SpecialPrice" localSheetId="5" hidden="1">#REF!</definedName>
    <definedName name="SpecialPrice" localSheetId="4" hidden="1">#REF!</definedName>
    <definedName name="SpecialPrice" localSheetId="10" hidden="1">#REF!</definedName>
    <definedName name="SpecialPrice" hidden="1">#REF!</definedName>
    <definedName name="t" localSheetId="6" hidden="1">{"Main Economic Indicators",#N/A,FALSE,"C"}</definedName>
    <definedName name="t" localSheetId="11" hidden="1">{"Main Economic Indicators",#N/A,FALSE,"C"}</definedName>
    <definedName name="t" localSheetId="5" hidden="1">{"Main Economic Indicators",#N/A,FALSE,"C"}</definedName>
    <definedName name="t" localSheetId="4" hidden="1">{"Main Economic Indicators",#N/A,FALSE,"C"}</definedName>
    <definedName name="t" localSheetId="10" hidden="1">{"Main Economic Indicators",#N/A,FALSE,"C"}</definedName>
    <definedName name="t" localSheetId="1" hidden="1">{"Main Economic Indicators",#N/A,FALSE,"C"}</definedName>
    <definedName name="t" localSheetId="3" hidden="1">{"Main Economic Indicators",#N/A,FALSE,"C"}</definedName>
    <definedName name="t" hidden="1">{"Main Economic Indicators",#N/A,FALSE,"C"}</definedName>
    <definedName name="tbl_ProdInfo" localSheetId="6" hidden="1">#REF!</definedName>
    <definedName name="tbl_ProdInfo" localSheetId="11" hidden="1">#REF!</definedName>
    <definedName name="tbl_ProdInfo" localSheetId="5" hidden="1">#REF!</definedName>
    <definedName name="tbl_ProdInfo" localSheetId="4" hidden="1">#REF!</definedName>
    <definedName name="tbl_ProdInfo" localSheetId="10" hidden="1">#REF!</definedName>
    <definedName name="tbl_ProdInfo" hidden="1">#REF!</definedName>
    <definedName name="term" localSheetId="6">#REF!</definedName>
    <definedName name="term" localSheetId="11">#REF!</definedName>
    <definedName name="term" localSheetId="5">#REF!</definedName>
    <definedName name="term" localSheetId="4">#REF!</definedName>
    <definedName name="term" localSheetId="10">#REF!</definedName>
    <definedName name="term" localSheetId="8">#REF!</definedName>
    <definedName name="term" localSheetId="9">#REF!</definedName>
    <definedName name="term">#REF!</definedName>
    <definedName name="TEST" localSheetId="6" hidden="1">{"SRD",#N/A,FALSE,"SRA"}</definedName>
    <definedName name="TEST" localSheetId="11" hidden="1">{"SRD",#N/A,FALSE,"SRA"}</definedName>
    <definedName name="TEST" localSheetId="5" hidden="1">{"SRD",#N/A,FALSE,"SRA"}</definedName>
    <definedName name="TEST" localSheetId="4" hidden="1">{"SRD",#N/A,FALSE,"SRA"}</definedName>
    <definedName name="TEST" localSheetId="10" hidden="1">{"SRD",#N/A,FALSE,"SRA"}</definedName>
    <definedName name="TEST" localSheetId="1" hidden="1">{"SRD",#N/A,FALSE,"SRA"}</definedName>
    <definedName name="TEST" localSheetId="3" hidden="1">{"SRD",#N/A,FALSE,"SRA"}</definedName>
    <definedName name="TEST" hidden="1">{"SRD",#N/A,FALSE,"SRA"}</definedName>
    <definedName name="titi" localSheetId="6" hidden="1">#REF!</definedName>
    <definedName name="titi" localSheetId="11" hidden="1">#REF!</definedName>
    <definedName name="titi" localSheetId="5" hidden="1">#REF!</definedName>
    <definedName name="titi" localSheetId="4" hidden="1">#REF!</definedName>
    <definedName name="titi" localSheetId="10" hidden="1">#REF!</definedName>
    <definedName name="titi" hidden="1">#REF!</definedName>
    <definedName name="ttt" localSheetId="6" hidden="1">{"Main Economic Indicators",#N/A,FALSE,"C"}</definedName>
    <definedName name="ttt" localSheetId="11" hidden="1">{"Main Economic Indicators",#N/A,FALSE,"C"}</definedName>
    <definedName name="ttt" localSheetId="5" hidden="1">{"Main Economic Indicators",#N/A,FALSE,"C"}</definedName>
    <definedName name="ttt" localSheetId="4" hidden="1">{"Main Economic Indicators",#N/A,FALSE,"C"}</definedName>
    <definedName name="ttt" localSheetId="10" hidden="1">{"Main Economic Indicators",#N/A,FALSE,"C"}</definedName>
    <definedName name="ttt" localSheetId="1" hidden="1">{"Main Economic Indicators",#N/A,FALSE,"C"}</definedName>
    <definedName name="ttt" localSheetId="3" hidden="1">{"Main Economic Indicators",#N/A,FALSE,"C"}</definedName>
    <definedName name="ttt" hidden="1">{"Main Economic Indicators",#N/A,FALSE,"C"}</definedName>
    <definedName name="tttt" localSheetId="6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localSheetId="11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localSheetId="5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localSheetId="4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localSheetId="1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localSheetId="1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localSheetId="3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tttttt" localSheetId="6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localSheetId="11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localSheetId="5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localSheetId="4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localSheetId="1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localSheetId="1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localSheetId="3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tttttttt" localSheetId="6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localSheetId="11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localSheetId="5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localSheetId="4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localSheetId="1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localSheetId="1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localSheetId="3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tttttttt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vcdf" localSheetId="6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localSheetId="11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localSheetId="10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localSheetId="1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localSheetId="3" hidden="1">{"REDA",#N/A,FALSE,"REDA";"REDB",#N/A,FALSE,"REDB";"REDC",#N/A,FALSE,"REDC";"REDD",#N/A,FALSE,"REDD";"REDE",#N/A,FALSE,"REDE";"REDF",#N/A,FALSE,"REDF";"REDG",#N/A,FALSE,"REDG";"REDH",#N/A,FALSE,"REDH";"REDI",#N/A,FALSE,"REDI"}</definedName>
    <definedName name="vcdf" hidden="1">{"REDA",#N/A,FALSE,"REDA";"REDB",#N/A,FALSE,"REDB";"REDC",#N/A,FALSE,"REDC";"REDD",#N/A,FALSE,"REDD";"REDE",#N/A,FALSE,"REDE";"REDF",#N/A,FALSE,"REDF";"REDG",#N/A,FALSE,"REDG";"REDH",#N/A,FALSE,"REDH";"REDI",#N/A,FALSE,"REDI"}</definedName>
    <definedName name="w" localSheetId="6" hidden="1">{"SRD",#N/A,FALSE,"SRA"}</definedName>
    <definedName name="w" localSheetId="11" hidden="1">{"SRD",#N/A,FALSE,"SRA"}</definedName>
    <definedName name="w" localSheetId="5" hidden="1">{"SRD",#N/A,FALSE,"SRA"}</definedName>
    <definedName name="w" localSheetId="4" hidden="1">{"SRD",#N/A,FALSE,"SRA"}</definedName>
    <definedName name="w" localSheetId="10" hidden="1">{"SRD",#N/A,FALSE,"SRA"}</definedName>
    <definedName name="w" localSheetId="1" hidden="1">{"SRD",#N/A,FALSE,"SRA"}</definedName>
    <definedName name="w" localSheetId="3" hidden="1">{"SRD",#N/A,FALSE,"SRA"}</definedName>
    <definedName name="w" hidden="1">{"SRD",#N/A,FALSE,"SRA"}</definedName>
    <definedName name="wert" localSheetId="6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localSheetId="11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localSheetId="1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localSheetId="1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localSheetId="3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" hidden="1">{"REDA",#N/A,FALSE,"REDA";"REDB",#N/A,FALSE,"REDB";"REDC",#N/A,FALSE,"REDC";"REDD",#N/A,FALSE,"REDD";"REDE",#N/A,FALSE,"REDE";"REDF",#N/A,FALSE,"REDF";"REDG",#N/A,FALSE,"REDG";"REDH",#N/A,FALSE,"REDH";"REDI",#N/A,FALSE,"REDI"}</definedName>
    <definedName name="wertr" localSheetId="6" hidden="1">{"SRB",#N/A,FALSE,"SRB"}</definedName>
    <definedName name="wertr" localSheetId="11" hidden="1">{"SRB",#N/A,FALSE,"SRB"}</definedName>
    <definedName name="wertr" localSheetId="5" hidden="1">{"SRB",#N/A,FALSE,"SRB"}</definedName>
    <definedName name="wertr" localSheetId="4" hidden="1">{"SRB",#N/A,FALSE,"SRB"}</definedName>
    <definedName name="wertr" localSheetId="10" hidden="1">{"SRB",#N/A,FALSE,"SRB"}</definedName>
    <definedName name="wertr" localSheetId="1" hidden="1">{"SRB",#N/A,FALSE,"SRB"}</definedName>
    <definedName name="wertr" localSheetId="3" hidden="1">{"SRB",#N/A,FALSE,"SRB"}</definedName>
    <definedName name="wertr" hidden="1">{"SRB",#N/A,FALSE,"SRB"}</definedName>
    <definedName name="wertwer" localSheetId="6" hidden="1">{"SRB",#N/A,FALSE,"SRB"}</definedName>
    <definedName name="wertwer" localSheetId="11" hidden="1">{"SRB",#N/A,FALSE,"SRB"}</definedName>
    <definedName name="wertwer" localSheetId="5" hidden="1">{"SRB",#N/A,FALSE,"SRB"}</definedName>
    <definedName name="wertwer" localSheetId="4" hidden="1">{"SRB",#N/A,FALSE,"SRB"}</definedName>
    <definedName name="wertwer" localSheetId="10" hidden="1">{"SRB",#N/A,FALSE,"SRB"}</definedName>
    <definedName name="wertwer" localSheetId="1" hidden="1">{"SRB",#N/A,FALSE,"SRB"}</definedName>
    <definedName name="wertwer" localSheetId="3" hidden="1">{"SRB",#N/A,FALSE,"SRB"}</definedName>
    <definedName name="wertwer" hidden="1">{"SRB",#N/A,FALSE,"SRB"}</definedName>
    <definedName name="wetwww" localSheetId="6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localSheetId="11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localSheetId="10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localSheetId="1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localSheetId="3" hidden="1">{"REDA",#N/A,FALSE,"REDA";"REDB",#N/A,FALSE,"REDB";"REDC",#N/A,FALSE,"REDC";"REDD",#N/A,FALSE,"REDD";"REDE",#N/A,FALSE,"REDE";"REDF",#N/A,FALSE,"REDF";"REDG",#N/A,FALSE,"REDG";"REDH",#N/A,FALSE,"REDH";"REDI",#N/A,FALSE,"REDI"}</definedName>
    <definedName name="wetwww" hidden="1">{"REDA",#N/A,FALSE,"REDA";"REDB",#N/A,FALSE,"REDB";"REDC",#N/A,FALSE,"REDC";"REDD",#N/A,FALSE,"REDD";"REDE",#N/A,FALSE,"REDE";"REDF",#N/A,FALSE,"REDF";"REDG",#N/A,FALSE,"REDG";"REDH",#N/A,FALSE,"REDH";"REDI",#N/A,FALSE,"REDI"}</definedName>
    <definedName name="wret" localSheetId="6" hidden="1">{"SRD",#N/A,FALSE,"SRD"}</definedName>
    <definedName name="wret" localSheetId="11" hidden="1">{"SRD",#N/A,FALSE,"SRD"}</definedName>
    <definedName name="wret" localSheetId="5" hidden="1">{"SRD",#N/A,FALSE,"SRD"}</definedName>
    <definedName name="wret" localSheetId="4" hidden="1">{"SRD",#N/A,FALSE,"SRD"}</definedName>
    <definedName name="wret" localSheetId="10" hidden="1">{"SRD",#N/A,FALSE,"SRD"}</definedName>
    <definedName name="wret" localSheetId="1" hidden="1">{"SRD",#N/A,FALSE,"SRD"}</definedName>
    <definedName name="wret" localSheetId="3" hidden="1">{"SRD",#N/A,FALSE,"SRD"}</definedName>
    <definedName name="wret" hidden="1">{"SRD",#N/A,FALSE,"SRD"}</definedName>
    <definedName name="wretre" localSheetId="6" hidden="1">{"SRB",#N/A,FALSE,"SRB"}</definedName>
    <definedName name="wretre" localSheetId="11" hidden="1">{"SRB",#N/A,FALSE,"SRB"}</definedName>
    <definedName name="wretre" localSheetId="5" hidden="1">{"SRB",#N/A,FALSE,"SRB"}</definedName>
    <definedName name="wretre" localSheetId="4" hidden="1">{"SRB",#N/A,FALSE,"SRB"}</definedName>
    <definedName name="wretre" localSheetId="10" hidden="1">{"SRB",#N/A,FALSE,"SRB"}</definedName>
    <definedName name="wretre" localSheetId="1" hidden="1">{"SRB",#N/A,FALSE,"SRB"}</definedName>
    <definedName name="wretre" localSheetId="3" hidden="1">{"SRB",#N/A,FALSE,"SRB"}</definedName>
    <definedName name="wretre" hidden="1">{"SRB",#N/A,FALSE,"SRB"}</definedName>
    <definedName name="wretwr" localSheetId="6" hidden="1">{"SRD",#N/A,FALSE,"SRA"}</definedName>
    <definedName name="wretwr" localSheetId="11" hidden="1">{"SRD",#N/A,FALSE,"SRA"}</definedName>
    <definedName name="wretwr" localSheetId="5" hidden="1">{"SRD",#N/A,FALSE,"SRA"}</definedName>
    <definedName name="wretwr" localSheetId="4" hidden="1">{"SRD",#N/A,FALSE,"SRA"}</definedName>
    <definedName name="wretwr" localSheetId="10" hidden="1">{"SRD",#N/A,FALSE,"SRA"}</definedName>
    <definedName name="wretwr" localSheetId="1" hidden="1">{"SRD",#N/A,FALSE,"SRA"}</definedName>
    <definedName name="wretwr" localSheetId="3" hidden="1">{"SRD",#N/A,FALSE,"SRA"}</definedName>
    <definedName name="wretwr" hidden="1">{"SRD",#N/A,FALSE,"SRA"}</definedName>
    <definedName name="wretwret" localSheetId="6" hidden="1">{"SRA",#N/A,FALSE,"SRA";"SRB",#N/A,FALSE,"SRB";"SRC",#N/A,FALSE,"SRC"}</definedName>
    <definedName name="wretwret" localSheetId="11" hidden="1">{"SRA",#N/A,FALSE,"SRA";"SRB",#N/A,FALSE,"SRB";"SRC",#N/A,FALSE,"SRC"}</definedName>
    <definedName name="wretwret" localSheetId="5" hidden="1">{"SRA",#N/A,FALSE,"SRA";"SRB",#N/A,FALSE,"SRB";"SRC",#N/A,FALSE,"SRC"}</definedName>
    <definedName name="wretwret" localSheetId="4" hidden="1">{"SRA",#N/A,FALSE,"SRA";"SRB",#N/A,FALSE,"SRB";"SRC",#N/A,FALSE,"SRC"}</definedName>
    <definedName name="wretwret" localSheetId="10" hidden="1">{"SRA",#N/A,FALSE,"SRA";"SRB",#N/A,FALSE,"SRB";"SRC",#N/A,FALSE,"SRC"}</definedName>
    <definedName name="wretwret" localSheetId="1" hidden="1">{"SRA",#N/A,FALSE,"SRA";"SRB",#N/A,FALSE,"SRB";"SRC",#N/A,FALSE,"SRC"}</definedName>
    <definedName name="wretwret" localSheetId="3" hidden="1">{"SRA",#N/A,FALSE,"SRA";"SRB",#N/A,FALSE,"SRB";"SRC",#N/A,FALSE,"SRC"}</definedName>
    <definedName name="wretwret" hidden="1">{"SRA",#N/A,FALSE,"SRA";"SRB",#N/A,FALSE,"SRB";"SRC",#N/A,FALSE,"SRC"}</definedName>
    <definedName name="wretwretret" localSheetId="6" hidden="1">{"SRB",#N/A,FALSE,"SRB"}</definedName>
    <definedName name="wretwretret" localSheetId="11" hidden="1">{"SRB",#N/A,FALSE,"SRB"}</definedName>
    <definedName name="wretwretret" localSheetId="5" hidden="1">{"SRB",#N/A,FALSE,"SRB"}</definedName>
    <definedName name="wretwretret" localSheetId="4" hidden="1">{"SRB",#N/A,FALSE,"SRB"}</definedName>
    <definedName name="wretwretret" localSheetId="10" hidden="1">{"SRB",#N/A,FALSE,"SRB"}</definedName>
    <definedName name="wretwretret" localSheetId="1" hidden="1">{"SRB",#N/A,FALSE,"SRB"}</definedName>
    <definedName name="wretwretret" localSheetId="3" hidden="1">{"SRB",#N/A,FALSE,"SRB"}</definedName>
    <definedName name="wretwretret" hidden="1">{"SRB",#N/A,FALSE,"SRB"}</definedName>
    <definedName name="wrn.cn." localSheetId="6" hidden="1">{"CN",#N/A,FALSE,"SEFI"}</definedName>
    <definedName name="wrn.cn." localSheetId="11" hidden="1">{"CN",#N/A,FALSE,"SEFI"}</definedName>
    <definedName name="wrn.cn." localSheetId="5" hidden="1">{"CN",#N/A,FALSE,"SEFI"}</definedName>
    <definedName name="wrn.cn." localSheetId="4" hidden="1">{"CN",#N/A,FALSE,"SEFI"}</definedName>
    <definedName name="wrn.cn." localSheetId="10" hidden="1">{"CN",#N/A,FALSE,"SEFI"}</definedName>
    <definedName name="wrn.cn." localSheetId="1" hidden="1">{"CN",#N/A,FALSE,"SEFI"}</definedName>
    <definedName name="wrn.cn." localSheetId="3" hidden="1">{"CN",#N/A,FALSE,"SEFI"}</definedName>
    <definedName name="wrn.cn." hidden="1">{"CN",#N/A,FALSE,"SEFI"}</definedName>
    <definedName name="wrn.Main._.Economic._.Indicators." localSheetId="6" hidden="1">{"Main Economic Indicators",#N/A,FALSE,"C"}</definedName>
    <definedName name="wrn.Main._.Economic._.Indicators." localSheetId="11" hidden="1">{"Main Economic Indicators",#N/A,FALSE,"C"}</definedName>
    <definedName name="wrn.Main._.Economic._.Indicators." localSheetId="5" hidden="1">{"Main Economic Indicators",#N/A,FALSE,"C"}</definedName>
    <definedName name="wrn.Main._.Economic._.Indicators." localSheetId="4" hidden="1">{"Main Economic Indicators",#N/A,FALSE,"C"}</definedName>
    <definedName name="wrn.Main._.Economic._.Indicators." localSheetId="10" hidden="1">{"Main Economic Indicators",#N/A,FALSE,"C"}</definedName>
    <definedName name="wrn.Main._.Economic._.Indicators." localSheetId="1" hidden="1">{"Main Economic Indicators",#N/A,FALSE,"C"}</definedName>
    <definedName name="wrn.Main._.Economic._.Indicators." localSheetId="3" hidden="1">{"Main Economic Indicators",#N/A,FALSE,"C"}</definedName>
    <definedName name="wrn.Main._.Economic._.Indicators." hidden="1">{"Main Economic Indicators",#N/A,FALSE,"C"}</definedName>
    <definedName name="wrn.Print._.Tabelas." localSheetId="6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localSheetId="1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localSheetId="5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localSheetId="4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localSheetId="10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localSheetId="1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localSheetId="3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." localSheetId="6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localSheetId="11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localSheetId="5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localSheetId="4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localSheetId="10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localSheetId="1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localSheetId="3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." hidden="1">{"REDA",#N/A,FALSE,"REDA";"REDB",#N/A,FALSE,"REDB";"REDC",#N/A,FALSE,"REDC";"REDD",#N/A,FALSE,"REDD";"REDE",#N/A,FALSE,"REDE";"REDF",#N/A,FALSE,"REDF";"REDG",#N/A,FALSE,"REDG";"REDH",#N/A,FALSE,"REDH";"REDI",#N/A,FALSE,"REDI"}</definedName>
    <definedName name="wrn.red97." localSheetId="6" hidden="1">{"red33",#N/A,FALSE,"Sheet1"}</definedName>
    <definedName name="wrn.red97." localSheetId="11" hidden="1">{"red33",#N/A,FALSE,"Sheet1"}</definedName>
    <definedName name="wrn.red97." localSheetId="5" hidden="1">{"red33",#N/A,FALSE,"Sheet1"}</definedName>
    <definedName name="wrn.red97." localSheetId="4" hidden="1">{"red33",#N/A,FALSE,"Sheet1"}</definedName>
    <definedName name="wrn.red97." localSheetId="10" hidden="1">{"red33",#N/A,FALSE,"Sheet1"}</definedName>
    <definedName name="wrn.red97." localSheetId="1" hidden="1">{"red33",#N/A,FALSE,"Sheet1"}</definedName>
    <definedName name="wrn.red97." localSheetId="3" hidden="1">{"red33",#N/A,FALSE,"Sheet1"}</definedName>
    <definedName name="wrn.red97." hidden="1">{"red33",#N/A,FALSE,"Sheet1"}</definedName>
    <definedName name="wrn.st1." localSheetId="6" hidden="1">{"ST1",#N/A,FALSE,"SOURCE"}</definedName>
    <definedName name="wrn.st1." localSheetId="11" hidden="1">{"ST1",#N/A,FALSE,"SOURCE"}</definedName>
    <definedName name="wrn.st1." localSheetId="5" hidden="1">{"ST1",#N/A,FALSE,"SOURCE"}</definedName>
    <definedName name="wrn.st1." localSheetId="4" hidden="1">{"ST1",#N/A,FALSE,"SOURCE"}</definedName>
    <definedName name="wrn.st1." localSheetId="10" hidden="1">{"ST1",#N/A,FALSE,"SOURCE"}</definedName>
    <definedName name="wrn.st1." localSheetId="1" hidden="1">{"ST1",#N/A,FALSE,"SOURCE"}</definedName>
    <definedName name="wrn.st1." localSheetId="3" hidden="1">{"ST1",#N/A,FALSE,"SOURCE"}</definedName>
    <definedName name="wrn.st1." hidden="1">{"ST1",#N/A,FALSE,"SOURCE"}</definedName>
    <definedName name="wrn.STAFF._.REPORT." localSheetId="6" hidden="1">{"SRA",#N/A,FALSE,"SRA";"SRB",#N/A,FALSE,"SRB";"SRC",#N/A,FALSE,"SRC"}</definedName>
    <definedName name="wrn.STAFF._.REPORT." localSheetId="11" hidden="1">{"SRA",#N/A,FALSE,"SRA";"SRB",#N/A,FALSE,"SRB";"SRC",#N/A,FALSE,"SRC"}</definedName>
    <definedName name="wrn.STAFF._.REPORT." localSheetId="5" hidden="1">{"SRA",#N/A,FALSE,"SRA";"SRB",#N/A,FALSE,"SRB";"SRC",#N/A,FALSE,"SRC"}</definedName>
    <definedName name="wrn.STAFF._.REPORT." localSheetId="4" hidden="1">{"SRA",#N/A,FALSE,"SRA";"SRB",#N/A,FALSE,"SRB";"SRC",#N/A,FALSE,"SRC"}</definedName>
    <definedName name="wrn.STAFF._.REPORT." localSheetId="10" hidden="1">{"SRA",#N/A,FALSE,"SRA";"SRB",#N/A,FALSE,"SRB";"SRC",#N/A,FALSE,"SRC"}</definedName>
    <definedName name="wrn.STAFF._.REPORT." localSheetId="1" hidden="1">{"SRA",#N/A,FALSE,"SRA";"SRB",#N/A,FALSE,"SRB";"SRC",#N/A,FALSE,"SRC"}</definedName>
    <definedName name="wrn.STAFF._.REPORT." localSheetId="3" hidden="1">{"SRA",#N/A,FALSE,"SRA";"SRB",#N/A,FALSE,"SRB";"SRC",#N/A,FALSE,"SRC"}</definedName>
    <definedName name="wrn.STAFF._.REPORT." hidden="1">{"SRA",#N/A,FALSE,"SRA";"SRB",#N/A,FALSE,"SRB";"SRC",#N/A,FALSE,"SRC"}</definedName>
    <definedName name="wrn.STAFF_REPORT_TABLES." localSheetId="6" hidden="1">{"SR_tbs",#N/A,FALSE,"MGSSEI";"SR_tbs",#N/A,FALSE,"MGSBOX";"SR_tbs",#N/A,FALSE,"MGSOCIND"}</definedName>
    <definedName name="wrn.STAFF_REPORT_TABLES." localSheetId="11" hidden="1">{"SR_tbs",#N/A,FALSE,"MGSSEI";"SR_tbs",#N/A,FALSE,"MGSBOX";"SR_tbs",#N/A,FALSE,"MGSOCIND"}</definedName>
    <definedName name="wrn.STAFF_REPORT_TABLES." localSheetId="5" hidden="1">{"SR_tbs",#N/A,FALSE,"MGSSEI";"SR_tbs",#N/A,FALSE,"MGSBOX";"SR_tbs",#N/A,FALSE,"MGSOCIND"}</definedName>
    <definedName name="wrn.STAFF_REPORT_TABLES." localSheetId="4" hidden="1">{"SR_tbs",#N/A,FALSE,"MGSSEI";"SR_tbs",#N/A,FALSE,"MGSBOX";"SR_tbs",#N/A,FALSE,"MGSOCIND"}</definedName>
    <definedName name="wrn.STAFF_REPORT_TABLES." localSheetId="10" hidden="1">{"SR_tbs",#N/A,FALSE,"MGSSEI";"SR_tbs",#N/A,FALSE,"MGSBOX";"SR_tbs",#N/A,FALSE,"MGSOCIND"}</definedName>
    <definedName name="wrn.STAFF_REPORT_TABLES." localSheetId="1" hidden="1">{"SR_tbs",#N/A,FALSE,"MGSSEI";"SR_tbs",#N/A,FALSE,"MGSBOX";"SR_tbs",#N/A,FALSE,"MGSOCIND"}</definedName>
    <definedName name="wrn.STAFF_REPORT_TABLES." localSheetId="3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rn.Stat._.Annex._.02." localSheetId="6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localSheetId="11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localSheetId="5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localSheetId="4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localSheetId="10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localSheetId="1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localSheetId="3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ret" localSheetId="6" hidden="1">{"SRA",#N/A,FALSE,"SRA";"SRB",#N/A,FALSE,"SRB";"SRC",#N/A,FALSE,"SRC"}</definedName>
    <definedName name="wrtret" localSheetId="11" hidden="1">{"SRA",#N/A,FALSE,"SRA";"SRB",#N/A,FALSE,"SRB";"SRC",#N/A,FALSE,"SRC"}</definedName>
    <definedName name="wrtret" localSheetId="5" hidden="1">{"SRA",#N/A,FALSE,"SRA";"SRB",#N/A,FALSE,"SRB";"SRC",#N/A,FALSE,"SRC"}</definedName>
    <definedName name="wrtret" localSheetId="4" hidden="1">{"SRA",#N/A,FALSE,"SRA";"SRB",#N/A,FALSE,"SRB";"SRC",#N/A,FALSE,"SRC"}</definedName>
    <definedName name="wrtret" localSheetId="10" hidden="1">{"SRA",#N/A,FALSE,"SRA";"SRB",#N/A,FALSE,"SRB";"SRC",#N/A,FALSE,"SRC"}</definedName>
    <definedName name="wrtret" localSheetId="1" hidden="1">{"SRA",#N/A,FALSE,"SRA";"SRB",#N/A,FALSE,"SRB";"SRC",#N/A,FALSE,"SRC"}</definedName>
    <definedName name="wrtret" localSheetId="3" hidden="1">{"SRA",#N/A,FALSE,"SRA";"SRB",#N/A,FALSE,"SRB";"SRC",#N/A,FALSE,"SRC"}</definedName>
    <definedName name="wrtret" hidden="1">{"SRA",#N/A,FALSE,"SRA";"SRB",#N/A,FALSE,"SRB";"SRC",#N/A,FALSE,"SRC"}</definedName>
    <definedName name="wvu.a." localSheetId="6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localSheetId="11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localSheetId="5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localSheetId="4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localSheetId="10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localSheetId="1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localSheetId="3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localSheetId="6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localSheetId="11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localSheetId="5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localSheetId="4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localSheetId="10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localSheetId="1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localSheetId="3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localSheetId="6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localSheetId="11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localSheetId="5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localSheetId="4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localSheetId="10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localSheetId="1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localSheetId="3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localSheetId="6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localSheetId="11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localSheetId="5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localSheetId="4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localSheetId="10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localSheetId="1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localSheetId="3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localSheetId="6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localSheetId="11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localSheetId="5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localSheetId="4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localSheetId="10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localSheetId="1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localSheetId="3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localSheetId="6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localSheetId="11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localSheetId="5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localSheetId="4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localSheetId="10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localSheetId="1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localSheetId="3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." localSheetId="6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localSheetId="11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localSheetId="5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localSheetId="4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localSheetId="10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localSheetId="1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localSheetId="3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details." localSheetId="6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localSheetId="11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localSheetId="5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localSheetId="4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localSheetId="10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localSheetId="1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localSheetId="3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localSheetId="6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localSheetId="11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localSheetId="5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localSheetId="4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localSheetId="1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localSheetId="1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localSheetId="3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localSheetId="6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localSheetId="11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localSheetId="5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localSheetId="4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localSheetId="10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localSheetId="1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localSheetId="3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localSheetId="6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localSheetId="11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localSheetId="5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localSheetId="4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localSheetId="1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localSheetId="1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localSheetId="3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localSheetId="6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localSheetId="11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localSheetId="5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localSheetId="4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localSheetId="10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localSheetId="1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localSheetId="3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." localSheetId="6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localSheetId="11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localSheetId="5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localSheetId="4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localSheetId="10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localSheetId="1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localSheetId="3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s." localSheetId="6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localSheetId="11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localSheetId="5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localSheetId="4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localSheetId="10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localSheetId="1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localSheetId="3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localSheetId="6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localSheetId="11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localSheetId="5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localSheetId="4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localSheetId="1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localSheetId="1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localSheetId="3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rint." localSheetId="6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11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1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1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localSheetId="6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localSheetId="11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localSheetId="5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localSheetId="4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localSheetId="1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localSheetId="1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localSheetId="3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xcvcxbcvbcbc" localSheetId="6" hidden="1">#REF!</definedName>
    <definedName name="xcvcxbcvbcbc" localSheetId="11" hidden="1">#REF!</definedName>
    <definedName name="xcvcxbcvbcbc" localSheetId="5" hidden="1">#REF!</definedName>
    <definedName name="xcvcxbcvbcbc" localSheetId="4" hidden="1">#REF!</definedName>
    <definedName name="xcvcxbcvbcbc" localSheetId="10" hidden="1">#REF!</definedName>
    <definedName name="xcvcxbcvbcbc" hidden="1">#REF!</definedName>
    <definedName name="xyz" localSheetId="6" hidden="1">{"SRB",#N/A,FALSE,"SRB"}</definedName>
    <definedName name="xyz" localSheetId="11" hidden="1">{"SRB",#N/A,FALSE,"SRB"}</definedName>
    <definedName name="xyz" localSheetId="5" hidden="1">{"SRB",#N/A,FALSE,"SRB"}</definedName>
    <definedName name="xyz" localSheetId="4" hidden="1">{"SRB",#N/A,FALSE,"SRB"}</definedName>
    <definedName name="xyz" localSheetId="10" hidden="1">{"SRB",#N/A,FALSE,"SRB"}</definedName>
    <definedName name="xyz" localSheetId="1" hidden="1">{"SRB",#N/A,FALSE,"SRB"}</definedName>
    <definedName name="xyz" localSheetId="3" hidden="1">{"SRB",#N/A,FALSE,"SRB"}</definedName>
    <definedName name="xyz" hidden="1">{"SRB",#N/A,FALSE,"SRB"}</definedName>
    <definedName name="y" localSheetId="6" hidden="1">{"Main Economic Indicators",#N/A,FALSE,"C"}</definedName>
    <definedName name="y" localSheetId="11" hidden="1">{"Main Economic Indicators",#N/A,FALSE,"C"}</definedName>
    <definedName name="y" localSheetId="5" hidden="1">{"Main Economic Indicators",#N/A,FALSE,"C"}</definedName>
    <definedName name="y" localSheetId="4" hidden="1">{"Main Economic Indicators",#N/A,FALSE,"C"}</definedName>
    <definedName name="y" localSheetId="10" hidden="1">{"Main Economic Indicators",#N/A,FALSE,"C"}</definedName>
    <definedName name="y" localSheetId="1" hidden="1">{"Main Economic Indicators",#N/A,FALSE,"C"}</definedName>
    <definedName name="y" localSheetId="3" hidden="1">{"Main Economic Indicators",#N/A,FALSE,"C"}</definedName>
    <definedName name="y" hidden="1">{"Main Economic Indicators",#N/A,FALSE,"C"}</definedName>
    <definedName name="Z_00C67BFA_FEDD_11D1_98B3_00C04FC96ABD_.wvu.Rows" localSheetId="6" hidden="1">#REF!,#REF!,#REF!,#REF!,#REF!,#REF!</definedName>
    <definedName name="Z_00C67BFA_FEDD_11D1_98B3_00C04FC96ABD_.wvu.Rows" localSheetId="11" hidden="1">#REF!,#REF!,#REF!,#REF!,#REF!,#REF!</definedName>
    <definedName name="Z_00C67BFA_FEDD_11D1_98B3_00C04FC96ABD_.wvu.Rows" localSheetId="5" hidden="1">#REF!,#REF!,#REF!,#REF!,#REF!,#REF!</definedName>
    <definedName name="Z_00C67BFA_FEDD_11D1_98B3_00C04FC96ABD_.wvu.Rows" localSheetId="4" hidden="1">#REF!,#REF!,#REF!,#REF!,#REF!,#REF!</definedName>
    <definedName name="Z_00C67BFA_FEDD_11D1_98B3_00C04FC96ABD_.wvu.Rows" hidden="1">#REF!,#REF!,#REF!,#REF!,#REF!,#REF!</definedName>
    <definedName name="Z_00C67BFB_FEDD_11D1_98B3_00C04FC96ABD_.wvu.Rows" localSheetId="6" hidden="1">#REF!,#REF!,#REF!,#REF!,#REF!,#REF!</definedName>
    <definedName name="Z_00C67BFB_FEDD_11D1_98B3_00C04FC96ABD_.wvu.Rows" localSheetId="11" hidden="1">#REF!,#REF!,#REF!,#REF!,#REF!,#REF!</definedName>
    <definedName name="Z_00C67BFB_FEDD_11D1_98B3_00C04FC96ABD_.wvu.Rows" localSheetId="5" hidden="1">#REF!,#REF!,#REF!,#REF!,#REF!,#REF!</definedName>
    <definedName name="Z_00C67BFB_FEDD_11D1_98B3_00C04FC96ABD_.wvu.Rows" localSheetId="4" hidden="1">#REF!,#REF!,#REF!,#REF!,#REF!,#REF!</definedName>
    <definedName name="Z_00C67BFB_FEDD_11D1_98B3_00C04FC96ABD_.wvu.Rows" hidden="1">#REF!,#REF!,#REF!,#REF!,#REF!,#REF!</definedName>
    <definedName name="Z_00C67BFC_FEDD_11D1_98B3_00C04FC96ABD_.wvu.Rows" localSheetId="5" hidden="1">#REF!,#REF!,#REF!,#REF!,#REF!,#REF!</definedName>
    <definedName name="Z_00C67BFC_FEDD_11D1_98B3_00C04FC96ABD_.wvu.Rows" localSheetId="4" hidden="1">#REF!,#REF!,#REF!,#REF!,#REF!,#REF!</definedName>
    <definedName name="Z_00C67BFC_FEDD_11D1_98B3_00C04FC96ABD_.wvu.Rows" hidden="1">#REF!,#REF!,#REF!,#REF!,#REF!,#REF!</definedName>
    <definedName name="Z_00C67BFD_FEDD_11D1_98B3_00C04FC96ABD_.wvu.Rows" localSheetId="5" hidden="1">#REF!,#REF!,#REF!,#REF!,#REF!,#REF!</definedName>
    <definedName name="Z_00C67BFD_FEDD_11D1_98B3_00C04FC96ABD_.wvu.Rows" localSheetId="4" hidden="1">#REF!,#REF!,#REF!,#REF!,#REF!,#REF!</definedName>
    <definedName name="Z_00C67BFD_FEDD_11D1_98B3_00C04FC96ABD_.wvu.Rows" hidden="1">#REF!,#REF!,#REF!,#REF!,#REF!,#REF!</definedName>
    <definedName name="Z_00C67BFE_FEDD_11D1_98B3_00C04FC96ABD_.wvu.Rows" localSheetId="5" hidden="1">#REF!,#REF!,#REF!,#REF!,#REF!,#REF!,#REF!,#REF!</definedName>
    <definedName name="Z_00C67BFE_FEDD_11D1_98B3_00C04FC96ABD_.wvu.Rows" localSheetId="4" hidden="1">#REF!,#REF!,#REF!,#REF!,#REF!,#REF!,#REF!,#REF!</definedName>
    <definedName name="Z_00C67BFE_FEDD_11D1_98B3_00C04FC96ABD_.wvu.Rows" hidden="1">#REF!,#REF!,#REF!,#REF!,#REF!,#REF!,#REF!,#REF!</definedName>
    <definedName name="Z_00C67BFF_FEDD_11D1_98B3_00C04FC96ABD_.wvu.Rows" localSheetId="5" hidden="1">#REF!,#REF!,#REF!,#REF!,#REF!,#REF!,#REF!</definedName>
    <definedName name="Z_00C67BFF_FEDD_11D1_98B3_00C04FC96ABD_.wvu.Rows" localSheetId="4" hidden="1">#REF!,#REF!,#REF!,#REF!,#REF!,#REF!,#REF!</definedName>
    <definedName name="Z_00C67BFF_FEDD_11D1_98B3_00C04FC96ABD_.wvu.Rows" hidden="1">#REF!,#REF!,#REF!,#REF!,#REF!,#REF!,#REF!</definedName>
    <definedName name="Z_00C67C00_FEDD_11D1_98B3_00C04FC96ABD_.wvu.Rows" localSheetId="6" hidden="1">#REF!,#REF!,#REF!,#REF!,#REF!,#REF!,#REF!</definedName>
    <definedName name="Z_00C67C00_FEDD_11D1_98B3_00C04FC96ABD_.wvu.Rows" localSheetId="11" hidden="1">#REF!,#REF!,#REF!,#REF!,#REF!,#REF!,#REF!</definedName>
    <definedName name="Z_00C67C00_FEDD_11D1_98B3_00C04FC96ABD_.wvu.Rows" localSheetId="5" hidden="1">#REF!,#REF!,#REF!,#REF!,#REF!,#REF!,#REF!</definedName>
    <definedName name="Z_00C67C00_FEDD_11D1_98B3_00C04FC96ABD_.wvu.Rows" localSheetId="4" hidden="1">#REF!,#REF!,#REF!,#REF!,#REF!,#REF!,#REF!</definedName>
    <definedName name="Z_00C67C00_FEDD_11D1_98B3_00C04FC96ABD_.wvu.Rows" localSheetId="10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localSheetId="5" hidden="1">#REF!,#REF!,#REF!,#REF!,#REF!,#REF!,#REF!,#REF!</definedName>
    <definedName name="Z_00C67C01_FEDD_11D1_98B3_00C04FC96ABD_.wvu.Rows" localSheetId="4" hidden="1">#REF!,#REF!,#REF!,#REF!,#REF!,#REF!,#REF!,#REF!</definedName>
    <definedName name="Z_00C67C01_FEDD_11D1_98B3_00C04FC96ABD_.wvu.Rows" hidden="1">#REF!,#REF!,#REF!,#REF!,#REF!,#REF!,#REF!,#REF!</definedName>
    <definedName name="Z_00C67C02_FEDD_11D1_98B3_00C04FC96ABD_.wvu.Rows" localSheetId="5" hidden="1">#REF!,#REF!,#REF!,#REF!,#REF!,#REF!,#REF!,#REF!</definedName>
    <definedName name="Z_00C67C02_FEDD_11D1_98B3_00C04FC96ABD_.wvu.Rows" localSheetId="4" hidden="1">#REF!,#REF!,#REF!,#REF!,#REF!,#REF!,#REF!,#REF!</definedName>
    <definedName name="Z_00C67C02_FEDD_11D1_98B3_00C04FC96ABD_.wvu.Rows" hidden="1">#REF!,#REF!,#REF!,#REF!,#REF!,#REF!,#REF!,#REF!</definedName>
    <definedName name="Z_00C67C03_FEDD_11D1_98B3_00C04FC96ABD_.wvu.Rows" localSheetId="5" hidden="1">#REF!,#REF!,#REF!,#REF!,#REF!,#REF!,#REF!,#REF!</definedName>
    <definedName name="Z_00C67C03_FEDD_11D1_98B3_00C04FC96ABD_.wvu.Rows" localSheetId="4" hidden="1">#REF!,#REF!,#REF!,#REF!,#REF!,#REF!,#REF!,#REF!</definedName>
    <definedName name="Z_00C67C03_FEDD_11D1_98B3_00C04FC96ABD_.wvu.Rows" hidden="1">#REF!,#REF!,#REF!,#REF!,#REF!,#REF!,#REF!,#REF!</definedName>
    <definedName name="Z_00C67C05_FEDD_11D1_98B3_00C04FC96ABD_.wvu.Rows" localSheetId="6" hidden="1">#REF!,#REF!,#REF!,#REF!,#REF!,#REF!,#REF!,#REF!,#REF!</definedName>
    <definedName name="Z_00C67C05_FEDD_11D1_98B3_00C04FC96ABD_.wvu.Rows" localSheetId="11" hidden="1">#REF!,#REF!,#REF!,#REF!,#REF!,#REF!,#REF!,#REF!,#REF!</definedName>
    <definedName name="Z_00C67C05_FEDD_11D1_98B3_00C04FC96ABD_.wvu.Rows" localSheetId="5" hidden="1">#REF!,#REF!,#REF!,#REF!,#REF!,#REF!,#REF!,#REF!,#REF!</definedName>
    <definedName name="Z_00C67C05_FEDD_11D1_98B3_00C04FC96ABD_.wvu.Rows" localSheetId="4" hidden="1">#REF!,#REF!,#REF!,#REF!,#REF!,#REF!,#REF!,#REF!,#REF!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localSheetId="6" hidden="1">#REF!,#REF!,#REF!,#REF!,#REF!,#REF!,#REF!,#REF!,#REF!</definedName>
    <definedName name="Z_00C67C06_FEDD_11D1_98B3_00C04FC96ABD_.wvu.Rows" localSheetId="11" hidden="1">#REF!,#REF!,#REF!,#REF!,#REF!,#REF!,#REF!,#REF!,#REF!</definedName>
    <definedName name="Z_00C67C06_FEDD_11D1_98B3_00C04FC96ABD_.wvu.Rows" localSheetId="5" hidden="1">#REF!,#REF!,#REF!,#REF!,#REF!,#REF!,#REF!,#REF!,#REF!</definedName>
    <definedName name="Z_00C67C06_FEDD_11D1_98B3_00C04FC96ABD_.wvu.Rows" localSheetId="4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localSheetId="5" hidden="1">#REF!,#REF!,#REF!,#REF!,#REF!,#REF!</definedName>
    <definedName name="Z_00C67C07_FEDD_11D1_98B3_00C04FC96ABD_.wvu.Rows" localSheetId="4" hidden="1">#REF!,#REF!,#REF!,#REF!,#REF!,#REF!</definedName>
    <definedName name="Z_00C67C07_FEDD_11D1_98B3_00C04FC96ABD_.wvu.Rows" hidden="1">#REF!,#REF!,#REF!,#REF!,#REF!,#REF!</definedName>
    <definedName name="Z_112039D0_FF0B_11D1_98B3_00C04FC96ABD_.wvu.Rows" localSheetId="5" hidden="1">#REF!,#REF!,#REF!,#REF!,#REF!,#REF!</definedName>
    <definedName name="Z_112039D0_FF0B_11D1_98B3_00C04FC96ABD_.wvu.Rows" localSheetId="4" hidden="1">#REF!,#REF!,#REF!,#REF!,#REF!,#REF!</definedName>
    <definedName name="Z_112039D0_FF0B_11D1_98B3_00C04FC96ABD_.wvu.Rows" hidden="1">#REF!,#REF!,#REF!,#REF!,#REF!,#REF!</definedName>
    <definedName name="Z_112039D1_FF0B_11D1_98B3_00C04FC96ABD_.wvu.Rows" localSheetId="5" hidden="1">#REF!,#REF!,#REF!,#REF!,#REF!,#REF!</definedName>
    <definedName name="Z_112039D1_FF0B_11D1_98B3_00C04FC96ABD_.wvu.Rows" localSheetId="4" hidden="1">#REF!,#REF!,#REF!,#REF!,#REF!,#REF!</definedName>
    <definedName name="Z_112039D1_FF0B_11D1_98B3_00C04FC96ABD_.wvu.Rows" hidden="1">#REF!,#REF!,#REF!,#REF!,#REF!,#REF!</definedName>
    <definedName name="Z_112039D2_FF0B_11D1_98B3_00C04FC96ABD_.wvu.Rows" localSheetId="5" hidden="1">#REF!,#REF!,#REF!,#REF!,#REF!,#REF!</definedName>
    <definedName name="Z_112039D2_FF0B_11D1_98B3_00C04FC96ABD_.wvu.Rows" localSheetId="4" hidden="1">#REF!,#REF!,#REF!,#REF!,#REF!,#REF!</definedName>
    <definedName name="Z_112039D2_FF0B_11D1_98B3_00C04FC96ABD_.wvu.Rows" hidden="1">#REF!,#REF!,#REF!,#REF!,#REF!,#REF!</definedName>
    <definedName name="Z_112039D3_FF0B_11D1_98B3_00C04FC96ABD_.wvu.Rows" localSheetId="5" hidden="1">#REF!,#REF!,#REF!,#REF!,#REF!,#REF!</definedName>
    <definedName name="Z_112039D3_FF0B_11D1_98B3_00C04FC96ABD_.wvu.Rows" localSheetId="4" hidden="1">#REF!,#REF!,#REF!,#REF!,#REF!,#REF!</definedName>
    <definedName name="Z_112039D3_FF0B_11D1_98B3_00C04FC96ABD_.wvu.Rows" hidden="1">#REF!,#REF!,#REF!,#REF!,#REF!,#REF!</definedName>
    <definedName name="Z_112039D4_FF0B_11D1_98B3_00C04FC96ABD_.wvu.Rows" localSheetId="5" hidden="1">#REF!,#REF!,#REF!,#REF!,#REF!,#REF!,#REF!,#REF!</definedName>
    <definedName name="Z_112039D4_FF0B_11D1_98B3_00C04FC96ABD_.wvu.Rows" localSheetId="4" hidden="1">#REF!,#REF!,#REF!,#REF!,#REF!,#REF!,#REF!,#REF!</definedName>
    <definedName name="Z_112039D4_FF0B_11D1_98B3_00C04FC96ABD_.wvu.Rows" hidden="1">#REF!,#REF!,#REF!,#REF!,#REF!,#REF!,#REF!,#REF!</definedName>
    <definedName name="Z_112039D5_FF0B_11D1_98B3_00C04FC96ABD_.wvu.Rows" localSheetId="5" hidden="1">#REF!,#REF!,#REF!,#REF!,#REF!,#REF!,#REF!</definedName>
    <definedName name="Z_112039D5_FF0B_11D1_98B3_00C04FC96ABD_.wvu.Rows" localSheetId="4" hidden="1">#REF!,#REF!,#REF!,#REF!,#REF!,#REF!,#REF!</definedName>
    <definedName name="Z_112039D5_FF0B_11D1_98B3_00C04FC96ABD_.wvu.Rows" hidden="1">#REF!,#REF!,#REF!,#REF!,#REF!,#REF!,#REF!</definedName>
    <definedName name="Z_112039D6_FF0B_11D1_98B3_00C04FC96ABD_.wvu.Rows" localSheetId="6" hidden="1">#REF!,#REF!,#REF!,#REF!,#REF!,#REF!,#REF!</definedName>
    <definedName name="Z_112039D6_FF0B_11D1_98B3_00C04FC96ABD_.wvu.Rows" localSheetId="11" hidden="1">#REF!,#REF!,#REF!,#REF!,#REF!,#REF!,#REF!</definedName>
    <definedName name="Z_112039D6_FF0B_11D1_98B3_00C04FC96ABD_.wvu.Rows" localSheetId="5" hidden="1">#REF!,#REF!,#REF!,#REF!,#REF!,#REF!,#REF!</definedName>
    <definedName name="Z_112039D6_FF0B_11D1_98B3_00C04FC96ABD_.wvu.Rows" localSheetId="4" hidden="1">#REF!,#REF!,#REF!,#REF!,#REF!,#REF!,#REF!</definedName>
    <definedName name="Z_112039D6_FF0B_11D1_98B3_00C04FC96ABD_.wvu.Rows" localSheetId="10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localSheetId="5" hidden="1">#REF!,#REF!,#REF!,#REF!,#REF!,#REF!,#REF!,#REF!</definedName>
    <definedName name="Z_112039D7_FF0B_11D1_98B3_00C04FC96ABD_.wvu.Rows" localSheetId="4" hidden="1">#REF!,#REF!,#REF!,#REF!,#REF!,#REF!,#REF!,#REF!</definedName>
    <definedName name="Z_112039D7_FF0B_11D1_98B3_00C04FC96ABD_.wvu.Rows" hidden="1">#REF!,#REF!,#REF!,#REF!,#REF!,#REF!,#REF!,#REF!</definedName>
    <definedName name="Z_112039D8_FF0B_11D1_98B3_00C04FC96ABD_.wvu.Rows" localSheetId="5" hidden="1">#REF!,#REF!,#REF!,#REF!,#REF!,#REF!,#REF!,#REF!</definedName>
    <definedName name="Z_112039D8_FF0B_11D1_98B3_00C04FC96ABD_.wvu.Rows" localSheetId="4" hidden="1">#REF!,#REF!,#REF!,#REF!,#REF!,#REF!,#REF!,#REF!</definedName>
    <definedName name="Z_112039D8_FF0B_11D1_98B3_00C04FC96ABD_.wvu.Rows" hidden="1">#REF!,#REF!,#REF!,#REF!,#REF!,#REF!,#REF!,#REF!</definedName>
    <definedName name="Z_112039D9_FF0B_11D1_98B3_00C04FC96ABD_.wvu.Rows" localSheetId="5" hidden="1">#REF!,#REF!,#REF!,#REF!,#REF!,#REF!,#REF!,#REF!</definedName>
    <definedName name="Z_112039D9_FF0B_11D1_98B3_00C04FC96ABD_.wvu.Rows" localSheetId="4" hidden="1">#REF!,#REF!,#REF!,#REF!,#REF!,#REF!,#REF!,#REF!</definedName>
    <definedName name="Z_112039D9_FF0B_11D1_98B3_00C04FC96ABD_.wvu.Rows" hidden="1">#REF!,#REF!,#REF!,#REF!,#REF!,#REF!,#REF!,#REF!</definedName>
    <definedName name="Z_112039DB_FF0B_11D1_98B3_00C04FC96ABD_.wvu.Rows" localSheetId="6" hidden="1">#REF!,#REF!,#REF!,#REF!,#REF!,#REF!,#REF!,#REF!,#REF!</definedName>
    <definedName name="Z_112039DB_FF0B_11D1_98B3_00C04FC96ABD_.wvu.Rows" localSheetId="11" hidden="1">#REF!,#REF!,#REF!,#REF!,#REF!,#REF!,#REF!,#REF!,#REF!</definedName>
    <definedName name="Z_112039DB_FF0B_11D1_98B3_00C04FC96ABD_.wvu.Rows" localSheetId="5" hidden="1">#REF!,#REF!,#REF!,#REF!,#REF!,#REF!,#REF!,#REF!,#REF!</definedName>
    <definedName name="Z_112039DB_FF0B_11D1_98B3_00C04FC96ABD_.wvu.Rows" localSheetId="4" hidden="1">#REF!,#REF!,#REF!,#REF!,#REF!,#REF!,#REF!,#REF!,#REF!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localSheetId="5" hidden="1">#REF!,#REF!,#REF!,#REF!,#REF!,#REF!,#REF!,#REF!,#REF!</definedName>
    <definedName name="Z_112039DC_FF0B_11D1_98B3_00C04FC96ABD_.wvu.Rows" localSheetId="4" hidden="1">#REF!,#REF!,#REF!,#REF!,#REF!,#REF!,#REF!,#REF!,#REF!</definedName>
    <definedName name="Z_112039DC_FF0B_11D1_98B3_00C04FC96ABD_.wvu.Rows" hidden="1">#REF!,#REF!,#REF!,#REF!,#REF!,#REF!,#REF!,#REF!,#REF!</definedName>
    <definedName name="Z_112039DD_FF0B_11D1_98B3_00C04FC96ABD_.wvu.Rows" localSheetId="5" hidden="1">#REF!,#REF!,#REF!,#REF!,#REF!,#REF!</definedName>
    <definedName name="Z_112039DD_FF0B_11D1_98B3_00C04FC96ABD_.wvu.Rows" localSheetId="4" hidden="1">#REF!,#REF!,#REF!,#REF!,#REF!,#REF!</definedName>
    <definedName name="Z_112039DD_FF0B_11D1_98B3_00C04FC96ABD_.wvu.Rows" hidden="1">#REF!,#REF!,#REF!,#REF!,#REF!,#REF!</definedName>
    <definedName name="Z_112B8339_2081_11D2_BFD2_00A02466506E_.wvu.PrintTitles" hidden="1">#REF!,#REF!</definedName>
    <definedName name="Z_112B833B_2081_11D2_BFD2_00A02466506E_.wvu.PrintTitles" hidden="1">#REF!,#REF!</definedName>
    <definedName name="Z_1A8C061B_2301_11D3_BFD1_000039E37209_.wvu.Cols" localSheetId="6" hidden="1">#REF!,#REF!,#REF!</definedName>
    <definedName name="Z_1A8C061B_2301_11D3_BFD1_000039E37209_.wvu.Cols" localSheetId="11" hidden="1">#REF!,#REF!,#REF!</definedName>
    <definedName name="Z_1A8C061B_2301_11D3_BFD1_000039E37209_.wvu.Cols" localSheetId="5" hidden="1">#REF!,#REF!,#REF!</definedName>
    <definedName name="Z_1A8C061B_2301_11D3_BFD1_000039E37209_.wvu.Cols" localSheetId="4" hidden="1">#REF!,#REF!,#REF!</definedName>
    <definedName name="Z_1A8C061B_2301_11D3_BFD1_000039E37209_.wvu.Cols" localSheetId="10" hidden="1">#REF!,#REF!,#REF!</definedName>
    <definedName name="Z_1A8C061B_2301_11D3_BFD1_000039E37209_.wvu.Cols" hidden="1">#REF!,#REF!,#REF!</definedName>
    <definedName name="Z_1A8C061B_2301_11D3_BFD1_000039E37209_.wvu.Rows" localSheetId="6" hidden="1">#REF!,#REF!,#REF!</definedName>
    <definedName name="Z_1A8C061B_2301_11D3_BFD1_000039E37209_.wvu.Rows" localSheetId="11" hidden="1">#REF!,#REF!,#REF!</definedName>
    <definedName name="Z_1A8C061B_2301_11D3_BFD1_000039E37209_.wvu.Rows" localSheetId="5" hidden="1">#REF!,#REF!,#REF!</definedName>
    <definedName name="Z_1A8C061B_2301_11D3_BFD1_000039E37209_.wvu.Rows" localSheetId="4" hidden="1">#REF!,#REF!,#REF!</definedName>
    <definedName name="Z_1A8C061B_2301_11D3_BFD1_000039E37209_.wvu.Rows" localSheetId="10" hidden="1">#REF!,#REF!,#REF!</definedName>
    <definedName name="Z_1A8C061B_2301_11D3_BFD1_000039E37209_.wvu.Rows" hidden="1">#REF!,#REF!,#REF!</definedName>
    <definedName name="Z_1A8C061C_2301_11D3_BFD1_000039E37209_.wvu.Cols" localSheetId="6" hidden="1">#REF!,#REF!,#REF!</definedName>
    <definedName name="Z_1A8C061C_2301_11D3_BFD1_000039E37209_.wvu.Cols" localSheetId="11" hidden="1">#REF!,#REF!,#REF!</definedName>
    <definedName name="Z_1A8C061C_2301_11D3_BFD1_000039E37209_.wvu.Cols" localSheetId="5" hidden="1">#REF!,#REF!,#REF!</definedName>
    <definedName name="Z_1A8C061C_2301_11D3_BFD1_000039E37209_.wvu.Cols" localSheetId="4" hidden="1">#REF!,#REF!,#REF!</definedName>
    <definedName name="Z_1A8C061C_2301_11D3_BFD1_000039E37209_.wvu.Cols" localSheetId="10" hidden="1">#REF!,#REF!,#REF!</definedName>
    <definedName name="Z_1A8C061C_2301_11D3_BFD1_000039E37209_.wvu.Cols" hidden="1">#REF!,#REF!,#REF!</definedName>
    <definedName name="Z_1A8C061C_2301_11D3_BFD1_000039E37209_.wvu.Rows" localSheetId="6" hidden="1">#REF!,#REF!,#REF!</definedName>
    <definedName name="Z_1A8C061C_2301_11D3_BFD1_000039E37209_.wvu.Rows" localSheetId="11" hidden="1">#REF!,#REF!,#REF!</definedName>
    <definedName name="Z_1A8C061C_2301_11D3_BFD1_000039E37209_.wvu.Rows" localSheetId="5" hidden="1">#REF!,#REF!,#REF!</definedName>
    <definedName name="Z_1A8C061C_2301_11D3_BFD1_000039E37209_.wvu.Rows" localSheetId="4" hidden="1">#REF!,#REF!,#REF!</definedName>
    <definedName name="Z_1A8C061C_2301_11D3_BFD1_000039E37209_.wvu.Rows" localSheetId="10" hidden="1">#REF!,#REF!,#REF!</definedName>
    <definedName name="Z_1A8C061C_2301_11D3_BFD1_000039E37209_.wvu.Rows" hidden="1">#REF!,#REF!,#REF!</definedName>
    <definedName name="Z_1A8C061E_2301_11D3_BFD1_000039E37209_.wvu.Cols" localSheetId="6" hidden="1">#REF!,#REF!,#REF!</definedName>
    <definedName name="Z_1A8C061E_2301_11D3_BFD1_000039E37209_.wvu.Cols" localSheetId="11" hidden="1">#REF!,#REF!,#REF!</definedName>
    <definedName name="Z_1A8C061E_2301_11D3_BFD1_000039E37209_.wvu.Cols" localSheetId="5" hidden="1">#REF!,#REF!,#REF!</definedName>
    <definedName name="Z_1A8C061E_2301_11D3_BFD1_000039E37209_.wvu.Cols" localSheetId="4" hidden="1">#REF!,#REF!,#REF!</definedName>
    <definedName name="Z_1A8C061E_2301_11D3_BFD1_000039E37209_.wvu.Cols" localSheetId="10" hidden="1">#REF!,#REF!,#REF!</definedName>
    <definedName name="Z_1A8C061E_2301_11D3_BFD1_000039E37209_.wvu.Cols" hidden="1">#REF!,#REF!,#REF!</definedName>
    <definedName name="Z_1A8C061E_2301_11D3_BFD1_000039E37209_.wvu.Rows" localSheetId="6" hidden="1">#REF!,#REF!,#REF!</definedName>
    <definedName name="Z_1A8C061E_2301_11D3_BFD1_000039E37209_.wvu.Rows" localSheetId="11" hidden="1">#REF!,#REF!,#REF!</definedName>
    <definedName name="Z_1A8C061E_2301_11D3_BFD1_000039E37209_.wvu.Rows" localSheetId="5" hidden="1">#REF!,#REF!,#REF!</definedName>
    <definedName name="Z_1A8C061E_2301_11D3_BFD1_000039E37209_.wvu.Rows" localSheetId="4" hidden="1">#REF!,#REF!,#REF!</definedName>
    <definedName name="Z_1A8C061E_2301_11D3_BFD1_000039E37209_.wvu.Rows" localSheetId="10" hidden="1">#REF!,#REF!,#REF!</definedName>
    <definedName name="Z_1A8C061E_2301_11D3_BFD1_000039E37209_.wvu.Rows" hidden="1">#REF!,#REF!,#REF!</definedName>
    <definedName name="Z_1A8C061F_2301_11D3_BFD1_000039E37209_.wvu.Cols" localSheetId="6" hidden="1">#REF!,#REF!,#REF!</definedName>
    <definedName name="Z_1A8C061F_2301_11D3_BFD1_000039E37209_.wvu.Cols" localSheetId="11" hidden="1">#REF!,#REF!,#REF!</definedName>
    <definedName name="Z_1A8C061F_2301_11D3_BFD1_000039E37209_.wvu.Cols" localSheetId="5" hidden="1">#REF!,#REF!,#REF!</definedName>
    <definedName name="Z_1A8C061F_2301_11D3_BFD1_000039E37209_.wvu.Cols" localSheetId="4" hidden="1">#REF!,#REF!,#REF!</definedName>
    <definedName name="Z_1A8C061F_2301_11D3_BFD1_000039E37209_.wvu.Cols" localSheetId="10" hidden="1">#REF!,#REF!,#REF!</definedName>
    <definedName name="Z_1A8C061F_2301_11D3_BFD1_000039E37209_.wvu.Cols" hidden="1">#REF!,#REF!,#REF!</definedName>
    <definedName name="Z_1A8C061F_2301_11D3_BFD1_000039E37209_.wvu.Rows" localSheetId="6" hidden="1">#REF!,#REF!,#REF!</definedName>
    <definedName name="Z_1A8C061F_2301_11D3_BFD1_000039E37209_.wvu.Rows" localSheetId="11" hidden="1">#REF!,#REF!,#REF!</definedName>
    <definedName name="Z_1A8C061F_2301_11D3_BFD1_000039E37209_.wvu.Rows" localSheetId="5" hidden="1">#REF!,#REF!,#REF!</definedName>
    <definedName name="Z_1A8C061F_2301_11D3_BFD1_000039E37209_.wvu.Rows" localSheetId="4" hidden="1">#REF!,#REF!,#REF!</definedName>
    <definedName name="Z_1A8C061F_2301_11D3_BFD1_000039E37209_.wvu.Rows" localSheetId="10" hidden="1">#REF!,#REF!,#REF!</definedName>
    <definedName name="Z_1A8C061F_2301_11D3_BFD1_000039E37209_.wvu.Rows" hidden="1">#REF!,#REF!,#REF!</definedName>
    <definedName name="Z_1F4C2007_FFA7_11D1_98B6_00C04FC96ABD_.wvu.Rows" localSheetId="5" hidden="1">#REF!,#REF!,#REF!,#REF!,#REF!,#REF!</definedName>
    <definedName name="Z_1F4C2007_FFA7_11D1_98B6_00C04FC96ABD_.wvu.Rows" localSheetId="4" hidden="1">#REF!,#REF!,#REF!,#REF!,#REF!,#REF!</definedName>
    <definedName name="Z_1F4C2007_FFA7_11D1_98B6_00C04FC96ABD_.wvu.Rows" hidden="1">#REF!,#REF!,#REF!,#REF!,#REF!,#REF!</definedName>
    <definedName name="Z_1F4C2008_FFA7_11D1_98B6_00C04FC96ABD_.wvu.Rows" localSheetId="5" hidden="1">#REF!,#REF!,#REF!,#REF!,#REF!,#REF!</definedName>
    <definedName name="Z_1F4C2008_FFA7_11D1_98B6_00C04FC96ABD_.wvu.Rows" localSheetId="4" hidden="1">#REF!,#REF!,#REF!,#REF!,#REF!,#REF!</definedName>
    <definedName name="Z_1F4C2008_FFA7_11D1_98B6_00C04FC96ABD_.wvu.Rows" hidden="1">#REF!,#REF!,#REF!,#REF!,#REF!,#REF!</definedName>
    <definedName name="Z_1F4C2009_FFA7_11D1_98B6_00C04FC96ABD_.wvu.Rows" localSheetId="5" hidden="1">#REF!,#REF!,#REF!,#REF!,#REF!,#REF!</definedName>
    <definedName name="Z_1F4C2009_FFA7_11D1_98B6_00C04FC96ABD_.wvu.Rows" localSheetId="4" hidden="1">#REF!,#REF!,#REF!,#REF!,#REF!,#REF!</definedName>
    <definedName name="Z_1F4C2009_FFA7_11D1_98B6_00C04FC96ABD_.wvu.Rows" hidden="1">#REF!,#REF!,#REF!,#REF!,#REF!,#REF!</definedName>
    <definedName name="Z_1F4C200A_FFA7_11D1_98B6_00C04FC96ABD_.wvu.Rows" localSheetId="5" hidden="1">#REF!,#REF!,#REF!,#REF!,#REF!,#REF!</definedName>
    <definedName name="Z_1F4C200A_FFA7_11D1_98B6_00C04FC96ABD_.wvu.Rows" localSheetId="4" hidden="1">#REF!,#REF!,#REF!,#REF!,#REF!,#REF!</definedName>
    <definedName name="Z_1F4C200A_FFA7_11D1_98B6_00C04FC96ABD_.wvu.Rows" hidden="1">#REF!,#REF!,#REF!,#REF!,#REF!,#REF!</definedName>
    <definedName name="Z_1F4C200B_FFA7_11D1_98B6_00C04FC96ABD_.wvu.Rows" localSheetId="5" hidden="1">#REF!,#REF!,#REF!,#REF!,#REF!,#REF!,#REF!,#REF!</definedName>
    <definedName name="Z_1F4C200B_FFA7_11D1_98B6_00C04FC96ABD_.wvu.Rows" localSheetId="4" hidden="1">#REF!,#REF!,#REF!,#REF!,#REF!,#REF!,#REF!,#REF!</definedName>
    <definedName name="Z_1F4C200B_FFA7_11D1_98B6_00C04FC96ABD_.wvu.Rows" hidden="1">#REF!,#REF!,#REF!,#REF!,#REF!,#REF!,#REF!,#REF!</definedName>
    <definedName name="Z_1F4C200C_FFA7_11D1_98B6_00C04FC96ABD_.wvu.Rows" localSheetId="5" hidden="1">#REF!,#REF!,#REF!,#REF!,#REF!,#REF!,#REF!</definedName>
    <definedName name="Z_1F4C200C_FFA7_11D1_98B6_00C04FC96ABD_.wvu.Rows" localSheetId="4" hidden="1">#REF!,#REF!,#REF!,#REF!,#REF!,#REF!,#REF!</definedName>
    <definedName name="Z_1F4C200C_FFA7_11D1_98B6_00C04FC96ABD_.wvu.Rows" hidden="1">#REF!,#REF!,#REF!,#REF!,#REF!,#REF!,#REF!</definedName>
    <definedName name="Z_1F4C200D_FFA7_11D1_98B6_00C04FC96ABD_.wvu.Rows" localSheetId="6" hidden="1">#REF!,#REF!,#REF!,#REF!,#REF!,#REF!,#REF!</definedName>
    <definedName name="Z_1F4C200D_FFA7_11D1_98B6_00C04FC96ABD_.wvu.Rows" localSheetId="11" hidden="1">#REF!,#REF!,#REF!,#REF!,#REF!,#REF!,#REF!</definedName>
    <definedName name="Z_1F4C200D_FFA7_11D1_98B6_00C04FC96ABD_.wvu.Rows" localSheetId="5" hidden="1">#REF!,#REF!,#REF!,#REF!,#REF!,#REF!,#REF!</definedName>
    <definedName name="Z_1F4C200D_FFA7_11D1_98B6_00C04FC96ABD_.wvu.Rows" localSheetId="4" hidden="1">#REF!,#REF!,#REF!,#REF!,#REF!,#REF!,#REF!</definedName>
    <definedName name="Z_1F4C200D_FFA7_11D1_98B6_00C04FC96ABD_.wvu.Rows" localSheetId="10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localSheetId="5" hidden="1">#REF!,#REF!,#REF!,#REF!,#REF!,#REF!,#REF!,#REF!</definedName>
    <definedName name="Z_1F4C200E_FFA7_11D1_98B6_00C04FC96ABD_.wvu.Rows" localSheetId="4" hidden="1">#REF!,#REF!,#REF!,#REF!,#REF!,#REF!,#REF!,#REF!</definedName>
    <definedName name="Z_1F4C200E_FFA7_11D1_98B6_00C04FC96ABD_.wvu.Rows" hidden="1">#REF!,#REF!,#REF!,#REF!,#REF!,#REF!,#REF!,#REF!</definedName>
    <definedName name="Z_1F4C200F_FFA7_11D1_98B6_00C04FC96ABD_.wvu.Rows" localSheetId="5" hidden="1">#REF!,#REF!,#REF!,#REF!,#REF!,#REF!,#REF!,#REF!</definedName>
    <definedName name="Z_1F4C200F_FFA7_11D1_98B6_00C04FC96ABD_.wvu.Rows" localSheetId="4" hidden="1">#REF!,#REF!,#REF!,#REF!,#REF!,#REF!,#REF!,#REF!</definedName>
    <definedName name="Z_1F4C200F_FFA7_11D1_98B6_00C04FC96ABD_.wvu.Rows" hidden="1">#REF!,#REF!,#REF!,#REF!,#REF!,#REF!,#REF!,#REF!</definedName>
    <definedName name="Z_1F4C2010_FFA7_11D1_98B6_00C04FC96ABD_.wvu.Rows" localSheetId="5" hidden="1">#REF!,#REF!,#REF!,#REF!,#REF!,#REF!,#REF!,#REF!</definedName>
    <definedName name="Z_1F4C2010_FFA7_11D1_98B6_00C04FC96ABD_.wvu.Rows" localSheetId="4" hidden="1">#REF!,#REF!,#REF!,#REF!,#REF!,#REF!,#REF!,#REF!</definedName>
    <definedName name="Z_1F4C2010_FFA7_11D1_98B6_00C04FC96ABD_.wvu.Rows" hidden="1">#REF!,#REF!,#REF!,#REF!,#REF!,#REF!,#REF!,#REF!</definedName>
    <definedName name="Z_1F4C2012_FFA7_11D1_98B6_00C04FC96ABD_.wvu.Rows" localSheetId="5" hidden="1">#REF!,#REF!,#REF!,#REF!,#REF!,#REF!,#REF!,#REF!,#REF!</definedName>
    <definedName name="Z_1F4C2012_FFA7_11D1_98B6_00C04FC96ABD_.wvu.Rows" localSheetId="4" hidden="1">#REF!,#REF!,#REF!,#REF!,#REF!,#REF!,#REF!,#REF!,#REF!</definedName>
    <definedName name="Z_1F4C2012_FFA7_11D1_98B6_00C04FC96ABD_.wvu.Rows" hidden="1">#REF!,#REF!,#REF!,#REF!,#REF!,#REF!,#REF!,#REF!,#REF!</definedName>
    <definedName name="Z_1F4C2013_FFA7_11D1_98B6_00C04FC96ABD_.wvu.Rows" localSheetId="5" hidden="1">#REF!,#REF!,#REF!,#REF!,#REF!,#REF!,#REF!,#REF!,#REF!</definedName>
    <definedName name="Z_1F4C2013_FFA7_11D1_98B6_00C04FC96ABD_.wvu.Rows" localSheetId="4" hidden="1">#REF!,#REF!,#REF!,#REF!,#REF!,#REF!,#REF!,#REF!,#REF!</definedName>
    <definedName name="Z_1F4C2013_FFA7_11D1_98B6_00C04FC96ABD_.wvu.Rows" hidden="1">#REF!,#REF!,#REF!,#REF!,#REF!,#REF!,#REF!,#REF!,#REF!</definedName>
    <definedName name="Z_1F4C2014_FFA7_11D1_98B6_00C04FC96ABD_.wvu.Rows" localSheetId="5" hidden="1">#REF!,#REF!,#REF!,#REF!,#REF!,#REF!</definedName>
    <definedName name="Z_1F4C2014_FFA7_11D1_98B6_00C04FC96ABD_.wvu.Rows" localSheetId="4" hidden="1">#REF!,#REF!,#REF!,#REF!,#REF!,#REF!</definedName>
    <definedName name="Z_1F4C2014_FFA7_11D1_98B6_00C04FC96ABD_.wvu.Rows" hidden="1">#REF!,#REF!,#REF!,#REF!,#REF!,#REF!</definedName>
    <definedName name="Z_49B0A4B0_963B_11D1_BFD1_00A02466B680_.wvu.Rows" localSheetId="5" hidden="1">#REF!,#REF!,#REF!,#REF!,#REF!,#REF!</definedName>
    <definedName name="Z_49B0A4B0_963B_11D1_BFD1_00A02466B680_.wvu.Rows" localSheetId="4" hidden="1">#REF!,#REF!,#REF!,#REF!,#REF!,#REF!</definedName>
    <definedName name="Z_49B0A4B0_963B_11D1_BFD1_00A02466B680_.wvu.Rows" hidden="1">#REF!,#REF!,#REF!,#REF!,#REF!,#REF!</definedName>
    <definedName name="Z_49B0A4B1_963B_11D1_BFD1_00A02466B680_.wvu.Rows" localSheetId="5" hidden="1">#REF!,#REF!,#REF!,#REF!,#REF!,#REF!</definedName>
    <definedName name="Z_49B0A4B1_963B_11D1_BFD1_00A02466B680_.wvu.Rows" localSheetId="4" hidden="1">#REF!,#REF!,#REF!,#REF!,#REF!,#REF!</definedName>
    <definedName name="Z_49B0A4B1_963B_11D1_BFD1_00A02466B680_.wvu.Rows" hidden="1">#REF!,#REF!,#REF!,#REF!,#REF!,#REF!</definedName>
    <definedName name="Z_49B0A4B4_963B_11D1_BFD1_00A02466B680_.wvu.Rows" localSheetId="5" hidden="1">#REF!,#REF!,#REF!,#REF!,#REF!,#REF!,#REF!,#REF!</definedName>
    <definedName name="Z_49B0A4B4_963B_11D1_BFD1_00A02466B680_.wvu.Rows" localSheetId="4" hidden="1">#REF!,#REF!,#REF!,#REF!,#REF!,#REF!,#REF!,#REF!</definedName>
    <definedName name="Z_49B0A4B4_963B_11D1_BFD1_00A02466B680_.wvu.Rows" hidden="1">#REF!,#REF!,#REF!,#REF!,#REF!,#REF!,#REF!,#REF!</definedName>
    <definedName name="Z_49B0A4B5_963B_11D1_BFD1_00A02466B680_.wvu.Rows" localSheetId="5" hidden="1">#REF!,#REF!,#REF!,#REF!,#REF!,#REF!,#REF!</definedName>
    <definedName name="Z_49B0A4B5_963B_11D1_BFD1_00A02466B680_.wvu.Rows" localSheetId="4" hidden="1">#REF!,#REF!,#REF!,#REF!,#REF!,#REF!,#REF!</definedName>
    <definedName name="Z_49B0A4B5_963B_11D1_BFD1_00A02466B680_.wvu.Rows" hidden="1">#REF!,#REF!,#REF!,#REF!,#REF!,#REF!,#REF!</definedName>
    <definedName name="Z_49B0A4B6_963B_11D1_BFD1_00A02466B680_.wvu.Rows" localSheetId="6" hidden="1">#REF!,#REF!,#REF!,#REF!,#REF!,#REF!,#REF!</definedName>
    <definedName name="Z_49B0A4B6_963B_11D1_BFD1_00A02466B680_.wvu.Rows" localSheetId="11" hidden="1">#REF!,#REF!,#REF!,#REF!,#REF!,#REF!,#REF!</definedName>
    <definedName name="Z_49B0A4B6_963B_11D1_BFD1_00A02466B680_.wvu.Rows" localSheetId="5" hidden="1">#REF!,#REF!,#REF!,#REF!,#REF!,#REF!,#REF!</definedName>
    <definedName name="Z_49B0A4B6_963B_11D1_BFD1_00A02466B680_.wvu.Rows" localSheetId="4" hidden="1">#REF!,#REF!,#REF!,#REF!,#REF!,#REF!,#REF!</definedName>
    <definedName name="Z_49B0A4B6_963B_11D1_BFD1_00A02466B680_.wvu.Rows" localSheetId="10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localSheetId="5" hidden="1">#REF!,#REF!,#REF!,#REF!,#REF!,#REF!,#REF!,#REF!</definedName>
    <definedName name="Z_49B0A4B7_963B_11D1_BFD1_00A02466B680_.wvu.Rows" localSheetId="4" hidden="1">#REF!,#REF!,#REF!,#REF!,#REF!,#REF!,#REF!,#REF!</definedName>
    <definedName name="Z_49B0A4B7_963B_11D1_BFD1_00A02466B680_.wvu.Rows" hidden="1">#REF!,#REF!,#REF!,#REF!,#REF!,#REF!,#REF!,#REF!</definedName>
    <definedName name="Z_49B0A4B8_963B_11D1_BFD1_00A02466B680_.wvu.Rows" localSheetId="5" hidden="1">#REF!,#REF!,#REF!,#REF!,#REF!,#REF!,#REF!,#REF!</definedName>
    <definedName name="Z_49B0A4B8_963B_11D1_BFD1_00A02466B680_.wvu.Rows" localSheetId="4" hidden="1">#REF!,#REF!,#REF!,#REF!,#REF!,#REF!,#REF!,#REF!</definedName>
    <definedName name="Z_49B0A4B8_963B_11D1_BFD1_00A02466B680_.wvu.Rows" hidden="1">#REF!,#REF!,#REF!,#REF!,#REF!,#REF!,#REF!,#REF!</definedName>
    <definedName name="Z_49B0A4B9_963B_11D1_BFD1_00A02466B680_.wvu.Rows" localSheetId="5" hidden="1">#REF!,#REF!,#REF!,#REF!,#REF!,#REF!,#REF!,#REF!</definedName>
    <definedName name="Z_49B0A4B9_963B_11D1_BFD1_00A02466B680_.wvu.Rows" localSheetId="4" hidden="1">#REF!,#REF!,#REF!,#REF!,#REF!,#REF!,#REF!,#REF!</definedName>
    <definedName name="Z_49B0A4B9_963B_11D1_BFD1_00A02466B680_.wvu.Rows" hidden="1">#REF!,#REF!,#REF!,#REF!,#REF!,#REF!,#REF!,#REF!</definedName>
    <definedName name="Z_49B0A4BB_963B_11D1_BFD1_00A02466B680_.wvu.Rows" localSheetId="5" hidden="1">#REF!,#REF!,#REF!,#REF!,#REF!,#REF!,#REF!,#REF!,#REF!</definedName>
    <definedName name="Z_49B0A4BB_963B_11D1_BFD1_00A02466B680_.wvu.Rows" localSheetId="4" hidden="1">#REF!,#REF!,#REF!,#REF!,#REF!,#REF!,#REF!,#REF!,#REF!</definedName>
    <definedName name="Z_49B0A4BB_963B_11D1_BFD1_00A02466B680_.wvu.Rows" hidden="1">#REF!,#REF!,#REF!,#REF!,#REF!,#REF!,#REF!,#REF!,#REF!</definedName>
    <definedName name="Z_49B0A4BC_963B_11D1_BFD1_00A02466B680_.wvu.Rows" localSheetId="5" hidden="1">#REF!,#REF!,#REF!,#REF!,#REF!,#REF!,#REF!,#REF!,#REF!</definedName>
    <definedName name="Z_49B0A4BC_963B_11D1_BFD1_00A02466B680_.wvu.Rows" localSheetId="4" hidden="1">#REF!,#REF!,#REF!,#REF!,#REF!,#REF!,#REF!,#REF!,#REF!</definedName>
    <definedName name="Z_49B0A4BC_963B_11D1_BFD1_00A02466B680_.wvu.Rows" hidden="1">#REF!,#REF!,#REF!,#REF!,#REF!,#REF!,#REF!,#REF!,#REF!</definedName>
    <definedName name="Z_49B0A4BD_963B_11D1_BFD1_00A02466B680_.wvu.Rows" localSheetId="6" hidden="1">#REF!,#REF!,#REF!,#REF!,#REF!,#REF!</definedName>
    <definedName name="Z_49B0A4BD_963B_11D1_BFD1_00A02466B680_.wvu.Rows" localSheetId="5" hidden="1">#REF!,#REF!,#REF!,#REF!,#REF!,#REF!</definedName>
    <definedName name="Z_49B0A4BD_963B_11D1_BFD1_00A02466B680_.wvu.Rows" localSheetId="4" hidden="1">#REF!,#REF!,#REF!,#REF!,#REF!,#REF!</definedName>
    <definedName name="Z_49B0A4BD_963B_11D1_BFD1_00A02466B680_.wvu.Rows" hidden="1">#REF!,#REF!,#REF!,#REF!,#REF!,#REF!</definedName>
    <definedName name="Z_65976840_70A2_11D2_BFD1_C1F7123CE332_.wvu.PrintTitles" hidden="1">#REF!,#REF!</definedName>
    <definedName name="Z_9E0C48F8_FFCC_11D1_98BA_00C04FC96ABD_.wvu.Rows" localSheetId="5" hidden="1">#REF!,#REF!,#REF!,#REF!,#REF!,#REF!</definedName>
    <definedName name="Z_9E0C48F8_FFCC_11D1_98BA_00C04FC96ABD_.wvu.Rows" localSheetId="4" hidden="1">#REF!,#REF!,#REF!,#REF!,#REF!,#REF!</definedName>
    <definedName name="Z_9E0C48F8_FFCC_11D1_98BA_00C04FC96ABD_.wvu.Rows" hidden="1">#REF!,#REF!,#REF!,#REF!,#REF!,#REF!</definedName>
    <definedName name="Z_9E0C48F9_FFCC_11D1_98BA_00C04FC96ABD_.wvu.Rows" localSheetId="5" hidden="1">#REF!,#REF!,#REF!,#REF!,#REF!,#REF!</definedName>
    <definedName name="Z_9E0C48F9_FFCC_11D1_98BA_00C04FC96ABD_.wvu.Rows" localSheetId="4" hidden="1">#REF!,#REF!,#REF!,#REF!,#REF!,#REF!</definedName>
    <definedName name="Z_9E0C48F9_FFCC_11D1_98BA_00C04FC96ABD_.wvu.Rows" hidden="1">#REF!,#REF!,#REF!,#REF!,#REF!,#REF!</definedName>
    <definedName name="Z_9E0C48FA_FFCC_11D1_98BA_00C04FC96ABD_.wvu.Rows" localSheetId="5" hidden="1">#REF!,#REF!,#REF!,#REF!,#REF!,#REF!</definedName>
    <definedName name="Z_9E0C48FA_FFCC_11D1_98BA_00C04FC96ABD_.wvu.Rows" localSheetId="4" hidden="1">#REF!,#REF!,#REF!,#REF!,#REF!,#REF!</definedName>
    <definedName name="Z_9E0C48FA_FFCC_11D1_98BA_00C04FC96ABD_.wvu.Rows" hidden="1">#REF!,#REF!,#REF!,#REF!,#REF!,#REF!</definedName>
    <definedName name="Z_9E0C48FB_FFCC_11D1_98BA_00C04FC96ABD_.wvu.Rows" localSheetId="5" hidden="1">#REF!,#REF!,#REF!,#REF!,#REF!,#REF!</definedName>
    <definedName name="Z_9E0C48FB_FFCC_11D1_98BA_00C04FC96ABD_.wvu.Rows" localSheetId="4" hidden="1">#REF!,#REF!,#REF!,#REF!,#REF!,#REF!</definedName>
    <definedName name="Z_9E0C48FB_FFCC_11D1_98BA_00C04FC96ABD_.wvu.Rows" hidden="1">#REF!,#REF!,#REF!,#REF!,#REF!,#REF!</definedName>
    <definedName name="Z_9E0C48FC_FFCC_11D1_98BA_00C04FC96ABD_.wvu.Rows" localSheetId="5" hidden="1">#REF!,#REF!,#REF!,#REF!,#REF!,#REF!,#REF!,#REF!</definedName>
    <definedName name="Z_9E0C48FC_FFCC_11D1_98BA_00C04FC96ABD_.wvu.Rows" localSheetId="4" hidden="1">#REF!,#REF!,#REF!,#REF!,#REF!,#REF!,#REF!,#REF!</definedName>
    <definedName name="Z_9E0C48FC_FFCC_11D1_98BA_00C04FC96ABD_.wvu.Rows" hidden="1">#REF!,#REF!,#REF!,#REF!,#REF!,#REF!,#REF!,#REF!</definedName>
    <definedName name="Z_9E0C48FD_FFCC_11D1_98BA_00C04FC96ABD_.wvu.Rows" localSheetId="6" hidden="1">#REF!,#REF!,#REF!,#REF!,#REF!,#REF!,#REF!</definedName>
    <definedName name="Z_9E0C48FD_FFCC_11D1_98BA_00C04FC96ABD_.wvu.Rows" localSheetId="5" hidden="1">#REF!,#REF!,#REF!,#REF!,#REF!,#REF!,#REF!</definedName>
    <definedName name="Z_9E0C48FD_FFCC_11D1_98BA_00C04FC96ABD_.wvu.Rows" localSheetId="4" hidden="1">#REF!,#REF!,#REF!,#REF!,#REF!,#REF!,#REF!</definedName>
    <definedName name="Z_9E0C48FD_FFCC_11D1_98BA_00C04FC96ABD_.wvu.Rows" hidden="1">#REF!,#REF!,#REF!,#REF!,#REF!,#REF!,#REF!</definedName>
    <definedName name="Z_9E0C48FE_FFCC_11D1_98BA_00C04FC96ABD_.wvu.Rows" localSheetId="6" hidden="1">#REF!,#REF!,#REF!,#REF!,#REF!,#REF!,#REF!</definedName>
    <definedName name="Z_9E0C48FE_FFCC_11D1_98BA_00C04FC96ABD_.wvu.Rows" localSheetId="11" hidden="1">#REF!,#REF!,#REF!,#REF!,#REF!,#REF!,#REF!</definedName>
    <definedName name="Z_9E0C48FE_FFCC_11D1_98BA_00C04FC96ABD_.wvu.Rows" localSheetId="5" hidden="1">#REF!,#REF!,#REF!,#REF!,#REF!,#REF!,#REF!</definedName>
    <definedName name="Z_9E0C48FE_FFCC_11D1_98BA_00C04FC96ABD_.wvu.Rows" localSheetId="4" hidden="1">#REF!,#REF!,#REF!,#REF!,#REF!,#REF!,#REF!</definedName>
    <definedName name="Z_9E0C48FE_FFCC_11D1_98BA_00C04FC96ABD_.wvu.Rows" localSheetId="10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localSheetId="5" hidden="1">#REF!,#REF!,#REF!,#REF!,#REF!,#REF!,#REF!,#REF!</definedName>
    <definedName name="Z_9E0C48FF_FFCC_11D1_98BA_00C04FC96ABD_.wvu.Rows" localSheetId="4" hidden="1">#REF!,#REF!,#REF!,#REF!,#REF!,#REF!,#REF!,#REF!</definedName>
    <definedName name="Z_9E0C48FF_FFCC_11D1_98BA_00C04FC96ABD_.wvu.Rows" hidden="1">#REF!,#REF!,#REF!,#REF!,#REF!,#REF!,#REF!,#REF!</definedName>
    <definedName name="Z_9E0C4900_FFCC_11D1_98BA_00C04FC96ABD_.wvu.Rows" localSheetId="5" hidden="1">#REF!,#REF!,#REF!,#REF!,#REF!,#REF!,#REF!,#REF!</definedName>
    <definedName name="Z_9E0C4900_FFCC_11D1_98BA_00C04FC96ABD_.wvu.Rows" localSheetId="4" hidden="1">#REF!,#REF!,#REF!,#REF!,#REF!,#REF!,#REF!,#REF!</definedName>
    <definedName name="Z_9E0C4900_FFCC_11D1_98BA_00C04FC96ABD_.wvu.Rows" hidden="1">#REF!,#REF!,#REF!,#REF!,#REF!,#REF!,#REF!,#REF!</definedName>
    <definedName name="Z_9E0C4901_FFCC_11D1_98BA_00C04FC96ABD_.wvu.Rows" localSheetId="5" hidden="1">#REF!,#REF!,#REF!,#REF!,#REF!,#REF!,#REF!,#REF!</definedName>
    <definedName name="Z_9E0C4901_FFCC_11D1_98BA_00C04FC96ABD_.wvu.Rows" localSheetId="4" hidden="1">#REF!,#REF!,#REF!,#REF!,#REF!,#REF!,#REF!,#REF!</definedName>
    <definedName name="Z_9E0C4901_FFCC_11D1_98BA_00C04FC96ABD_.wvu.Rows" hidden="1">#REF!,#REF!,#REF!,#REF!,#REF!,#REF!,#REF!,#REF!</definedName>
    <definedName name="Z_9E0C4903_FFCC_11D1_98BA_00C04FC96ABD_.wvu.Rows" localSheetId="5" hidden="1">#REF!,#REF!,#REF!,#REF!,#REF!,#REF!,#REF!,#REF!,#REF!</definedName>
    <definedName name="Z_9E0C4903_FFCC_11D1_98BA_00C04FC96ABD_.wvu.Rows" localSheetId="4" hidden="1">#REF!,#REF!,#REF!,#REF!,#REF!,#REF!,#REF!,#REF!,#REF!</definedName>
    <definedName name="Z_9E0C4903_FFCC_11D1_98BA_00C04FC96ABD_.wvu.Rows" hidden="1">#REF!,#REF!,#REF!,#REF!,#REF!,#REF!,#REF!,#REF!,#REF!</definedName>
    <definedName name="Z_9E0C4904_FFCC_11D1_98BA_00C04FC96ABD_.wvu.Rows" localSheetId="5" hidden="1">#REF!,#REF!,#REF!,#REF!,#REF!,#REF!,#REF!,#REF!,#REF!</definedName>
    <definedName name="Z_9E0C4904_FFCC_11D1_98BA_00C04FC96ABD_.wvu.Rows" localSheetId="4" hidden="1">#REF!,#REF!,#REF!,#REF!,#REF!,#REF!,#REF!,#REF!,#REF!</definedName>
    <definedName name="Z_9E0C4904_FFCC_11D1_98BA_00C04FC96ABD_.wvu.Rows" hidden="1">#REF!,#REF!,#REF!,#REF!,#REF!,#REF!,#REF!,#REF!,#REF!</definedName>
    <definedName name="Z_9E0C4905_FFCC_11D1_98BA_00C04FC96ABD_.wvu.Rows" localSheetId="5" hidden="1">#REF!,#REF!,#REF!,#REF!,#REF!,#REF!</definedName>
    <definedName name="Z_9E0C4905_FFCC_11D1_98BA_00C04FC96ABD_.wvu.Rows" localSheetId="4" hidden="1">#REF!,#REF!,#REF!,#REF!,#REF!,#REF!</definedName>
    <definedName name="Z_9E0C4905_FFCC_11D1_98BA_00C04FC96ABD_.wvu.Rows" hidden="1">#REF!,#REF!,#REF!,#REF!,#REF!,#REF!</definedName>
    <definedName name="Z_B424DD41_AAD0_11D2_BFD1_00A02466506E_.wvu.PrintTitles" hidden="1">#REF!,#REF!</definedName>
    <definedName name="Z_BC2BFA12_1C91_11D2_BFD2_00A02466506E_.wvu.PrintTitles" hidden="1">#REF!,#REF!</definedName>
    <definedName name="Z_C21FAE85_013A_11D2_98BD_00C04FC96ABD_.wvu.Rows" localSheetId="5" hidden="1">#REF!,#REF!,#REF!,#REF!,#REF!,#REF!</definedName>
    <definedName name="Z_C21FAE85_013A_11D2_98BD_00C04FC96ABD_.wvu.Rows" localSheetId="4" hidden="1">#REF!,#REF!,#REF!,#REF!,#REF!,#REF!</definedName>
    <definedName name="Z_C21FAE85_013A_11D2_98BD_00C04FC96ABD_.wvu.Rows" hidden="1">#REF!,#REF!,#REF!,#REF!,#REF!,#REF!</definedName>
    <definedName name="Z_C21FAE86_013A_11D2_98BD_00C04FC96ABD_.wvu.Rows" localSheetId="5" hidden="1">#REF!,#REF!,#REF!,#REF!,#REF!,#REF!</definedName>
    <definedName name="Z_C21FAE86_013A_11D2_98BD_00C04FC96ABD_.wvu.Rows" localSheetId="4" hidden="1">#REF!,#REF!,#REF!,#REF!,#REF!,#REF!</definedName>
    <definedName name="Z_C21FAE86_013A_11D2_98BD_00C04FC96ABD_.wvu.Rows" hidden="1">#REF!,#REF!,#REF!,#REF!,#REF!,#REF!</definedName>
    <definedName name="Z_C21FAE87_013A_11D2_98BD_00C04FC96ABD_.wvu.Rows" localSheetId="5" hidden="1">#REF!,#REF!,#REF!,#REF!,#REF!,#REF!</definedName>
    <definedName name="Z_C21FAE87_013A_11D2_98BD_00C04FC96ABD_.wvu.Rows" localSheetId="4" hidden="1">#REF!,#REF!,#REF!,#REF!,#REF!,#REF!</definedName>
    <definedName name="Z_C21FAE87_013A_11D2_98BD_00C04FC96ABD_.wvu.Rows" hidden="1">#REF!,#REF!,#REF!,#REF!,#REF!,#REF!</definedName>
    <definedName name="Z_C21FAE88_013A_11D2_98BD_00C04FC96ABD_.wvu.Rows" localSheetId="5" hidden="1">#REF!,#REF!,#REF!,#REF!,#REF!,#REF!</definedName>
    <definedName name="Z_C21FAE88_013A_11D2_98BD_00C04FC96ABD_.wvu.Rows" localSheetId="4" hidden="1">#REF!,#REF!,#REF!,#REF!,#REF!,#REF!</definedName>
    <definedName name="Z_C21FAE88_013A_11D2_98BD_00C04FC96ABD_.wvu.Rows" hidden="1">#REF!,#REF!,#REF!,#REF!,#REF!,#REF!</definedName>
    <definedName name="Z_C21FAE89_013A_11D2_98BD_00C04FC96ABD_.wvu.Rows" localSheetId="5" hidden="1">#REF!,#REF!,#REF!,#REF!,#REF!,#REF!,#REF!,#REF!</definedName>
    <definedName name="Z_C21FAE89_013A_11D2_98BD_00C04FC96ABD_.wvu.Rows" localSheetId="4" hidden="1">#REF!,#REF!,#REF!,#REF!,#REF!,#REF!,#REF!,#REF!</definedName>
    <definedName name="Z_C21FAE89_013A_11D2_98BD_00C04FC96ABD_.wvu.Rows" hidden="1">#REF!,#REF!,#REF!,#REF!,#REF!,#REF!,#REF!,#REF!</definedName>
    <definedName name="Z_C21FAE8A_013A_11D2_98BD_00C04FC96ABD_.wvu.Rows" localSheetId="5" hidden="1">#REF!,#REF!,#REF!,#REF!,#REF!,#REF!,#REF!</definedName>
    <definedName name="Z_C21FAE8A_013A_11D2_98BD_00C04FC96ABD_.wvu.Rows" localSheetId="4" hidden="1">#REF!,#REF!,#REF!,#REF!,#REF!,#REF!,#REF!</definedName>
    <definedName name="Z_C21FAE8A_013A_11D2_98BD_00C04FC96ABD_.wvu.Rows" hidden="1">#REF!,#REF!,#REF!,#REF!,#REF!,#REF!,#REF!</definedName>
    <definedName name="Z_C21FAE8B_013A_11D2_98BD_00C04FC96ABD_.wvu.Rows" localSheetId="6" hidden="1">#REF!,#REF!,#REF!,#REF!,#REF!,#REF!,#REF!</definedName>
    <definedName name="Z_C21FAE8B_013A_11D2_98BD_00C04FC96ABD_.wvu.Rows" localSheetId="11" hidden="1">#REF!,#REF!,#REF!,#REF!,#REF!,#REF!,#REF!</definedName>
    <definedName name="Z_C21FAE8B_013A_11D2_98BD_00C04FC96ABD_.wvu.Rows" localSheetId="5" hidden="1">#REF!,#REF!,#REF!,#REF!,#REF!,#REF!,#REF!</definedName>
    <definedName name="Z_C21FAE8B_013A_11D2_98BD_00C04FC96ABD_.wvu.Rows" localSheetId="4" hidden="1">#REF!,#REF!,#REF!,#REF!,#REF!,#REF!,#REF!</definedName>
    <definedName name="Z_C21FAE8B_013A_11D2_98BD_00C04FC96ABD_.wvu.Rows" localSheetId="10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localSheetId="5" hidden="1">#REF!,#REF!,#REF!,#REF!,#REF!,#REF!,#REF!,#REF!</definedName>
    <definedName name="Z_C21FAE8C_013A_11D2_98BD_00C04FC96ABD_.wvu.Rows" localSheetId="4" hidden="1">#REF!,#REF!,#REF!,#REF!,#REF!,#REF!,#REF!,#REF!</definedName>
    <definedName name="Z_C21FAE8C_013A_11D2_98BD_00C04FC96ABD_.wvu.Rows" hidden="1">#REF!,#REF!,#REF!,#REF!,#REF!,#REF!,#REF!,#REF!</definedName>
    <definedName name="Z_C21FAE8D_013A_11D2_98BD_00C04FC96ABD_.wvu.Rows" localSheetId="5" hidden="1">#REF!,#REF!,#REF!,#REF!,#REF!,#REF!,#REF!,#REF!</definedName>
    <definedName name="Z_C21FAE8D_013A_11D2_98BD_00C04FC96ABD_.wvu.Rows" localSheetId="4" hidden="1">#REF!,#REF!,#REF!,#REF!,#REF!,#REF!,#REF!,#REF!</definedName>
    <definedName name="Z_C21FAE8D_013A_11D2_98BD_00C04FC96ABD_.wvu.Rows" hidden="1">#REF!,#REF!,#REF!,#REF!,#REF!,#REF!,#REF!,#REF!</definedName>
    <definedName name="Z_C21FAE8E_013A_11D2_98BD_00C04FC96ABD_.wvu.Rows" localSheetId="5" hidden="1">#REF!,#REF!,#REF!,#REF!,#REF!,#REF!,#REF!,#REF!</definedName>
    <definedName name="Z_C21FAE8E_013A_11D2_98BD_00C04FC96ABD_.wvu.Rows" localSheetId="4" hidden="1">#REF!,#REF!,#REF!,#REF!,#REF!,#REF!,#REF!,#REF!</definedName>
    <definedName name="Z_C21FAE8E_013A_11D2_98BD_00C04FC96ABD_.wvu.Rows" hidden="1">#REF!,#REF!,#REF!,#REF!,#REF!,#REF!,#REF!,#REF!</definedName>
    <definedName name="Z_C21FAE90_013A_11D2_98BD_00C04FC96ABD_.wvu.Rows" localSheetId="5" hidden="1">#REF!,#REF!,#REF!,#REF!,#REF!,#REF!,#REF!,#REF!,#REF!</definedName>
    <definedName name="Z_C21FAE90_013A_11D2_98BD_00C04FC96ABD_.wvu.Rows" localSheetId="4" hidden="1">#REF!,#REF!,#REF!,#REF!,#REF!,#REF!,#REF!,#REF!,#REF!</definedName>
    <definedName name="Z_C21FAE90_013A_11D2_98BD_00C04FC96ABD_.wvu.Rows" hidden="1">#REF!,#REF!,#REF!,#REF!,#REF!,#REF!,#REF!,#REF!,#REF!</definedName>
    <definedName name="Z_C21FAE91_013A_11D2_98BD_00C04FC96ABD_.wvu.Rows" localSheetId="5" hidden="1">#REF!,#REF!,#REF!,#REF!,#REF!,#REF!,#REF!,#REF!,#REF!</definedName>
    <definedName name="Z_C21FAE91_013A_11D2_98BD_00C04FC96ABD_.wvu.Rows" localSheetId="4" hidden="1">#REF!,#REF!,#REF!,#REF!,#REF!,#REF!,#REF!,#REF!,#REF!</definedName>
    <definedName name="Z_C21FAE91_013A_11D2_98BD_00C04FC96ABD_.wvu.Rows" hidden="1">#REF!,#REF!,#REF!,#REF!,#REF!,#REF!,#REF!,#REF!,#REF!</definedName>
    <definedName name="Z_C21FAE92_013A_11D2_98BD_00C04FC96ABD_.wvu.Rows" localSheetId="5" hidden="1">#REF!,#REF!,#REF!,#REF!,#REF!,#REF!</definedName>
    <definedName name="Z_C21FAE92_013A_11D2_98BD_00C04FC96ABD_.wvu.Rows" localSheetId="4" hidden="1">#REF!,#REF!,#REF!,#REF!,#REF!,#REF!</definedName>
    <definedName name="Z_C21FAE92_013A_11D2_98BD_00C04FC96ABD_.wvu.Rows" hidden="1">#REF!,#REF!,#REF!,#REF!,#REF!,#REF!</definedName>
    <definedName name="Z_CF25EF4A_FFAB_11D1_98B7_00C04FC96ABD_.wvu.Rows" localSheetId="5" hidden="1">#REF!,#REF!,#REF!,#REF!,#REF!,#REF!</definedName>
    <definedName name="Z_CF25EF4A_FFAB_11D1_98B7_00C04FC96ABD_.wvu.Rows" localSheetId="4" hidden="1">#REF!,#REF!,#REF!,#REF!,#REF!,#REF!</definedName>
    <definedName name="Z_CF25EF4A_FFAB_11D1_98B7_00C04FC96ABD_.wvu.Rows" hidden="1">#REF!,#REF!,#REF!,#REF!,#REF!,#REF!</definedName>
    <definedName name="Z_CF25EF4B_FFAB_11D1_98B7_00C04FC96ABD_.wvu.Rows" localSheetId="5" hidden="1">#REF!,#REF!,#REF!,#REF!,#REF!,#REF!</definedName>
    <definedName name="Z_CF25EF4B_FFAB_11D1_98B7_00C04FC96ABD_.wvu.Rows" localSheetId="4" hidden="1">#REF!,#REF!,#REF!,#REF!,#REF!,#REF!</definedName>
    <definedName name="Z_CF25EF4B_FFAB_11D1_98B7_00C04FC96ABD_.wvu.Rows" hidden="1">#REF!,#REF!,#REF!,#REF!,#REF!,#REF!</definedName>
    <definedName name="Z_CF25EF4C_FFAB_11D1_98B7_00C04FC96ABD_.wvu.Rows" localSheetId="5" hidden="1">#REF!,#REF!,#REF!,#REF!,#REF!,#REF!</definedName>
    <definedName name="Z_CF25EF4C_FFAB_11D1_98B7_00C04FC96ABD_.wvu.Rows" localSheetId="4" hidden="1">#REF!,#REF!,#REF!,#REF!,#REF!,#REF!</definedName>
    <definedName name="Z_CF25EF4C_FFAB_11D1_98B7_00C04FC96ABD_.wvu.Rows" hidden="1">#REF!,#REF!,#REF!,#REF!,#REF!,#REF!</definedName>
    <definedName name="Z_CF25EF4D_FFAB_11D1_98B7_00C04FC96ABD_.wvu.Rows" localSheetId="5" hidden="1">#REF!,#REF!,#REF!,#REF!,#REF!,#REF!</definedName>
    <definedName name="Z_CF25EF4D_FFAB_11D1_98B7_00C04FC96ABD_.wvu.Rows" localSheetId="4" hidden="1">#REF!,#REF!,#REF!,#REF!,#REF!,#REF!</definedName>
    <definedName name="Z_CF25EF4D_FFAB_11D1_98B7_00C04FC96ABD_.wvu.Rows" hidden="1">#REF!,#REF!,#REF!,#REF!,#REF!,#REF!</definedName>
    <definedName name="Z_CF25EF4E_FFAB_11D1_98B7_00C04FC96ABD_.wvu.Rows" localSheetId="5" hidden="1">#REF!,#REF!,#REF!,#REF!,#REF!,#REF!,#REF!,#REF!</definedName>
    <definedName name="Z_CF25EF4E_FFAB_11D1_98B7_00C04FC96ABD_.wvu.Rows" localSheetId="4" hidden="1">#REF!,#REF!,#REF!,#REF!,#REF!,#REF!,#REF!,#REF!</definedName>
    <definedName name="Z_CF25EF4E_FFAB_11D1_98B7_00C04FC96ABD_.wvu.Rows" hidden="1">#REF!,#REF!,#REF!,#REF!,#REF!,#REF!,#REF!,#REF!</definedName>
    <definedName name="Z_CF25EF4F_FFAB_11D1_98B7_00C04FC96ABD_.wvu.Rows" localSheetId="5" hidden="1">#REF!,#REF!,#REF!,#REF!,#REF!,#REF!,#REF!</definedName>
    <definedName name="Z_CF25EF4F_FFAB_11D1_98B7_00C04FC96ABD_.wvu.Rows" localSheetId="4" hidden="1">#REF!,#REF!,#REF!,#REF!,#REF!,#REF!,#REF!</definedName>
    <definedName name="Z_CF25EF4F_FFAB_11D1_98B7_00C04FC96ABD_.wvu.Rows" hidden="1">#REF!,#REF!,#REF!,#REF!,#REF!,#REF!,#REF!</definedName>
    <definedName name="Z_CF25EF50_FFAB_11D1_98B7_00C04FC96ABD_.wvu.Rows" localSheetId="6" hidden="1">#REF!,#REF!,#REF!,#REF!,#REF!,#REF!,#REF!</definedName>
    <definedName name="Z_CF25EF50_FFAB_11D1_98B7_00C04FC96ABD_.wvu.Rows" localSheetId="11" hidden="1">#REF!,#REF!,#REF!,#REF!,#REF!,#REF!,#REF!</definedName>
    <definedName name="Z_CF25EF50_FFAB_11D1_98B7_00C04FC96ABD_.wvu.Rows" localSheetId="5" hidden="1">#REF!,#REF!,#REF!,#REF!,#REF!,#REF!,#REF!</definedName>
    <definedName name="Z_CF25EF50_FFAB_11D1_98B7_00C04FC96ABD_.wvu.Rows" localSheetId="4" hidden="1">#REF!,#REF!,#REF!,#REF!,#REF!,#REF!,#REF!</definedName>
    <definedName name="Z_CF25EF50_FFAB_11D1_98B7_00C04FC96ABD_.wvu.Rows" localSheetId="10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localSheetId="5" hidden="1">#REF!,#REF!,#REF!,#REF!,#REF!,#REF!,#REF!,#REF!</definedName>
    <definedName name="Z_CF25EF51_FFAB_11D1_98B7_00C04FC96ABD_.wvu.Rows" localSheetId="4" hidden="1">#REF!,#REF!,#REF!,#REF!,#REF!,#REF!,#REF!,#REF!</definedName>
    <definedName name="Z_CF25EF51_FFAB_11D1_98B7_00C04FC96ABD_.wvu.Rows" hidden="1">#REF!,#REF!,#REF!,#REF!,#REF!,#REF!,#REF!,#REF!</definedName>
    <definedName name="Z_CF25EF52_FFAB_11D1_98B7_00C04FC96ABD_.wvu.Rows" localSheetId="5" hidden="1">#REF!,#REF!,#REF!,#REF!,#REF!,#REF!,#REF!,#REF!</definedName>
    <definedName name="Z_CF25EF52_FFAB_11D1_98B7_00C04FC96ABD_.wvu.Rows" localSheetId="4" hidden="1">#REF!,#REF!,#REF!,#REF!,#REF!,#REF!,#REF!,#REF!</definedName>
    <definedName name="Z_CF25EF52_FFAB_11D1_98B7_00C04FC96ABD_.wvu.Rows" hidden="1">#REF!,#REF!,#REF!,#REF!,#REF!,#REF!,#REF!,#REF!</definedName>
    <definedName name="Z_CF25EF53_FFAB_11D1_98B7_00C04FC96ABD_.wvu.Rows" localSheetId="5" hidden="1">#REF!,#REF!,#REF!,#REF!,#REF!,#REF!,#REF!,#REF!</definedName>
    <definedName name="Z_CF25EF53_FFAB_11D1_98B7_00C04FC96ABD_.wvu.Rows" localSheetId="4" hidden="1">#REF!,#REF!,#REF!,#REF!,#REF!,#REF!,#REF!,#REF!</definedName>
    <definedName name="Z_CF25EF53_FFAB_11D1_98B7_00C04FC96ABD_.wvu.Rows" hidden="1">#REF!,#REF!,#REF!,#REF!,#REF!,#REF!,#REF!,#REF!</definedName>
    <definedName name="Z_CF25EF55_FFAB_11D1_98B7_00C04FC96ABD_.wvu.Rows" localSheetId="5" hidden="1">#REF!,#REF!,#REF!,#REF!,#REF!,#REF!,#REF!,#REF!,#REF!</definedName>
    <definedName name="Z_CF25EF55_FFAB_11D1_98B7_00C04FC96ABD_.wvu.Rows" localSheetId="4" hidden="1">#REF!,#REF!,#REF!,#REF!,#REF!,#REF!,#REF!,#REF!,#REF!</definedName>
    <definedName name="Z_CF25EF55_FFAB_11D1_98B7_00C04FC96ABD_.wvu.Rows" hidden="1">#REF!,#REF!,#REF!,#REF!,#REF!,#REF!,#REF!,#REF!,#REF!</definedName>
    <definedName name="Z_CF25EF56_FFAB_11D1_98B7_00C04FC96ABD_.wvu.Rows" localSheetId="6" hidden="1">#REF!,#REF!,#REF!,#REF!,#REF!,#REF!,#REF!,#REF!,#REF!</definedName>
    <definedName name="Z_CF25EF56_FFAB_11D1_98B7_00C04FC96ABD_.wvu.Rows" localSheetId="5" hidden="1">#REF!,#REF!,#REF!,#REF!,#REF!,#REF!,#REF!,#REF!,#REF!</definedName>
    <definedName name="Z_CF25EF56_FFAB_11D1_98B7_00C04FC96ABD_.wvu.Rows" localSheetId="4" hidden="1">#REF!,#REF!,#REF!,#REF!,#REF!,#REF!,#REF!,#REF!,#REF!</definedName>
    <definedName name="Z_CF25EF56_FFAB_11D1_98B7_00C04FC96ABD_.wvu.Rows" hidden="1">#REF!,#REF!,#REF!,#REF!,#REF!,#REF!,#REF!,#REF!,#REF!</definedName>
    <definedName name="Z_CF25EF57_FFAB_11D1_98B7_00C04FC96ABD_.wvu.Rows" localSheetId="5" hidden="1">#REF!,#REF!,#REF!,#REF!,#REF!,#REF!</definedName>
    <definedName name="Z_CF25EF57_FFAB_11D1_98B7_00C04FC96ABD_.wvu.Rows" localSheetId="4" hidden="1">#REF!,#REF!,#REF!,#REF!,#REF!,#REF!</definedName>
    <definedName name="Z_CF25EF57_FFAB_11D1_98B7_00C04FC96ABD_.wvu.Rows" hidden="1">#REF!,#REF!,#REF!,#REF!,#REF!,#REF!</definedName>
    <definedName name="Z_E6B74681_BCE1_11D2_BFD1_00A02466506E_.wvu.PrintTitles" hidden="1">#REF!,#REF!</definedName>
    <definedName name="Z_EA8011E5_017A_11D2_98BD_00C04FC96ABD_.wvu.Rows" localSheetId="5" hidden="1">#REF!,#REF!,#REF!,#REF!,#REF!,#REF!,#REF!</definedName>
    <definedName name="Z_EA8011E5_017A_11D2_98BD_00C04FC96ABD_.wvu.Rows" localSheetId="4" hidden="1">#REF!,#REF!,#REF!,#REF!,#REF!,#REF!,#REF!</definedName>
    <definedName name="Z_EA8011E5_017A_11D2_98BD_00C04FC96ABD_.wvu.Rows" hidden="1">#REF!,#REF!,#REF!,#REF!,#REF!,#REF!,#REF!</definedName>
    <definedName name="Z_EA8011E6_017A_11D2_98BD_00C04FC96ABD_.wvu.Rows" localSheetId="6" hidden="1">#REF!,#REF!,#REF!,#REF!,#REF!,#REF!,#REF!</definedName>
    <definedName name="Z_EA8011E6_017A_11D2_98BD_00C04FC96ABD_.wvu.Rows" localSheetId="11" hidden="1">#REF!,#REF!,#REF!,#REF!,#REF!,#REF!,#REF!</definedName>
    <definedName name="Z_EA8011E6_017A_11D2_98BD_00C04FC96ABD_.wvu.Rows" localSheetId="5" hidden="1">#REF!,#REF!,#REF!,#REF!,#REF!,#REF!,#REF!</definedName>
    <definedName name="Z_EA8011E6_017A_11D2_98BD_00C04FC96ABD_.wvu.Rows" localSheetId="4" hidden="1">#REF!,#REF!,#REF!,#REF!,#REF!,#REF!,#REF!</definedName>
    <definedName name="Z_EA8011E6_017A_11D2_98BD_00C04FC96ABD_.wvu.Rows" localSheetId="10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localSheetId="5" hidden="1">#REF!,#REF!,#REF!,#REF!,#REF!,#REF!,#REF!,#REF!</definedName>
    <definedName name="Z_EA8011E9_017A_11D2_98BD_00C04FC96ABD_.wvu.Rows" localSheetId="4" hidden="1">#REF!,#REF!,#REF!,#REF!,#REF!,#REF!,#REF!,#REF!</definedName>
    <definedName name="Z_EA8011E9_017A_11D2_98BD_00C04FC96ABD_.wvu.Rows" hidden="1">#REF!,#REF!,#REF!,#REF!,#REF!,#REF!,#REF!,#REF!</definedName>
    <definedName name="Z_EA8011EC_017A_11D2_98BD_00C04FC96ABD_.wvu.Rows" localSheetId="5" hidden="1">#REF!,#REF!,#REF!,#REF!,#REF!,#REF!,#REF!,#REF!,#REF!</definedName>
    <definedName name="Z_EA8011EC_017A_11D2_98BD_00C04FC96ABD_.wvu.Rows" localSheetId="4" hidden="1">#REF!,#REF!,#REF!,#REF!,#REF!,#REF!,#REF!,#REF!,#REF!</definedName>
    <definedName name="Z_EA8011EC_017A_11D2_98BD_00C04FC96ABD_.wvu.Rows" hidden="1">#REF!,#REF!,#REF!,#REF!,#REF!,#REF!,#REF!,#REF!,#REF!</definedName>
    <definedName name="Z_EA86CE3A_00A2_11D2_98BC_00C04FC96ABD_.wvu.Rows" localSheetId="5" hidden="1">#REF!,#REF!,#REF!,#REF!,#REF!,#REF!</definedName>
    <definedName name="Z_EA86CE3A_00A2_11D2_98BC_00C04FC96ABD_.wvu.Rows" localSheetId="4" hidden="1">#REF!,#REF!,#REF!,#REF!,#REF!,#REF!</definedName>
    <definedName name="Z_EA86CE3A_00A2_11D2_98BC_00C04FC96ABD_.wvu.Rows" hidden="1">#REF!,#REF!,#REF!,#REF!,#REF!,#REF!</definedName>
    <definedName name="Z_EA86CE3B_00A2_11D2_98BC_00C04FC96ABD_.wvu.Rows" localSheetId="5" hidden="1">#REF!,#REF!,#REF!,#REF!,#REF!,#REF!</definedName>
    <definedName name="Z_EA86CE3B_00A2_11D2_98BC_00C04FC96ABD_.wvu.Rows" localSheetId="4" hidden="1">#REF!,#REF!,#REF!,#REF!,#REF!,#REF!</definedName>
    <definedName name="Z_EA86CE3B_00A2_11D2_98BC_00C04FC96ABD_.wvu.Rows" hidden="1">#REF!,#REF!,#REF!,#REF!,#REF!,#REF!</definedName>
    <definedName name="Z_EA86CE3C_00A2_11D2_98BC_00C04FC96ABD_.wvu.Rows" localSheetId="5" hidden="1">#REF!,#REF!,#REF!,#REF!,#REF!,#REF!</definedName>
    <definedName name="Z_EA86CE3C_00A2_11D2_98BC_00C04FC96ABD_.wvu.Rows" localSheetId="4" hidden="1">#REF!,#REF!,#REF!,#REF!,#REF!,#REF!</definedName>
    <definedName name="Z_EA86CE3C_00A2_11D2_98BC_00C04FC96ABD_.wvu.Rows" hidden="1">#REF!,#REF!,#REF!,#REF!,#REF!,#REF!</definedName>
    <definedName name="Z_EA86CE3D_00A2_11D2_98BC_00C04FC96ABD_.wvu.Rows" localSheetId="5" hidden="1">#REF!,#REF!,#REF!,#REF!,#REF!,#REF!</definedName>
    <definedName name="Z_EA86CE3D_00A2_11D2_98BC_00C04FC96ABD_.wvu.Rows" localSheetId="4" hidden="1">#REF!,#REF!,#REF!,#REF!,#REF!,#REF!</definedName>
    <definedName name="Z_EA86CE3D_00A2_11D2_98BC_00C04FC96ABD_.wvu.Rows" hidden="1">#REF!,#REF!,#REF!,#REF!,#REF!,#REF!</definedName>
    <definedName name="Z_EA86CE3E_00A2_11D2_98BC_00C04FC96ABD_.wvu.Rows" localSheetId="5" hidden="1">#REF!,#REF!,#REF!,#REF!,#REF!,#REF!,#REF!,#REF!</definedName>
    <definedName name="Z_EA86CE3E_00A2_11D2_98BC_00C04FC96ABD_.wvu.Rows" localSheetId="4" hidden="1">#REF!,#REF!,#REF!,#REF!,#REF!,#REF!,#REF!,#REF!</definedName>
    <definedName name="Z_EA86CE3E_00A2_11D2_98BC_00C04FC96ABD_.wvu.Rows" hidden="1">#REF!,#REF!,#REF!,#REF!,#REF!,#REF!,#REF!,#REF!</definedName>
    <definedName name="Z_EA86CE3F_00A2_11D2_98BC_00C04FC96ABD_.wvu.Rows" localSheetId="5" hidden="1">#REF!,#REF!,#REF!,#REF!,#REF!,#REF!,#REF!</definedName>
    <definedName name="Z_EA86CE3F_00A2_11D2_98BC_00C04FC96ABD_.wvu.Rows" localSheetId="4" hidden="1">#REF!,#REF!,#REF!,#REF!,#REF!,#REF!,#REF!</definedName>
    <definedName name="Z_EA86CE3F_00A2_11D2_98BC_00C04FC96ABD_.wvu.Rows" localSheetId="10" hidden="1">#REF!,#REF!,#REF!,#REF!,#REF!,#REF!,#REF!</definedName>
    <definedName name="Z_EA86CE3F_00A2_11D2_98BC_00C04FC96ABD_.wvu.Rows" hidden="1">#REF!,#REF!,#REF!,#REF!,#REF!,#REF!,#REF!</definedName>
    <definedName name="Z_EA86CE40_00A2_11D2_98BC_00C04FC96ABD_.wvu.Rows" localSheetId="6" hidden="1">#REF!,#REF!,#REF!,#REF!,#REF!,#REF!,#REF!</definedName>
    <definedName name="Z_EA86CE40_00A2_11D2_98BC_00C04FC96ABD_.wvu.Rows" localSheetId="11" hidden="1">#REF!,#REF!,#REF!,#REF!,#REF!,#REF!,#REF!</definedName>
    <definedName name="Z_EA86CE40_00A2_11D2_98BC_00C04FC96ABD_.wvu.Rows" localSheetId="5" hidden="1">#REF!,#REF!,#REF!,#REF!,#REF!,#REF!,#REF!</definedName>
    <definedName name="Z_EA86CE40_00A2_11D2_98BC_00C04FC96ABD_.wvu.Rows" localSheetId="4" hidden="1">#REF!,#REF!,#REF!,#REF!,#REF!,#REF!,#REF!</definedName>
    <definedName name="Z_EA86CE40_00A2_11D2_98BC_00C04FC96ABD_.wvu.Rows" localSheetId="10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localSheetId="5" hidden="1">#REF!,#REF!,#REF!,#REF!,#REF!,#REF!,#REF!,#REF!</definedName>
    <definedName name="Z_EA86CE41_00A2_11D2_98BC_00C04FC96ABD_.wvu.Rows" localSheetId="4" hidden="1">#REF!,#REF!,#REF!,#REF!,#REF!,#REF!,#REF!,#REF!</definedName>
    <definedName name="Z_EA86CE41_00A2_11D2_98BC_00C04FC96ABD_.wvu.Rows" hidden="1">#REF!,#REF!,#REF!,#REF!,#REF!,#REF!,#REF!,#REF!</definedName>
    <definedName name="Z_EA86CE42_00A2_11D2_98BC_00C04FC96ABD_.wvu.Rows" localSheetId="5" hidden="1">#REF!,#REF!,#REF!,#REF!,#REF!,#REF!,#REF!,#REF!</definedName>
    <definedName name="Z_EA86CE42_00A2_11D2_98BC_00C04FC96ABD_.wvu.Rows" localSheetId="4" hidden="1">#REF!,#REF!,#REF!,#REF!,#REF!,#REF!,#REF!,#REF!</definedName>
    <definedName name="Z_EA86CE42_00A2_11D2_98BC_00C04FC96ABD_.wvu.Rows" hidden="1">#REF!,#REF!,#REF!,#REF!,#REF!,#REF!,#REF!,#REF!</definedName>
    <definedName name="Z_EA86CE43_00A2_11D2_98BC_00C04FC96ABD_.wvu.Rows" localSheetId="5" hidden="1">#REF!,#REF!,#REF!,#REF!,#REF!,#REF!,#REF!,#REF!</definedName>
    <definedName name="Z_EA86CE43_00A2_11D2_98BC_00C04FC96ABD_.wvu.Rows" localSheetId="4" hidden="1">#REF!,#REF!,#REF!,#REF!,#REF!,#REF!,#REF!,#REF!</definedName>
    <definedName name="Z_EA86CE43_00A2_11D2_98BC_00C04FC96ABD_.wvu.Rows" hidden="1">#REF!,#REF!,#REF!,#REF!,#REF!,#REF!,#REF!,#REF!</definedName>
    <definedName name="Z_EA86CE45_00A2_11D2_98BC_00C04FC96ABD_.wvu.Rows" localSheetId="5" hidden="1">#REF!,#REF!,#REF!,#REF!,#REF!,#REF!,#REF!,#REF!,#REF!</definedName>
    <definedName name="Z_EA86CE45_00A2_11D2_98BC_00C04FC96ABD_.wvu.Rows" localSheetId="4" hidden="1">#REF!,#REF!,#REF!,#REF!,#REF!,#REF!,#REF!,#REF!,#REF!</definedName>
    <definedName name="Z_EA86CE45_00A2_11D2_98BC_00C04FC96ABD_.wvu.Rows" hidden="1">#REF!,#REF!,#REF!,#REF!,#REF!,#REF!,#REF!,#REF!,#REF!</definedName>
    <definedName name="Z_EA86CE46_00A2_11D2_98BC_00C04FC96ABD_.wvu.Rows" localSheetId="5" hidden="1">#REF!,#REF!,#REF!,#REF!,#REF!,#REF!,#REF!,#REF!,#REF!</definedName>
    <definedName name="Z_EA86CE46_00A2_11D2_98BC_00C04FC96ABD_.wvu.Rows" localSheetId="4" hidden="1">#REF!,#REF!,#REF!,#REF!,#REF!,#REF!,#REF!,#REF!,#REF!</definedName>
    <definedName name="Z_EA86CE46_00A2_11D2_98BC_00C04FC96ABD_.wvu.Rows" hidden="1">#REF!,#REF!,#REF!,#REF!,#REF!,#REF!,#REF!,#REF!,#REF!</definedName>
    <definedName name="Z_EA86CE47_00A2_11D2_98BC_00C04FC96ABD_.wvu.Rows" localSheetId="5" hidden="1">#REF!,#REF!,#REF!,#REF!,#REF!,#REF!</definedName>
    <definedName name="Z_EA86CE47_00A2_11D2_98BC_00C04FC96ABD_.wvu.Rows" localSheetId="4" hidden="1">#REF!,#REF!,#REF!,#REF!,#REF!,#REF!</definedName>
    <definedName name="Z_EA86CE47_00A2_11D2_98BC_00C04FC96ABD_.wvu.Rows" localSheetId="10" hidden="1">#REF!,#REF!,#REF!,#REF!,#REF!,#REF!</definedName>
    <definedName name="Z_EA86CE47_00A2_11D2_98BC_00C04FC96ABD_.wvu.Rows" hidden="1">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1" l="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H2" i="21"/>
  <c r="D42" i="21"/>
  <c r="E17" i="21"/>
  <c r="F17" i="21"/>
  <c r="G17" i="21"/>
  <c r="D17" i="21"/>
  <c r="D48" i="21"/>
  <c r="EG30" i="4" l="1"/>
  <c r="EF30" i="4"/>
  <c r="EA26" i="4" l="1"/>
  <c r="EF4" i="4"/>
  <c r="EF24" i="4"/>
  <c r="EF23" i="4"/>
  <c r="EF22" i="4"/>
  <c r="EF18" i="4"/>
  <c r="EF17" i="4"/>
  <c r="EF16" i="4"/>
  <c r="EF15" i="4"/>
  <c r="EF11" i="4"/>
  <c r="EF10" i="4"/>
  <c r="EF9" i="4"/>
  <c r="EF8" i="4"/>
  <c r="EF7" i="4"/>
  <c r="EF6" i="4"/>
  <c r="EF5" i="4"/>
  <c r="DT45" i="4"/>
  <c r="DT58" i="4"/>
  <c r="DT35" i="4"/>
  <c r="DT24" i="4"/>
  <c r="DT23" i="4"/>
  <c r="DT22" i="4"/>
  <c r="DT19" i="4"/>
  <c r="EF19" i="4" s="1"/>
  <c r="DT18" i="4"/>
  <c r="DT17" i="4"/>
  <c r="DT16" i="4"/>
  <c r="DT15" i="4"/>
  <c r="DT14" i="4"/>
  <c r="DT11" i="4"/>
  <c r="DT10" i="4"/>
  <c r="DT9" i="4"/>
  <c r="DT8" i="4"/>
  <c r="DT7" i="4"/>
  <c r="DT6" i="4"/>
  <c r="DT4" i="4" s="1"/>
  <c r="EG22" i="3"/>
  <c r="EG21" i="3"/>
  <c r="EG18" i="3"/>
  <c r="EG17" i="3"/>
  <c r="EG16" i="3"/>
  <c r="EG15" i="3"/>
  <c r="EG14" i="3"/>
  <c r="EG13" i="3"/>
  <c r="EG12" i="3"/>
  <c r="EG11" i="3"/>
  <c r="EG10" i="3"/>
  <c r="EG9" i="3"/>
  <c r="EG8" i="3"/>
  <c r="EG7" i="3"/>
  <c r="EG6" i="3"/>
  <c r="EG5" i="3"/>
  <c r="DT21" i="3"/>
  <c r="DT13" i="3"/>
  <c r="DT8" i="3"/>
  <c r="DT4" i="3"/>
  <c r="DT13" i="4" s="1"/>
  <c r="EF13" i="4" s="1"/>
  <c r="EG49" i="2"/>
  <c r="EG48" i="2"/>
  <c r="EG47" i="2"/>
  <c r="EG46" i="2"/>
  <c r="EG45" i="2"/>
  <c r="EG44" i="2"/>
  <c r="EG43" i="2"/>
  <c r="EG42" i="2"/>
  <c r="EG41" i="2"/>
  <c r="EG40" i="2"/>
  <c r="EG39" i="2"/>
  <c r="EG38" i="2"/>
  <c r="EG37" i="2"/>
  <c r="EG36" i="2"/>
  <c r="EG35" i="2"/>
  <c r="EG34" i="2"/>
  <c r="EG33" i="2"/>
  <c r="EG32" i="2"/>
  <c r="EG30" i="2"/>
  <c r="EG28" i="2"/>
  <c r="EG27" i="2"/>
  <c r="EG26" i="2"/>
  <c r="EG25" i="2"/>
  <c r="EG24" i="2"/>
  <c r="EG23" i="2"/>
  <c r="EG22" i="2"/>
  <c r="EG21" i="2"/>
  <c r="EG20" i="2"/>
  <c r="EG19" i="2"/>
  <c r="EG18" i="2"/>
  <c r="EG17" i="2"/>
  <c r="EG16" i="2"/>
  <c r="EG15" i="2"/>
  <c r="EG14" i="2"/>
  <c r="EG13" i="2"/>
  <c r="EG12" i="2"/>
  <c r="EG11" i="2"/>
  <c r="EG10" i="2"/>
  <c r="EG9" i="2"/>
  <c r="EG8" i="2"/>
  <c r="EG7" i="2"/>
  <c r="EG6" i="2"/>
  <c r="EG5" i="2"/>
  <c r="EG4" i="2"/>
  <c r="DT49" i="2"/>
  <c r="DT47" i="2"/>
  <c r="DT46" i="2"/>
  <c r="DT40" i="2"/>
  <c r="DT33" i="2"/>
  <c r="DT32" i="2" s="1"/>
  <c r="DT28" i="2"/>
  <c r="DT24" i="2"/>
  <c r="DT21" i="2"/>
  <c r="DT11" i="2"/>
  <c r="DT10" i="2"/>
  <c r="DT8" i="2"/>
  <c r="DT5" i="2"/>
  <c r="EG4" i="3" l="1"/>
  <c r="DT12" i="4"/>
  <c r="DT25" i="4" s="1"/>
  <c r="DT20" i="3"/>
  <c r="EG20" i="3" s="1"/>
  <c r="EF14" i="4"/>
  <c r="DT44" i="4"/>
  <c r="DT34" i="4" s="1"/>
  <c r="DT5" i="4"/>
  <c r="DT4" i="2"/>
  <c r="DT26" i="4" l="1"/>
  <c r="EF25" i="4"/>
  <c r="DT61" i="4"/>
  <c r="DT23" i="3"/>
  <c r="EG23" i="3" s="1"/>
  <c r="DT30" i="4"/>
  <c r="DT31" i="4" s="1"/>
  <c r="DT21" i="4"/>
  <c r="EF21" i="4" s="1"/>
  <c r="EF12" i="4"/>
  <c r="E42" i="21"/>
  <c r="F42" i="21"/>
  <c r="G42" i="21"/>
  <c r="D51" i="15"/>
  <c r="D41" i="15" l="1"/>
  <c r="C41" i="15"/>
  <c r="E40" i="15"/>
  <c r="E39" i="15"/>
  <c r="E38" i="15"/>
  <c r="E37" i="15"/>
  <c r="EA19" i="3" l="1"/>
  <c r="DZ11" i="4" l="1"/>
  <c r="DZ4" i="4" s="1"/>
  <c r="DZ7" i="4"/>
  <c r="DZ8" i="4"/>
  <c r="DZ6" i="4"/>
  <c r="DZ13" i="4"/>
  <c r="DZ12" i="4" s="1"/>
  <c r="DZ14" i="4"/>
  <c r="DZ15" i="4"/>
  <c r="DZ16" i="4"/>
  <c r="DZ17" i="4"/>
  <c r="DZ18" i="4"/>
  <c r="DZ19" i="4"/>
  <c r="DZ20" i="4"/>
  <c r="DZ24" i="4"/>
  <c r="DZ23" i="4"/>
  <c r="DZ22" i="4" s="1"/>
  <c r="DZ45" i="4"/>
  <c r="DZ58" i="4"/>
  <c r="DZ44" i="4" s="1"/>
  <c r="DZ34" i="4" s="1"/>
  <c r="DZ35" i="4"/>
  <c r="DZ21" i="3"/>
  <c r="DZ20" i="3"/>
  <c r="DZ8" i="3"/>
  <c r="DZ23" i="3" s="1"/>
  <c r="DZ13" i="3"/>
  <c r="DZ4" i="3"/>
  <c r="DZ4" i="2"/>
  <c r="DZ46" i="2"/>
  <c r="DZ49" i="2" s="1"/>
  <c r="DZ47" i="2"/>
  <c r="DZ40" i="2"/>
  <c r="DZ5" i="4" l="1"/>
  <c r="DZ30" i="4" s="1"/>
  <c r="DZ31" i="4" s="1"/>
  <c r="DZ21" i="4"/>
  <c r="DZ25" i="4"/>
  <c r="DZ33" i="2"/>
  <c r="DZ32" i="2"/>
  <c r="DZ28" i="2"/>
  <c r="DZ24" i="2"/>
  <c r="DZ10" i="2"/>
  <c r="DZ61" i="4" l="1"/>
  <c r="DZ26" i="4"/>
  <c r="EH19" i="3" l="1"/>
  <c r="EI19" i="3" l="1"/>
  <c r="Q172" i="6"/>
  <c r="EH37" i="2" l="1"/>
  <c r="EH27" i="2"/>
  <c r="EH19" i="2"/>
  <c r="EH17" i="2"/>
  <c r="EH16" i="2"/>
  <c r="EH14" i="2"/>
  <c r="EO4" i="2"/>
  <c r="EO3" i="2"/>
  <c r="DM8" i="2"/>
  <c r="EA29" i="2"/>
  <c r="EL27" i="4"/>
  <c r="EL28" i="4"/>
  <c r="EL29" i="4"/>
  <c r="EL32" i="4"/>
  <c r="EL33" i="4"/>
  <c r="EL39" i="4"/>
  <c r="EL40" i="4"/>
  <c r="EL41" i="4"/>
  <c r="EL42" i="4"/>
  <c r="EL43" i="4"/>
  <c r="EL47" i="4"/>
  <c r="EL48" i="4"/>
  <c r="EL49" i="4"/>
  <c r="EL51" i="4"/>
  <c r="EL52" i="4"/>
  <c r="EL54" i="4"/>
  <c r="EL57" i="4"/>
  <c r="H8" i="1"/>
  <c r="H3" i="1"/>
  <c r="DM6" i="2"/>
  <c r="F16" i="8" l="1"/>
  <c r="F15" i="8"/>
  <c r="D69" i="13"/>
  <c r="D70" i="13"/>
  <c r="EA50" i="4"/>
  <c r="EL50" i="4" s="1"/>
  <c r="EA53" i="4"/>
  <c r="EL53" i="4" s="1"/>
  <c r="EI14" i="2" l="1"/>
  <c r="EI16" i="2"/>
  <c r="EI17" i="2"/>
  <c r="EI19" i="2"/>
  <c r="EI27" i="2"/>
  <c r="EI29" i="2"/>
  <c r="EI37" i="2"/>
  <c r="EI48" i="2"/>
  <c r="EA48" i="2"/>
  <c r="I8" i="12"/>
  <c r="O803" i="20"/>
  <c r="N803" i="20"/>
  <c r="L803" i="20"/>
  <c r="K803" i="20"/>
  <c r="J803" i="20"/>
  <c r="I803" i="20"/>
  <c r="H803" i="20"/>
  <c r="G803" i="20"/>
  <c r="G542" i="20" s="1"/>
  <c r="G545" i="20" s="1"/>
  <c r="N545" i="20" s="1"/>
  <c r="F803" i="20"/>
  <c r="E803" i="20"/>
  <c r="D803" i="20"/>
  <c r="C803" i="20"/>
  <c r="G82" i="20" s="1"/>
  <c r="O802" i="20"/>
  <c r="N802" i="20"/>
  <c r="M802" i="20"/>
  <c r="L802" i="20"/>
  <c r="K802" i="20"/>
  <c r="J802" i="20"/>
  <c r="I802" i="20"/>
  <c r="H802" i="20"/>
  <c r="G802" i="20"/>
  <c r="F802" i="20"/>
  <c r="E802" i="20"/>
  <c r="D802" i="20"/>
  <c r="C802" i="20"/>
  <c r="O801" i="20"/>
  <c r="N801" i="20"/>
  <c r="M801" i="20"/>
  <c r="L801" i="20"/>
  <c r="K801" i="20"/>
  <c r="J801" i="20"/>
  <c r="I801" i="20"/>
  <c r="H801" i="20"/>
  <c r="G801" i="20"/>
  <c r="F801" i="20"/>
  <c r="E801" i="20"/>
  <c r="D801" i="20"/>
  <c r="C801" i="20"/>
  <c r="O800" i="20"/>
  <c r="N800" i="20"/>
  <c r="M800" i="20"/>
  <c r="L800" i="20"/>
  <c r="K800" i="20"/>
  <c r="J800" i="20"/>
  <c r="I800" i="20"/>
  <c r="H800" i="20"/>
  <c r="G800" i="20"/>
  <c r="F800" i="20"/>
  <c r="E800" i="20"/>
  <c r="D800" i="20"/>
  <c r="C800" i="20"/>
  <c r="O799" i="20"/>
  <c r="N799" i="20"/>
  <c r="M799" i="20"/>
  <c r="L799" i="20"/>
  <c r="K799" i="20"/>
  <c r="J799" i="20"/>
  <c r="I799" i="20"/>
  <c r="H799" i="20"/>
  <c r="G799" i="20"/>
  <c r="F799" i="20"/>
  <c r="E799" i="20"/>
  <c r="D799" i="20"/>
  <c r="C799" i="20"/>
  <c r="O798" i="20"/>
  <c r="N798" i="20"/>
  <c r="M798" i="20"/>
  <c r="L798" i="20"/>
  <c r="K798" i="20"/>
  <c r="J798" i="20"/>
  <c r="I798" i="20"/>
  <c r="H798" i="20"/>
  <c r="G798" i="20"/>
  <c r="F798" i="20"/>
  <c r="E798" i="20"/>
  <c r="D798" i="20"/>
  <c r="C798" i="20"/>
  <c r="O797" i="20"/>
  <c r="N797" i="20"/>
  <c r="M797" i="20"/>
  <c r="L797" i="20"/>
  <c r="K797" i="20"/>
  <c r="J797" i="20"/>
  <c r="I797" i="20"/>
  <c r="H797" i="20"/>
  <c r="G797" i="20"/>
  <c r="F797" i="20"/>
  <c r="E797" i="20"/>
  <c r="D797" i="20"/>
  <c r="C797" i="20"/>
  <c r="O796" i="20"/>
  <c r="N796" i="20"/>
  <c r="N793" i="20" s="1"/>
  <c r="M796" i="20"/>
  <c r="L796" i="20"/>
  <c r="K796" i="20"/>
  <c r="J796" i="20"/>
  <c r="I796" i="20"/>
  <c r="H796" i="20"/>
  <c r="G796" i="20"/>
  <c r="F796" i="20"/>
  <c r="F793" i="20" s="1"/>
  <c r="O306" i="20" s="1"/>
  <c r="E796" i="20"/>
  <c r="D796" i="20"/>
  <c r="C796" i="20"/>
  <c r="O795" i="20"/>
  <c r="O793" i="20" s="1"/>
  <c r="N795" i="20"/>
  <c r="M795" i="20"/>
  <c r="L795" i="20"/>
  <c r="K795" i="20"/>
  <c r="K793" i="20" s="1"/>
  <c r="J795" i="20"/>
  <c r="I795" i="20"/>
  <c r="H795" i="20"/>
  <c r="G795" i="20"/>
  <c r="G793" i="20" s="1"/>
  <c r="O418" i="20" s="1"/>
  <c r="F795" i="20"/>
  <c r="E795" i="20"/>
  <c r="D795" i="20"/>
  <c r="C795" i="20"/>
  <c r="C793" i="20" s="1"/>
  <c r="O794" i="20"/>
  <c r="N794" i="20"/>
  <c r="M794" i="20"/>
  <c r="L794" i="20"/>
  <c r="L793" i="20" s="1"/>
  <c r="K794" i="20"/>
  <c r="J794" i="20"/>
  <c r="I794" i="20"/>
  <c r="H794" i="20"/>
  <c r="H793" i="20" s="1"/>
  <c r="O545" i="20" s="1"/>
  <c r="G794" i="20"/>
  <c r="F794" i="20"/>
  <c r="E794" i="20"/>
  <c r="D794" i="20"/>
  <c r="D793" i="20" s="1"/>
  <c r="O85" i="20" s="1"/>
  <c r="C794" i="20"/>
  <c r="M793" i="20"/>
  <c r="I793" i="20"/>
  <c r="E793" i="20"/>
  <c r="O187" i="20" s="1"/>
  <c r="L785" i="20"/>
  <c r="K785" i="20"/>
  <c r="H785" i="20"/>
  <c r="G785" i="20"/>
  <c r="L784" i="20"/>
  <c r="K784" i="20"/>
  <c r="H784" i="20"/>
  <c r="G784" i="20"/>
  <c r="L783" i="20"/>
  <c r="K783" i="20"/>
  <c r="H783" i="20"/>
  <c r="G783" i="20"/>
  <c r="L782" i="20"/>
  <c r="K782" i="20"/>
  <c r="H782" i="20"/>
  <c r="G782" i="20"/>
  <c r="L781" i="20"/>
  <c r="L786" i="20" s="1"/>
  <c r="K781" i="20"/>
  <c r="K786" i="20" s="1"/>
  <c r="H781" i="20"/>
  <c r="H786" i="20" s="1"/>
  <c r="L779" i="20"/>
  <c r="K779" i="20"/>
  <c r="H779" i="20"/>
  <c r="G779" i="20"/>
  <c r="L778" i="20"/>
  <c r="K778" i="20"/>
  <c r="H778" i="20"/>
  <c r="G778" i="20"/>
  <c r="L761" i="20"/>
  <c r="K761" i="20"/>
  <c r="H761" i="20"/>
  <c r="G761" i="20"/>
  <c r="N761" i="20" s="1"/>
  <c r="P761" i="20" s="1"/>
  <c r="M760" i="20"/>
  <c r="M759" i="20"/>
  <c r="M758" i="20"/>
  <c r="M757" i="20"/>
  <c r="M756" i="20"/>
  <c r="M755" i="20"/>
  <c r="M754" i="20"/>
  <c r="M753" i="20"/>
  <c r="M752" i="20"/>
  <c r="M751" i="20"/>
  <c r="M750" i="20"/>
  <c r="M749" i="20"/>
  <c r="M748" i="20"/>
  <c r="M747" i="20"/>
  <c r="M746" i="20"/>
  <c r="M745" i="20"/>
  <c r="M744" i="20"/>
  <c r="M743" i="20"/>
  <c r="M742" i="20"/>
  <c r="M741" i="20"/>
  <c r="M740" i="20"/>
  <c r="M739" i="20"/>
  <c r="M738" i="20"/>
  <c r="M737" i="20"/>
  <c r="M761" i="20" s="1"/>
  <c r="M736" i="20"/>
  <c r="I735" i="20"/>
  <c r="F735" i="20"/>
  <c r="I734" i="20"/>
  <c r="F734" i="20"/>
  <c r="I733" i="20"/>
  <c r="F733" i="20"/>
  <c r="F761" i="20" s="1"/>
  <c r="I732" i="20"/>
  <c r="I761" i="20" s="1"/>
  <c r="F732" i="20"/>
  <c r="L731" i="20"/>
  <c r="K731" i="20"/>
  <c r="H731" i="20"/>
  <c r="F730" i="20"/>
  <c r="F729" i="20"/>
  <c r="G728" i="20"/>
  <c r="G731" i="20" s="1"/>
  <c r="N731" i="20" s="1"/>
  <c r="M727" i="20"/>
  <c r="M726" i="20"/>
  <c r="M725" i="20"/>
  <c r="M724" i="20"/>
  <c r="M723" i="20"/>
  <c r="M722" i="20"/>
  <c r="M721" i="20"/>
  <c r="M720" i="20"/>
  <c r="M719" i="20"/>
  <c r="M718" i="20"/>
  <c r="M717" i="20"/>
  <c r="M716" i="20"/>
  <c r="M715" i="20"/>
  <c r="M714" i="20"/>
  <c r="M713" i="20"/>
  <c r="M712" i="20"/>
  <c r="M711" i="20"/>
  <c r="M710" i="20"/>
  <c r="M709" i="20"/>
  <c r="M708" i="20"/>
  <c r="M707" i="20"/>
  <c r="M706" i="20"/>
  <c r="M705" i="20"/>
  <c r="M704" i="20"/>
  <c r="M703" i="20"/>
  <c r="M702" i="20"/>
  <c r="M701" i="20"/>
  <c r="M700" i="20"/>
  <c r="M699" i="20"/>
  <c r="M698" i="20"/>
  <c r="M697" i="20"/>
  <c r="M696" i="20"/>
  <c r="M695" i="20"/>
  <c r="M694" i="20"/>
  <c r="M693" i="20"/>
  <c r="M692" i="20"/>
  <c r="M691" i="20"/>
  <c r="M690" i="20"/>
  <c r="M689" i="20"/>
  <c r="M688" i="20"/>
  <c r="M687" i="20"/>
  <c r="M686" i="20"/>
  <c r="M685" i="20"/>
  <c r="M684" i="20"/>
  <c r="M683" i="20"/>
  <c r="M682" i="20"/>
  <c r="M681" i="20"/>
  <c r="M680" i="20"/>
  <c r="M679" i="20"/>
  <c r="M678" i="20"/>
  <c r="M677" i="20"/>
  <c r="M676" i="20"/>
  <c r="M675" i="20"/>
  <c r="M674" i="20"/>
  <c r="M673" i="20"/>
  <c r="M672" i="20"/>
  <c r="M671" i="20"/>
  <c r="M670" i="20"/>
  <c r="M669" i="20"/>
  <c r="M668" i="20"/>
  <c r="M667" i="20"/>
  <c r="M666" i="20"/>
  <c r="M665" i="20"/>
  <c r="M664" i="20"/>
  <c r="M663" i="20"/>
  <c r="M662" i="20"/>
  <c r="M661" i="20"/>
  <c r="M660" i="20"/>
  <c r="M659" i="20"/>
  <c r="M658" i="20"/>
  <c r="M657" i="20"/>
  <c r="M731" i="20" s="1"/>
  <c r="I656" i="20"/>
  <c r="F656" i="20"/>
  <c r="I655" i="20"/>
  <c r="F655" i="20"/>
  <c r="I654" i="20"/>
  <c r="F654" i="20"/>
  <c r="I653" i="20"/>
  <c r="I731" i="20" s="1"/>
  <c r="F653" i="20"/>
  <c r="I652" i="20"/>
  <c r="F652" i="20"/>
  <c r="F731" i="20" s="1"/>
  <c r="L651" i="20"/>
  <c r="K651" i="20"/>
  <c r="H651" i="20"/>
  <c r="G651" i="20"/>
  <c r="N651" i="20" s="1"/>
  <c r="P651" i="20" s="1"/>
  <c r="F651" i="20"/>
  <c r="M650" i="20"/>
  <c r="M649" i="20"/>
  <c r="M648" i="20"/>
  <c r="M647" i="20"/>
  <c r="M646" i="20"/>
  <c r="M645" i="20"/>
  <c r="M644" i="20"/>
  <c r="M643" i="20"/>
  <c r="M642" i="20"/>
  <c r="M641" i="20"/>
  <c r="M640" i="20"/>
  <c r="M639" i="20"/>
  <c r="M638" i="20"/>
  <c r="M637" i="20"/>
  <c r="M636" i="20"/>
  <c r="M635" i="20"/>
  <c r="M634" i="20"/>
  <c r="M633" i="20"/>
  <c r="M632" i="20"/>
  <c r="M631" i="20"/>
  <c r="M651" i="20" s="1"/>
  <c r="I630" i="20"/>
  <c r="I651" i="20" s="1"/>
  <c r="F630" i="20"/>
  <c r="L629" i="20"/>
  <c r="K629" i="20"/>
  <c r="H629" i="20"/>
  <c r="F628" i="20"/>
  <c r="F627" i="20"/>
  <c r="G626" i="20"/>
  <c r="G629" i="20" s="1"/>
  <c r="N629" i="20" s="1"/>
  <c r="M625" i="20"/>
  <c r="M624" i="20"/>
  <c r="M623" i="20"/>
  <c r="M622" i="20"/>
  <c r="M621" i="20"/>
  <c r="M620" i="20"/>
  <c r="M619" i="20"/>
  <c r="M618" i="20"/>
  <c r="M617" i="20"/>
  <c r="M616" i="20"/>
  <c r="M615" i="20"/>
  <c r="M614" i="20"/>
  <c r="M613" i="20"/>
  <c r="M612" i="20"/>
  <c r="M611" i="20"/>
  <c r="M610" i="20"/>
  <c r="M609" i="20"/>
  <c r="M608" i="20"/>
  <c r="M607" i="20"/>
  <c r="M606" i="20"/>
  <c r="M605" i="20"/>
  <c r="M604" i="20"/>
  <c r="M603" i="20"/>
  <c r="M602" i="20"/>
  <c r="M601" i="20"/>
  <c r="M600" i="20"/>
  <c r="M599" i="20"/>
  <c r="M598" i="20"/>
  <c r="M597" i="20"/>
  <c r="M596" i="20"/>
  <c r="M595" i="20"/>
  <c r="M594" i="20"/>
  <c r="M593" i="20"/>
  <c r="M592" i="20"/>
  <c r="M591" i="20"/>
  <c r="M590" i="20"/>
  <c r="M589" i="20"/>
  <c r="M588" i="20"/>
  <c r="M587" i="20"/>
  <c r="M586" i="20"/>
  <c r="M585" i="20"/>
  <c r="M584" i="20"/>
  <c r="M583" i="20"/>
  <c r="M582" i="20"/>
  <c r="M581" i="20"/>
  <c r="M580" i="20"/>
  <c r="M579" i="20"/>
  <c r="M578" i="20"/>
  <c r="M577" i="20"/>
  <c r="M576" i="20"/>
  <c r="M575" i="20"/>
  <c r="M574" i="20"/>
  <c r="M573" i="20"/>
  <c r="M572" i="20"/>
  <c r="M571" i="20"/>
  <c r="M629" i="20" s="1"/>
  <c r="I570" i="20"/>
  <c r="F570" i="20"/>
  <c r="I569" i="20"/>
  <c r="F569" i="20"/>
  <c r="I568" i="20"/>
  <c r="F568" i="20"/>
  <c r="F629" i="20" s="1"/>
  <c r="I567" i="20"/>
  <c r="I629" i="20" s="1"/>
  <c r="F567" i="20"/>
  <c r="L566" i="20"/>
  <c r="K566" i="20"/>
  <c r="N566" i="20" s="1"/>
  <c r="P566" i="20" s="1"/>
  <c r="H566" i="20"/>
  <c r="G566" i="20"/>
  <c r="M565" i="20"/>
  <c r="M564" i="20"/>
  <c r="M563" i="20"/>
  <c r="M562" i="20"/>
  <c r="M561" i="20"/>
  <c r="M560" i="20"/>
  <c r="M559" i="20"/>
  <c r="M558" i="20"/>
  <c r="M557" i="20"/>
  <c r="M556" i="20"/>
  <c r="M555" i="20"/>
  <c r="M554" i="20"/>
  <c r="M553" i="20"/>
  <c r="M552" i="20"/>
  <c r="M551" i="20"/>
  <c r="M550" i="20"/>
  <c r="M549" i="20"/>
  <c r="M548" i="20"/>
  <c r="M566" i="20" s="1"/>
  <c r="I547" i="20"/>
  <c r="F547" i="20"/>
  <c r="F566" i="20" s="1"/>
  <c r="I546" i="20"/>
  <c r="I566" i="20" s="1"/>
  <c r="F546" i="20"/>
  <c r="L545" i="20"/>
  <c r="K545" i="20"/>
  <c r="H545" i="20"/>
  <c r="F545" i="20"/>
  <c r="F544" i="20"/>
  <c r="F543" i="20"/>
  <c r="M541" i="20"/>
  <c r="M540" i="20"/>
  <c r="M539" i="20"/>
  <c r="M538" i="20"/>
  <c r="M537" i="20"/>
  <c r="M536" i="20"/>
  <c r="M535" i="20"/>
  <c r="M534" i="20"/>
  <c r="M533" i="20"/>
  <c r="M532" i="20"/>
  <c r="M531" i="20"/>
  <c r="M530" i="20"/>
  <c r="M529" i="20"/>
  <c r="M528" i="20"/>
  <c r="M527" i="20"/>
  <c r="M526" i="20"/>
  <c r="M525" i="20"/>
  <c r="M524" i="20"/>
  <c r="M523" i="20"/>
  <c r="M522" i="20"/>
  <c r="M521" i="20"/>
  <c r="M520" i="20"/>
  <c r="M519" i="20"/>
  <c r="M518" i="20"/>
  <c r="M517" i="20"/>
  <c r="M516" i="20"/>
  <c r="M515" i="20"/>
  <c r="M514" i="20"/>
  <c r="M513" i="20"/>
  <c r="M512" i="20"/>
  <c r="M511" i="20"/>
  <c r="M510" i="20"/>
  <c r="M509" i="20"/>
  <c r="M508" i="20"/>
  <c r="M507" i="20"/>
  <c r="M506" i="20"/>
  <c r="M505" i="20"/>
  <c r="M504" i="20"/>
  <c r="M503" i="20"/>
  <c r="M502" i="20"/>
  <c r="M501" i="20"/>
  <c r="M500" i="20"/>
  <c r="M499" i="20"/>
  <c r="M498" i="20"/>
  <c r="M497" i="20"/>
  <c r="M496" i="20"/>
  <c r="M495" i="20"/>
  <c r="M494" i="20"/>
  <c r="M493" i="20"/>
  <c r="M492" i="20"/>
  <c r="M491" i="20"/>
  <c r="M490" i="20"/>
  <c r="M489" i="20"/>
  <c r="M488" i="20"/>
  <c r="M487" i="20"/>
  <c r="M486" i="20"/>
  <c r="M485" i="20"/>
  <c r="M484" i="20"/>
  <c r="M483" i="20"/>
  <c r="M482" i="20"/>
  <c r="M481" i="20"/>
  <c r="M480" i="20"/>
  <c r="M479" i="20"/>
  <c r="M478" i="20"/>
  <c r="M477" i="20"/>
  <c r="M476" i="20"/>
  <c r="M475" i="20"/>
  <c r="M474" i="20"/>
  <c r="M473" i="20"/>
  <c r="M472" i="20"/>
  <c r="M471" i="20"/>
  <c r="M470" i="20"/>
  <c r="M469" i="20"/>
  <c r="M468" i="20"/>
  <c r="M467" i="20"/>
  <c r="M466" i="20"/>
  <c r="M465" i="20"/>
  <c r="M464" i="20"/>
  <c r="M463" i="20"/>
  <c r="M462" i="20"/>
  <c r="M461" i="20"/>
  <c r="M460" i="20"/>
  <c r="M459" i="20"/>
  <c r="M458" i="20"/>
  <c r="M545" i="20" s="1"/>
  <c r="I457" i="20"/>
  <c r="F457" i="20"/>
  <c r="I456" i="20"/>
  <c r="F456" i="20"/>
  <c r="I455" i="20"/>
  <c r="F455" i="20"/>
  <c r="I454" i="20"/>
  <c r="F454" i="20"/>
  <c r="I453" i="20"/>
  <c r="F453" i="20"/>
  <c r="I452" i="20"/>
  <c r="F452" i="20"/>
  <c r="I451" i="20"/>
  <c r="F451" i="20"/>
  <c r="I450" i="20"/>
  <c r="F450" i="20"/>
  <c r="I449" i="20"/>
  <c r="F449" i="20"/>
  <c r="I448" i="20"/>
  <c r="F448" i="20"/>
  <c r="I447" i="20"/>
  <c r="F447" i="20"/>
  <c r="I446" i="20"/>
  <c r="F446" i="20"/>
  <c r="I445" i="20"/>
  <c r="I545" i="20" s="1"/>
  <c r="F445" i="20"/>
  <c r="I444" i="20"/>
  <c r="F444" i="20"/>
  <c r="L443" i="20"/>
  <c r="K443" i="20"/>
  <c r="N443" i="20" s="1"/>
  <c r="P443" i="20" s="1"/>
  <c r="H443" i="20"/>
  <c r="G443" i="20"/>
  <c r="M442" i="20"/>
  <c r="M441" i="20"/>
  <c r="M440" i="20"/>
  <c r="M439" i="20"/>
  <c r="M438" i="20"/>
  <c r="M437" i="20"/>
  <c r="M436" i="20"/>
  <c r="M435" i="20"/>
  <c r="M434" i="20"/>
  <c r="M433" i="20"/>
  <c r="M432" i="20"/>
  <c r="M431" i="20"/>
  <c r="M430" i="20"/>
  <c r="M429" i="20"/>
  <c r="M428" i="20"/>
  <c r="M427" i="20"/>
  <c r="M426" i="20"/>
  <c r="M425" i="20"/>
  <c r="M424" i="20"/>
  <c r="M423" i="20"/>
  <c r="M422" i="20"/>
  <c r="M421" i="20"/>
  <c r="M443" i="20" s="1"/>
  <c r="I420" i="20"/>
  <c r="F420" i="20"/>
  <c r="F443" i="20" s="1"/>
  <c r="I419" i="20"/>
  <c r="I443" i="20" s="1"/>
  <c r="F419" i="20"/>
  <c r="L418" i="20"/>
  <c r="K418" i="20"/>
  <c r="H418" i="20"/>
  <c r="F418" i="20"/>
  <c r="F417" i="20"/>
  <c r="F416" i="20"/>
  <c r="M414" i="20"/>
  <c r="M413" i="20"/>
  <c r="M412" i="20"/>
  <c r="M411" i="20"/>
  <c r="M410" i="20"/>
  <c r="M409" i="20"/>
  <c r="M408" i="20"/>
  <c r="M407" i="20"/>
  <c r="M406" i="20"/>
  <c r="M405" i="20"/>
  <c r="M404" i="20"/>
  <c r="M403" i="20"/>
  <c r="M402" i="20"/>
  <c r="M401" i="20"/>
  <c r="M400" i="20"/>
  <c r="M399" i="20"/>
  <c r="M398" i="20"/>
  <c r="M397" i="20"/>
  <c r="M396" i="20"/>
  <c r="M395" i="20"/>
  <c r="M394" i="20"/>
  <c r="M393" i="20"/>
  <c r="M392" i="20"/>
  <c r="M391" i="20"/>
  <c r="M390" i="20"/>
  <c r="M389" i="20"/>
  <c r="M388" i="20"/>
  <c r="M387" i="20"/>
  <c r="M386" i="20"/>
  <c r="M385" i="20"/>
  <c r="M384" i="20"/>
  <c r="M383" i="20"/>
  <c r="M382" i="20"/>
  <c r="M381" i="20"/>
  <c r="M380" i="20"/>
  <c r="M379" i="20"/>
  <c r="M378" i="20"/>
  <c r="M377" i="20"/>
  <c r="M376" i="20"/>
  <c r="M375" i="20"/>
  <c r="M374" i="20"/>
  <c r="M373" i="20"/>
  <c r="M372" i="20"/>
  <c r="M371" i="20"/>
  <c r="M370" i="20"/>
  <c r="M369" i="20"/>
  <c r="M368" i="20"/>
  <c r="M367" i="20"/>
  <c r="M366" i="20"/>
  <c r="M365" i="20"/>
  <c r="M364" i="20"/>
  <c r="M363" i="20"/>
  <c r="M362" i="20"/>
  <c r="M361" i="20"/>
  <c r="M360" i="20"/>
  <c r="M359" i="20"/>
  <c r="M358" i="20"/>
  <c r="M357" i="20"/>
  <c r="M356" i="20"/>
  <c r="M355" i="20"/>
  <c r="M354" i="20"/>
  <c r="M353" i="20"/>
  <c r="M352" i="20"/>
  <c r="M351" i="20"/>
  <c r="M350" i="20"/>
  <c r="M349" i="20"/>
  <c r="M348" i="20"/>
  <c r="M347" i="20"/>
  <c r="M346" i="20"/>
  <c r="M345" i="20"/>
  <c r="M344" i="20"/>
  <c r="M343" i="20"/>
  <c r="M342" i="20"/>
  <c r="M341" i="20"/>
  <c r="M418" i="20" s="1"/>
  <c r="I340" i="20"/>
  <c r="F340" i="20"/>
  <c r="I339" i="20"/>
  <c r="F339" i="20"/>
  <c r="I338" i="20"/>
  <c r="F338" i="20"/>
  <c r="I337" i="20"/>
  <c r="F337" i="20"/>
  <c r="I336" i="20"/>
  <c r="F336" i="20"/>
  <c r="I335" i="20"/>
  <c r="I418" i="20" s="1"/>
  <c r="F335" i="20"/>
  <c r="I334" i="20"/>
  <c r="F334" i="20"/>
  <c r="L333" i="20"/>
  <c r="K333" i="20"/>
  <c r="N333" i="20" s="1"/>
  <c r="P333" i="20" s="1"/>
  <c r="H333" i="20"/>
  <c r="G333" i="20"/>
  <c r="M332" i="20"/>
  <c r="M331" i="20"/>
  <c r="M330" i="20"/>
  <c r="M329" i="20"/>
  <c r="M328" i="20"/>
  <c r="M327" i="20"/>
  <c r="M326" i="20"/>
  <c r="M325" i="20"/>
  <c r="M324" i="20"/>
  <c r="M323" i="20"/>
  <c r="M322" i="20"/>
  <c r="M321" i="20"/>
  <c r="M320" i="20"/>
  <c r="M319" i="20"/>
  <c r="M318" i="20"/>
  <c r="M317" i="20"/>
  <c r="M316" i="20"/>
  <c r="M315" i="20"/>
  <c r="M314" i="20"/>
  <c r="M313" i="20"/>
  <c r="M312" i="20"/>
  <c r="M311" i="20"/>
  <c r="M333" i="20" s="1"/>
  <c r="I310" i="20"/>
  <c r="F310" i="20"/>
  <c r="I309" i="20"/>
  <c r="F309" i="20"/>
  <c r="I308" i="20"/>
  <c r="F308" i="20"/>
  <c r="F333" i="20" s="1"/>
  <c r="I307" i="20"/>
  <c r="I333" i="20" s="1"/>
  <c r="F307" i="20"/>
  <c r="L306" i="20"/>
  <c r="K306" i="20"/>
  <c r="K777" i="20" s="1"/>
  <c r="H306" i="20"/>
  <c r="F306" i="20"/>
  <c r="F305" i="20"/>
  <c r="F304" i="20"/>
  <c r="G303" i="20"/>
  <c r="G306" i="20" s="1"/>
  <c r="N306" i="20" s="1"/>
  <c r="P306" i="20" s="1"/>
  <c r="M302" i="20"/>
  <c r="M301" i="20"/>
  <c r="M300" i="20"/>
  <c r="M299" i="20"/>
  <c r="M298" i="20"/>
  <c r="M297" i="20"/>
  <c r="M296" i="20"/>
  <c r="M295" i="20"/>
  <c r="M294" i="20"/>
  <c r="M293" i="20"/>
  <c r="M292" i="20"/>
  <c r="M291" i="20"/>
  <c r="M290" i="20"/>
  <c r="M289" i="20"/>
  <c r="M288" i="20"/>
  <c r="M287" i="20"/>
  <c r="M286" i="20"/>
  <c r="M285" i="20"/>
  <c r="M284" i="20"/>
  <c r="M283" i="20"/>
  <c r="M282" i="20"/>
  <c r="M281" i="20"/>
  <c r="M280" i="20"/>
  <c r="M279" i="20"/>
  <c r="M278" i="20"/>
  <c r="M277" i="20"/>
  <c r="M276" i="20"/>
  <c r="M275" i="20"/>
  <c r="M274" i="20"/>
  <c r="M273" i="20"/>
  <c r="M272" i="20"/>
  <c r="M271" i="20"/>
  <c r="M270" i="20"/>
  <c r="M269" i="20"/>
  <c r="M268" i="20"/>
  <c r="M267" i="20"/>
  <c r="M266" i="20"/>
  <c r="M265" i="20"/>
  <c r="M264" i="20"/>
  <c r="M263" i="20"/>
  <c r="M262" i="20"/>
  <c r="M261" i="20"/>
  <c r="M260" i="20"/>
  <c r="M259" i="20"/>
  <c r="M258" i="20"/>
  <c r="M257" i="20"/>
  <c r="M256" i="20"/>
  <c r="M255" i="20"/>
  <c r="M254" i="20"/>
  <c r="M253" i="20"/>
  <c r="M252" i="20"/>
  <c r="M251" i="20"/>
  <c r="M250" i="20"/>
  <c r="M249" i="20"/>
  <c r="M248" i="20"/>
  <c r="M247" i="20"/>
  <c r="M246" i="20"/>
  <c r="M245" i="20"/>
  <c r="M244" i="20"/>
  <c r="M243" i="20"/>
  <c r="M242" i="20"/>
  <c r="M241" i="20"/>
  <c r="M240" i="20"/>
  <c r="M239" i="20"/>
  <c r="M238" i="20"/>
  <c r="M237" i="20"/>
  <c r="M236" i="20"/>
  <c r="M235" i="20"/>
  <c r="M234" i="20"/>
  <c r="M233" i="20"/>
  <c r="M232" i="20"/>
  <c r="M231" i="20"/>
  <c r="M230" i="20"/>
  <c r="M229" i="20"/>
  <c r="M306" i="20" s="1"/>
  <c r="I228" i="20"/>
  <c r="F228" i="20"/>
  <c r="I227" i="20"/>
  <c r="F227" i="20"/>
  <c r="I226" i="20"/>
  <c r="F226" i="20"/>
  <c r="I225" i="20"/>
  <c r="F225" i="20"/>
  <c r="I224" i="20"/>
  <c r="F224" i="20"/>
  <c r="I223" i="20"/>
  <c r="F223" i="20"/>
  <c r="I222" i="20"/>
  <c r="F222" i="20"/>
  <c r="I221" i="20"/>
  <c r="F221" i="20"/>
  <c r="I220" i="20"/>
  <c r="F220" i="20"/>
  <c r="I219" i="20"/>
  <c r="F219" i="20"/>
  <c r="I218" i="20"/>
  <c r="F218" i="20"/>
  <c r="I217" i="20"/>
  <c r="F217" i="20"/>
  <c r="I216" i="20"/>
  <c r="F216" i="20"/>
  <c r="I215" i="20"/>
  <c r="F215" i="20"/>
  <c r="I214" i="20"/>
  <c r="F214" i="20"/>
  <c r="I213" i="20"/>
  <c r="F213" i="20"/>
  <c r="I212" i="20"/>
  <c r="F212" i="20"/>
  <c r="I211" i="20"/>
  <c r="F211" i="20"/>
  <c r="I210" i="20"/>
  <c r="F210" i="20"/>
  <c r="I209" i="20"/>
  <c r="I306" i="20" s="1"/>
  <c r="F209" i="20"/>
  <c r="I208" i="20"/>
  <c r="F208" i="20"/>
  <c r="L207" i="20"/>
  <c r="K207" i="20"/>
  <c r="N207" i="20" s="1"/>
  <c r="P207" i="20" s="1"/>
  <c r="H207" i="20"/>
  <c r="G207" i="20"/>
  <c r="M206" i="20"/>
  <c r="M205" i="20"/>
  <c r="M204" i="20"/>
  <c r="M203" i="20"/>
  <c r="M202" i="20"/>
  <c r="M201" i="20"/>
  <c r="M200" i="20"/>
  <c r="M199" i="20"/>
  <c r="M198" i="20"/>
  <c r="M197" i="20"/>
  <c r="M196" i="20"/>
  <c r="M195" i="20"/>
  <c r="M194" i="20"/>
  <c r="M193" i="20"/>
  <c r="M207" i="20" s="1"/>
  <c r="I192" i="20"/>
  <c r="F192" i="20"/>
  <c r="I191" i="20"/>
  <c r="F191" i="20"/>
  <c r="I190" i="20"/>
  <c r="F190" i="20"/>
  <c r="I189" i="20"/>
  <c r="F189" i="20"/>
  <c r="I188" i="20"/>
  <c r="I207" i="20" s="1"/>
  <c r="F188" i="20"/>
  <c r="F207" i="20" s="1"/>
  <c r="L187" i="20"/>
  <c r="K187" i="20"/>
  <c r="H187" i="20"/>
  <c r="G187" i="20"/>
  <c r="N187" i="20" s="1"/>
  <c r="P187" i="20" s="1"/>
  <c r="G184" i="20"/>
  <c r="M183" i="20"/>
  <c r="M182" i="20"/>
  <c r="M181" i="20"/>
  <c r="M180" i="20"/>
  <c r="M179" i="20"/>
  <c r="M178" i="20"/>
  <c r="M177" i="20"/>
  <c r="M176" i="20"/>
  <c r="M175" i="20"/>
  <c r="M174" i="20"/>
  <c r="M173" i="20"/>
  <c r="M172" i="20"/>
  <c r="M171" i="20"/>
  <c r="M170" i="20"/>
  <c r="M169" i="20"/>
  <c r="M168" i="20"/>
  <c r="M167" i="20"/>
  <c r="M166" i="20"/>
  <c r="M165" i="20"/>
  <c r="M164" i="20"/>
  <c r="M163" i="20"/>
  <c r="M162" i="20"/>
  <c r="M161" i="20"/>
  <c r="M160" i="20"/>
  <c r="M159" i="20"/>
  <c r="M158" i="20"/>
  <c r="M157" i="20"/>
  <c r="M156" i="20"/>
  <c r="M155" i="20"/>
  <c r="M154" i="20"/>
  <c r="M153" i="20"/>
  <c r="M152" i="20"/>
  <c r="M151" i="20"/>
  <c r="M150" i="20"/>
  <c r="M149" i="20"/>
  <c r="M148" i="20"/>
  <c r="M147" i="20"/>
  <c r="M146" i="20"/>
  <c r="M145" i="20"/>
  <c r="M144" i="20"/>
  <c r="M143" i="20"/>
  <c r="M142" i="20"/>
  <c r="M141" i="20"/>
  <c r="M140" i="20"/>
  <c r="M139" i="20"/>
  <c r="M138" i="20"/>
  <c r="M137" i="20"/>
  <c r="M136" i="20"/>
  <c r="M135" i="20"/>
  <c r="M134" i="20"/>
  <c r="M133" i="20"/>
  <c r="M132" i="20"/>
  <c r="M131" i="20"/>
  <c r="M130" i="20"/>
  <c r="M129" i="20"/>
  <c r="M128" i="20"/>
  <c r="M127" i="20"/>
  <c r="M187" i="20" s="1"/>
  <c r="M126" i="20"/>
  <c r="I125" i="20"/>
  <c r="F125" i="20"/>
  <c r="I124" i="20"/>
  <c r="F124" i="20"/>
  <c r="I123" i="20"/>
  <c r="F123" i="20"/>
  <c r="I122" i="20"/>
  <c r="F122" i="20"/>
  <c r="I121" i="20"/>
  <c r="F121" i="20"/>
  <c r="I120" i="20"/>
  <c r="F120" i="20"/>
  <c r="I119" i="20"/>
  <c r="F119" i="20"/>
  <c r="I118" i="20"/>
  <c r="F118" i="20"/>
  <c r="I117" i="20"/>
  <c r="F117" i="20"/>
  <c r="I116" i="20"/>
  <c r="F116" i="20"/>
  <c r="I115" i="20"/>
  <c r="F115" i="20"/>
  <c r="I114" i="20"/>
  <c r="F114" i="20"/>
  <c r="I113" i="20"/>
  <c r="F113" i="20"/>
  <c r="I112" i="20"/>
  <c r="F112" i="20"/>
  <c r="I111" i="20"/>
  <c r="F111" i="20"/>
  <c r="I110" i="20"/>
  <c r="F110" i="20"/>
  <c r="I109" i="20"/>
  <c r="F109" i="20"/>
  <c r="I108" i="20"/>
  <c r="F108" i="20"/>
  <c r="I107" i="20"/>
  <c r="F107" i="20"/>
  <c r="I106" i="20"/>
  <c r="I187" i="20" s="1"/>
  <c r="F106" i="20"/>
  <c r="F187" i="20" s="1"/>
  <c r="L105" i="20"/>
  <c r="L780" i="20" s="1"/>
  <c r="K105" i="20"/>
  <c r="H105" i="20"/>
  <c r="H780" i="20" s="1"/>
  <c r="G105" i="20"/>
  <c r="G780" i="20" s="1"/>
  <c r="M104" i="20"/>
  <c r="M103" i="20"/>
  <c r="M102" i="20"/>
  <c r="M101" i="20"/>
  <c r="M100" i="20"/>
  <c r="M99" i="20"/>
  <c r="M98" i="20"/>
  <c r="M97" i="20"/>
  <c r="M96" i="20"/>
  <c r="M95" i="20"/>
  <c r="M94" i="20"/>
  <c r="M93" i="20"/>
  <c r="M92" i="20"/>
  <c r="M91" i="20"/>
  <c r="M105" i="20" s="1"/>
  <c r="M90" i="20"/>
  <c r="I89" i="20"/>
  <c r="F89" i="20"/>
  <c r="I88" i="20"/>
  <c r="F88" i="20"/>
  <c r="I87" i="20"/>
  <c r="F87" i="20"/>
  <c r="I86" i="20"/>
  <c r="I105" i="20" s="1"/>
  <c r="F86" i="20"/>
  <c r="F105" i="20" s="1"/>
  <c r="L85" i="20"/>
  <c r="L777" i="20" s="1"/>
  <c r="K85" i="20"/>
  <c r="I85" i="20"/>
  <c r="H85" i="20"/>
  <c r="H777" i="20" s="1"/>
  <c r="M84" i="20"/>
  <c r="M83" i="20"/>
  <c r="M81" i="20"/>
  <c r="M80" i="20"/>
  <c r="M79" i="20"/>
  <c r="M78" i="20"/>
  <c r="M77" i="20"/>
  <c r="M76" i="20"/>
  <c r="M75" i="20"/>
  <c r="M74" i="20"/>
  <c r="M73" i="20"/>
  <c r="M72" i="20"/>
  <c r="M71" i="20"/>
  <c r="M70" i="20"/>
  <c r="M69" i="20"/>
  <c r="M68" i="20"/>
  <c r="M67" i="20"/>
  <c r="M66" i="20"/>
  <c r="M65" i="20"/>
  <c r="M64" i="20"/>
  <c r="M63" i="20"/>
  <c r="M62" i="20"/>
  <c r="M61" i="20"/>
  <c r="M60" i="20"/>
  <c r="M59" i="20"/>
  <c r="M58" i="20"/>
  <c r="M57" i="20"/>
  <c r="M56" i="20"/>
  <c r="M55" i="20"/>
  <c r="M54" i="20"/>
  <c r="M53" i="20"/>
  <c r="M52" i="20"/>
  <c r="M51" i="20"/>
  <c r="M50" i="20"/>
  <c r="M49" i="20"/>
  <c r="M48" i="20"/>
  <c r="M47" i="20"/>
  <c r="M46" i="20"/>
  <c r="M45" i="20"/>
  <c r="M44" i="20"/>
  <c r="M43" i="20"/>
  <c r="M42" i="20"/>
  <c r="M41" i="20"/>
  <c r="M40" i="20"/>
  <c r="M39" i="20"/>
  <c r="M38" i="20"/>
  <c r="M37" i="20"/>
  <c r="M36" i="20"/>
  <c r="M35" i="20"/>
  <c r="M34" i="20"/>
  <c r="M33" i="20"/>
  <c r="M32" i="20"/>
  <c r="M31" i="20"/>
  <c r="M85" i="20" s="1"/>
  <c r="M30" i="20"/>
  <c r="I29" i="20"/>
  <c r="F29" i="20"/>
  <c r="I28" i="20"/>
  <c r="F28" i="20"/>
  <c r="I27" i="20"/>
  <c r="F27" i="20"/>
  <c r="I26" i="20"/>
  <c r="F26" i="20"/>
  <c r="I25" i="20"/>
  <c r="F25" i="20"/>
  <c r="I24" i="20"/>
  <c r="F24" i="20"/>
  <c r="I23" i="20"/>
  <c r="F23" i="20"/>
  <c r="I22" i="20"/>
  <c r="F22" i="20"/>
  <c r="I21" i="20"/>
  <c r="F21" i="20"/>
  <c r="I20" i="20"/>
  <c r="F20" i="20"/>
  <c r="I19" i="20"/>
  <c r="F19" i="20"/>
  <c r="I18" i="20"/>
  <c r="F18" i="20"/>
  <c r="I17" i="20"/>
  <c r="F17" i="20"/>
  <c r="I16" i="20"/>
  <c r="F16" i="20"/>
  <c r="I15" i="20"/>
  <c r="F15" i="20"/>
  <c r="I14" i="20"/>
  <c r="F14" i="20"/>
  <c r="I13" i="20"/>
  <c r="F13" i="20"/>
  <c r="I12" i="20"/>
  <c r="F12" i="20"/>
  <c r="I11" i="20"/>
  <c r="F11" i="20"/>
  <c r="I10" i="20"/>
  <c r="F10" i="20"/>
  <c r="I9" i="20"/>
  <c r="F9" i="20"/>
  <c r="I8" i="20"/>
  <c r="F8" i="20"/>
  <c r="I7" i="20"/>
  <c r="F7" i="20"/>
  <c r="F85" i="20" s="1"/>
  <c r="EH48" i="2" l="1"/>
  <c r="J793" i="20"/>
  <c r="O731" i="20" s="1"/>
  <c r="P731" i="20" s="1"/>
  <c r="O629" i="20"/>
  <c r="P629" i="20" s="1"/>
  <c r="G781" i="20"/>
  <c r="G786" i="20" s="1"/>
  <c r="G85" i="20"/>
  <c r="P545" i="20"/>
  <c r="N105" i="20"/>
  <c r="G415" i="20"/>
  <c r="G418" i="20" s="1"/>
  <c r="N418" i="20" s="1"/>
  <c r="P418" i="20" s="1"/>
  <c r="K780" i="20"/>
  <c r="G777" i="20" l="1"/>
  <c r="N85" i="20"/>
  <c r="N768" i="20"/>
  <c r="P105" i="20"/>
  <c r="P768" i="20" s="1"/>
  <c r="EA56" i="4" s="1"/>
  <c r="EL56" i="4" s="1"/>
  <c r="O765" i="20"/>
  <c r="P85" i="20" l="1"/>
  <c r="P765" i="20" s="1"/>
  <c r="N765" i="20"/>
  <c r="P772" i="20" l="1"/>
  <c r="EA46" i="4"/>
  <c r="EL46" i="4" s="1"/>
  <c r="E41" i="15"/>
  <c r="E11" i="15"/>
  <c r="E27" i="15"/>
  <c r="E36" i="15"/>
  <c r="E35" i="15"/>
  <c r="E34" i="15"/>
  <c r="E33" i="15"/>
  <c r="E32" i="15"/>
  <c r="E31" i="15"/>
  <c r="E30" i="15"/>
  <c r="E29" i="15"/>
  <c r="E28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0" i="15"/>
  <c r="E8" i="15"/>
  <c r="E7" i="15"/>
  <c r="E6" i="15"/>
  <c r="E5" i="15"/>
  <c r="E4" i="15"/>
  <c r="I7" i="12" l="1"/>
  <c r="J71" i="12" l="1"/>
  <c r="I73" i="12"/>
  <c r="H73" i="12"/>
  <c r="H74" i="12"/>
  <c r="H71" i="12"/>
  <c r="F5" i="8" l="1"/>
  <c r="D73" i="13"/>
  <c r="D75" i="13"/>
  <c r="E66" i="13"/>
  <c r="D66" i="13"/>
  <c r="F62" i="13"/>
  <c r="E44" i="13"/>
  <c r="D44" i="13"/>
  <c r="D43" i="13"/>
  <c r="D41" i="13" l="1"/>
  <c r="E38" i="13"/>
  <c r="E41" i="13" s="1"/>
  <c r="D38" i="13"/>
  <c r="F13" i="13" l="1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12" i="13"/>
  <c r="H20" i="12"/>
  <c r="E40" i="12"/>
  <c r="D40" i="12"/>
  <c r="E37" i="12"/>
  <c r="D37" i="12"/>
  <c r="E77" i="12" l="1"/>
  <c r="I199" i="6"/>
  <c r="P8" i="6"/>
  <c r="D87" i="11" l="1"/>
  <c r="E87" i="11"/>
  <c r="C87" i="11"/>
  <c r="D78" i="11"/>
  <c r="E78" i="11"/>
  <c r="C78" i="11"/>
  <c r="D68" i="11"/>
  <c r="E68" i="11"/>
  <c r="C68" i="11"/>
  <c r="D62" i="11"/>
  <c r="E62" i="11"/>
  <c r="C62" i="11"/>
  <c r="D54" i="11"/>
  <c r="E54" i="11"/>
  <c r="C54" i="11"/>
  <c r="D49" i="11"/>
  <c r="E49" i="11"/>
  <c r="C49" i="11"/>
  <c r="D43" i="11"/>
  <c r="E43" i="11"/>
  <c r="C43" i="11"/>
  <c r="D25" i="11"/>
  <c r="E25" i="11"/>
  <c r="C25" i="11"/>
  <c r="D19" i="11"/>
  <c r="E19" i="11"/>
  <c r="C19" i="11"/>
  <c r="D15" i="11"/>
  <c r="E15" i="11"/>
  <c r="C15" i="11"/>
  <c r="C88" i="11" l="1"/>
  <c r="E88" i="11"/>
  <c r="D88" i="11"/>
  <c r="I8" i="6"/>
  <c r="L165" i="10" l="1"/>
  <c r="L164" i="10"/>
  <c r="L163" i="10"/>
  <c r="L162" i="10"/>
  <c r="L161" i="10"/>
  <c r="L160" i="10"/>
  <c r="O158" i="10"/>
  <c r="K151" i="10"/>
  <c r="L170" i="10" l="1"/>
  <c r="C40" i="8" l="1"/>
  <c r="E36" i="8"/>
  <c r="F36" i="8"/>
  <c r="D36" i="8"/>
  <c r="H8" i="6" l="1"/>
  <c r="G8" i="6"/>
  <c r="F8" i="6"/>
  <c r="E8" i="6"/>
  <c r="D8" i="6"/>
  <c r="C8" i="6"/>
  <c r="I156" i="6"/>
  <c r="H156" i="6"/>
  <c r="G156" i="6"/>
  <c r="F156" i="6"/>
  <c r="E156" i="6"/>
  <c r="D156" i="6"/>
  <c r="C156" i="6"/>
  <c r="H155" i="6"/>
  <c r="G155" i="6"/>
  <c r="F155" i="6"/>
  <c r="E155" i="6"/>
  <c r="D155" i="6"/>
  <c r="C155" i="6"/>
  <c r="I154" i="6"/>
  <c r="H154" i="6"/>
  <c r="G154" i="6"/>
  <c r="F154" i="6"/>
  <c r="E154" i="6"/>
  <c r="D154" i="6"/>
  <c r="C154" i="6"/>
  <c r="H123" i="6"/>
  <c r="G123" i="6"/>
  <c r="F123" i="6"/>
  <c r="E123" i="6"/>
  <c r="D123" i="6"/>
  <c r="C123" i="6"/>
  <c r="I97" i="6"/>
  <c r="H97" i="6"/>
  <c r="G97" i="6"/>
  <c r="F97" i="6"/>
  <c r="E97" i="6"/>
  <c r="D97" i="6"/>
  <c r="C97" i="6"/>
  <c r="T7" i="7"/>
  <c r="I20" i="7" s="1"/>
  <c r="I155" i="6" s="1"/>
  <c r="U10" i="7"/>
  <c r="T10" i="7"/>
  <c r="EA59" i="4"/>
  <c r="EL59" i="4" s="1"/>
  <c r="EB46" i="4"/>
  <c r="EC46" i="4"/>
  <c r="ED46" i="4"/>
  <c r="EE46" i="4"/>
  <c r="EA37" i="4"/>
  <c r="EL37" i="4" s="1"/>
  <c r="EB37" i="4"/>
  <c r="EC37" i="4"/>
  <c r="ED37" i="4"/>
  <c r="EE37" i="4"/>
  <c r="EA36" i="4"/>
  <c r="EL36" i="4" s="1"/>
  <c r="T11" i="7" l="1"/>
  <c r="I17" i="7" s="1"/>
  <c r="I123" i="6" s="1"/>
  <c r="EA5" i="3"/>
  <c r="EI5" i="3" s="1"/>
  <c r="EA6" i="3"/>
  <c r="EI6" i="3" s="1"/>
  <c r="EA9" i="3"/>
  <c r="EI9" i="3" s="1"/>
  <c r="EA10" i="3"/>
  <c r="EI10" i="3" s="1"/>
  <c r="EA11" i="3"/>
  <c r="EI11" i="3" s="1"/>
  <c r="EA14" i="3"/>
  <c r="EI14" i="3" s="1"/>
  <c r="EA15" i="3"/>
  <c r="EI15" i="3" s="1"/>
  <c r="EA16" i="3"/>
  <c r="EI16" i="3" s="1"/>
  <c r="EA22" i="3"/>
  <c r="EG8" i="13"/>
  <c r="EG8" i="12"/>
  <c r="EG8" i="11"/>
  <c r="EG8" i="10"/>
  <c r="EG8" i="16"/>
  <c r="EG8" i="8"/>
  <c r="EG8" i="7"/>
  <c r="EG8" i="6"/>
  <c r="EG9" i="13"/>
  <c r="EG9" i="12"/>
  <c r="EG9" i="11"/>
  <c r="EG9" i="10"/>
  <c r="EG9" i="16"/>
  <c r="EG9" i="8"/>
  <c r="EG9" i="7"/>
  <c r="EG9" i="6"/>
  <c r="EH15" i="3"/>
  <c r="EG23" i="6"/>
  <c r="EG22" i="6"/>
  <c r="EG21" i="6"/>
  <c r="EG20" i="6"/>
  <c r="EG19" i="6"/>
  <c r="EG18" i="6"/>
  <c r="EG17" i="6"/>
  <c r="EG16" i="6"/>
  <c r="EG15" i="6"/>
  <c r="EG14" i="6"/>
  <c r="EG13" i="6"/>
  <c r="EG12" i="6"/>
  <c r="EG11" i="6"/>
  <c r="EG10" i="6"/>
  <c r="EG7" i="6"/>
  <c r="EG6" i="6"/>
  <c r="EG5" i="6"/>
  <c r="EG23" i="7"/>
  <c r="EG22" i="7"/>
  <c r="EG21" i="7"/>
  <c r="EG20" i="7"/>
  <c r="EG19" i="7"/>
  <c r="EG18" i="7"/>
  <c r="EG17" i="7"/>
  <c r="EG16" i="7"/>
  <c r="EG15" i="7"/>
  <c r="EG14" i="7"/>
  <c r="EG13" i="7"/>
  <c r="EG12" i="7"/>
  <c r="EG11" i="7"/>
  <c r="EG10" i="7"/>
  <c r="EG7" i="7"/>
  <c r="EG6" i="7"/>
  <c r="EG5" i="7"/>
  <c r="EG23" i="8"/>
  <c r="EG22" i="8"/>
  <c r="EG21" i="8"/>
  <c r="EG20" i="8"/>
  <c r="EG19" i="8"/>
  <c r="EG18" i="8"/>
  <c r="EG17" i="8"/>
  <c r="EG16" i="8"/>
  <c r="EG15" i="8"/>
  <c r="EG14" i="8"/>
  <c r="EG13" i="8"/>
  <c r="EG12" i="8"/>
  <c r="EG11" i="8"/>
  <c r="EG10" i="8"/>
  <c r="EG7" i="8"/>
  <c r="EG6" i="8"/>
  <c r="EG5" i="8"/>
  <c r="EG23" i="16"/>
  <c r="EG22" i="16"/>
  <c r="EG21" i="16"/>
  <c r="EG20" i="16"/>
  <c r="EG19" i="16"/>
  <c r="EG18" i="16"/>
  <c r="EG17" i="16"/>
  <c r="EG16" i="16"/>
  <c r="EG15" i="16"/>
  <c r="EG14" i="16"/>
  <c r="EG13" i="16"/>
  <c r="EG12" i="16"/>
  <c r="EG11" i="16"/>
  <c r="EG10" i="16"/>
  <c r="EG7" i="16"/>
  <c r="EG6" i="16"/>
  <c r="EG5" i="16"/>
  <c r="EG23" i="10"/>
  <c r="EG22" i="10"/>
  <c r="EG21" i="10"/>
  <c r="EG20" i="10"/>
  <c r="EG19" i="10"/>
  <c r="EG18" i="10"/>
  <c r="EG17" i="10"/>
  <c r="EG16" i="10"/>
  <c r="EG15" i="10"/>
  <c r="EG14" i="10"/>
  <c r="EG13" i="10"/>
  <c r="EG12" i="10"/>
  <c r="EG11" i="10"/>
  <c r="EG10" i="10"/>
  <c r="EG7" i="10"/>
  <c r="EG6" i="10"/>
  <c r="EG5" i="10"/>
  <c r="EG23" i="11"/>
  <c r="EG22" i="11"/>
  <c r="EG21" i="11"/>
  <c r="EG20" i="11"/>
  <c r="EG19" i="11"/>
  <c r="EG18" i="11"/>
  <c r="EG17" i="11"/>
  <c r="EG16" i="11"/>
  <c r="EG15" i="11"/>
  <c r="EG14" i="11"/>
  <c r="EG13" i="11"/>
  <c r="EG12" i="11"/>
  <c r="EG11" i="11"/>
  <c r="EG10" i="11"/>
  <c r="EG7" i="11"/>
  <c r="EG6" i="11"/>
  <c r="EG5" i="11"/>
  <c r="EG23" i="12"/>
  <c r="EG22" i="12"/>
  <c r="EG21" i="12"/>
  <c r="EG20" i="12"/>
  <c r="EG19" i="12"/>
  <c r="EG18" i="12"/>
  <c r="EG17" i="12"/>
  <c r="EG16" i="12"/>
  <c r="EG15" i="12"/>
  <c r="EG14" i="12"/>
  <c r="EG13" i="12"/>
  <c r="EG12" i="12"/>
  <c r="EG11" i="12"/>
  <c r="EG10" i="12"/>
  <c r="EG7" i="12"/>
  <c r="EG6" i="12"/>
  <c r="EG5" i="12"/>
  <c r="EG23" i="13"/>
  <c r="EG22" i="13"/>
  <c r="EG21" i="13"/>
  <c r="EG20" i="13"/>
  <c r="EG19" i="13"/>
  <c r="EG18" i="13"/>
  <c r="EG17" i="13"/>
  <c r="EG16" i="13"/>
  <c r="EG15" i="13"/>
  <c r="EG14" i="13"/>
  <c r="EG13" i="13"/>
  <c r="EG12" i="13"/>
  <c r="EG11" i="13"/>
  <c r="EG10" i="13"/>
  <c r="EG7" i="13"/>
  <c r="EG6" i="13"/>
  <c r="EG5" i="13"/>
  <c r="EG41" i="15"/>
  <c r="EG4" i="6"/>
  <c r="EG4" i="7"/>
  <c r="EG4" i="8"/>
  <c r="EG4" i="16"/>
  <c r="EG4" i="10"/>
  <c r="EG4" i="11"/>
  <c r="EG4" i="12"/>
  <c r="EG4" i="13"/>
  <c r="EF4" i="6"/>
  <c r="EF4" i="7"/>
  <c r="EF4" i="8"/>
  <c r="EF4" i="16"/>
  <c r="EF4" i="10"/>
  <c r="EF4" i="11"/>
  <c r="EF4" i="12"/>
  <c r="EF4" i="13"/>
  <c r="EF23" i="6"/>
  <c r="EF22" i="6"/>
  <c r="EF21" i="6"/>
  <c r="EF20" i="6"/>
  <c r="EF19" i="6"/>
  <c r="EF18" i="6"/>
  <c r="EF17" i="6"/>
  <c r="EF16" i="6"/>
  <c r="EF15" i="6"/>
  <c r="EF14" i="6"/>
  <c r="EF13" i="6"/>
  <c r="EF12" i="6"/>
  <c r="EF11" i="6"/>
  <c r="EF10" i="6"/>
  <c r="EF9" i="6"/>
  <c r="EF8" i="6"/>
  <c r="EF7" i="6"/>
  <c r="EF6" i="6"/>
  <c r="EF5" i="6"/>
  <c r="EF23" i="7"/>
  <c r="EF22" i="7"/>
  <c r="EF21" i="7"/>
  <c r="EF20" i="7"/>
  <c r="EF19" i="7"/>
  <c r="EF18" i="7"/>
  <c r="EF17" i="7"/>
  <c r="EF16" i="7"/>
  <c r="EF15" i="7"/>
  <c r="EF14" i="7"/>
  <c r="EF13" i="7"/>
  <c r="EF12" i="7"/>
  <c r="EF11" i="7"/>
  <c r="EF10" i="7"/>
  <c r="EF9" i="7"/>
  <c r="EF8" i="7"/>
  <c r="EF7" i="7"/>
  <c r="EF6" i="7"/>
  <c r="EF5" i="7"/>
  <c r="EF23" i="8"/>
  <c r="EF22" i="8"/>
  <c r="EF21" i="8"/>
  <c r="EF20" i="8"/>
  <c r="EF19" i="8"/>
  <c r="EF18" i="8"/>
  <c r="EF17" i="8"/>
  <c r="EF16" i="8"/>
  <c r="EF15" i="8"/>
  <c r="EF14" i="8"/>
  <c r="EF13" i="8"/>
  <c r="EF12" i="8"/>
  <c r="EF11" i="8"/>
  <c r="EF10" i="8"/>
  <c r="EF9" i="8"/>
  <c r="EF8" i="8"/>
  <c r="EF7" i="8"/>
  <c r="EF6" i="8"/>
  <c r="EF5" i="8"/>
  <c r="EF23" i="16"/>
  <c r="EF22" i="16"/>
  <c r="EF21" i="16"/>
  <c r="EF20" i="16"/>
  <c r="EF19" i="16"/>
  <c r="EF18" i="16"/>
  <c r="EF17" i="16"/>
  <c r="EF16" i="16"/>
  <c r="EF15" i="16"/>
  <c r="EF14" i="16"/>
  <c r="EF13" i="16"/>
  <c r="EF12" i="16"/>
  <c r="EF11" i="16"/>
  <c r="EF10" i="16"/>
  <c r="EF9" i="16"/>
  <c r="EF8" i="16"/>
  <c r="EF7" i="16"/>
  <c r="EF6" i="16"/>
  <c r="EF5" i="16"/>
  <c r="EF23" i="10"/>
  <c r="EF22" i="10"/>
  <c r="EF21" i="10"/>
  <c r="EF20" i="10"/>
  <c r="EF19" i="10"/>
  <c r="EF18" i="10"/>
  <c r="EF17" i="10"/>
  <c r="EF16" i="10"/>
  <c r="EF15" i="10"/>
  <c r="EF14" i="10"/>
  <c r="EF13" i="10"/>
  <c r="EF12" i="10"/>
  <c r="EF11" i="10"/>
  <c r="EF10" i="10"/>
  <c r="EF9" i="10"/>
  <c r="EF8" i="10"/>
  <c r="EF7" i="10"/>
  <c r="EF6" i="10"/>
  <c r="EF5" i="10"/>
  <c r="EF23" i="11"/>
  <c r="EF22" i="11"/>
  <c r="EF21" i="11"/>
  <c r="EF20" i="11"/>
  <c r="EF19" i="11"/>
  <c r="EF18" i="11"/>
  <c r="EF17" i="11"/>
  <c r="EF16" i="11"/>
  <c r="EF15" i="11"/>
  <c r="EF14" i="11"/>
  <c r="EF13" i="11"/>
  <c r="EF12" i="11"/>
  <c r="EF11" i="11"/>
  <c r="EF10" i="11"/>
  <c r="EF9" i="11"/>
  <c r="EF8" i="11"/>
  <c r="EF7" i="11"/>
  <c r="EF6" i="11"/>
  <c r="EF5" i="11"/>
  <c r="EF23" i="12"/>
  <c r="EF22" i="12"/>
  <c r="EF21" i="12"/>
  <c r="EF20" i="12"/>
  <c r="EF19" i="12"/>
  <c r="EF18" i="12"/>
  <c r="EF17" i="12"/>
  <c r="EF16" i="12"/>
  <c r="EF15" i="12"/>
  <c r="EF14" i="12"/>
  <c r="EF13" i="12"/>
  <c r="EF12" i="12"/>
  <c r="EF11" i="12"/>
  <c r="EF10" i="12"/>
  <c r="EF9" i="12"/>
  <c r="EF8" i="12"/>
  <c r="EF7" i="12"/>
  <c r="EF6" i="12"/>
  <c r="EF5" i="12"/>
  <c r="EF23" i="13"/>
  <c r="EF22" i="13"/>
  <c r="EF21" i="13"/>
  <c r="EF20" i="13"/>
  <c r="EF19" i="13"/>
  <c r="EF18" i="13"/>
  <c r="EF17" i="13"/>
  <c r="EF16" i="13"/>
  <c r="EF15" i="13"/>
  <c r="EF14" i="13"/>
  <c r="EF13" i="13"/>
  <c r="EF12" i="13"/>
  <c r="EF11" i="13"/>
  <c r="EF10" i="13"/>
  <c r="EF9" i="13"/>
  <c r="EF8" i="13"/>
  <c r="EF7" i="13"/>
  <c r="EF6" i="13"/>
  <c r="EF5" i="13"/>
  <c r="EF41" i="15"/>
  <c r="EA47" i="2"/>
  <c r="EA10" i="4"/>
  <c r="EA9" i="4"/>
  <c r="EL9" i="4" s="1"/>
  <c r="EH47" i="2" l="1"/>
  <c r="EI47" i="2"/>
  <c r="EH11" i="3"/>
  <c r="EA21" i="3"/>
  <c r="EH22" i="3"/>
  <c r="EI22" i="3"/>
  <c r="EL10" i="4"/>
  <c r="EG9" i="4"/>
  <c r="EH9" i="4"/>
  <c r="EH10" i="4"/>
  <c r="EH14" i="3"/>
  <c r="EA13" i="3"/>
  <c r="EA23" i="4"/>
  <c r="EL23" i="4" s="1"/>
  <c r="EH10" i="3"/>
  <c r="EA8" i="3"/>
  <c r="EI8" i="3" s="1"/>
  <c r="EH6" i="3"/>
  <c r="EA4" i="3"/>
  <c r="EH5" i="3"/>
  <c r="EH16" i="3"/>
  <c r="EH9" i="3"/>
  <c r="EH13" i="3"/>
  <c r="EA17" i="4" l="1"/>
  <c r="EI13" i="3"/>
  <c r="EI4" i="3"/>
  <c r="EH4" i="3"/>
  <c r="EH21" i="3"/>
  <c r="EI21" i="3"/>
  <c r="EH23" i="4"/>
  <c r="EG23" i="4"/>
  <c r="EA15" i="4"/>
  <c r="EH8" i="3"/>
  <c r="EA13" i="4"/>
  <c r="K679" i="16" l="1"/>
  <c r="DL5" i="2" l="1"/>
  <c r="DL8" i="2"/>
  <c r="EI8" i="4" l="1"/>
  <c r="EI14" i="4" l="1"/>
  <c r="EI13" i="4" l="1"/>
  <c r="EK20" i="4"/>
  <c r="EK10" i="4"/>
  <c r="EK9" i="4"/>
  <c r="EI18" i="4"/>
  <c r="EI16" i="4"/>
  <c r="EJ20" i="4" l="1"/>
  <c r="EJ10" i="4"/>
  <c r="EJ9" i="4"/>
  <c r="DL8" i="4" l="1"/>
  <c r="N651" i="16" l="1"/>
  <c r="K85" i="16"/>
  <c r="G85" i="16"/>
  <c r="EK23" i="4" l="1"/>
  <c r="EJ23" i="4"/>
  <c r="G8" i="1"/>
  <c r="G3" i="1"/>
  <c r="I38" i="14" l="1"/>
  <c r="I33" i="14"/>
  <c r="I37" i="14" l="1"/>
  <c r="I36" i="14"/>
  <c r="I35" i="14"/>
  <c r="I34" i="14"/>
  <c r="I32" i="14"/>
  <c r="I31" i="14"/>
  <c r="I30" i="14"/>
  <c r="I29" i="14"/>
  <c r="I28" i="14"/>
  <c r="I27" i="14"/>
  <c r="I26" i="14"/>
  <c r="I4" i="14"/>
  <c r="I5" i="14"/>
  <c r="I6" i="14"/>
  <c r="I7" i="14"/>
  <c r="I8" i="14"/>
  <c r="I9" i="14"/>
  <c r="I10" i="14"/>
  <c r="I11" i="14"/>
  <c r="I12" i="14"/>
  <c r="I13" i="14"/>
  <c r="I14" i="14"/>
  <c r="I15" i="14"/>
  <c r="I17" i="14"/>
  <c r="I18" i="14"/>
  <c r="I19" i="14"/>
  <c r="I20" i="14"/>
  <c r="I21" i="14"/>
  <c r="I22" i="14"/>
  <c r="I23" i="14"/>
  <c r="I24" i="14"/>
  <c r="I25" i="14"/>
  <c r="C49" i="15"/>
  <c r="D49" i="15"/>
  <c r="E3" i="15"/>
  <c r="E2" i="15"/>
  <c r="E47" i="15" l="1"/>
  <c r="E46" i="15"/>
  <c r="E48" i="15"/>
  <c r="E49" i="15"/>
  <c r="D72" i="13"/>
  <c r="D81" i="13"/>
  <c r="EA38" i="4" s="1"/>
  <c r="EA35" i="4" l="1"/>
  <c r="EL35" i="4" s="1"/>
  <c r="EL38" i="4"/>
  <c r="F37" i="13"/>
  <c r="F38" i="13" s="1"/>
  <c r="F41" i="13" s="1"/>
  <c r="EA20" i="4" l="1"/>
  <c r="F22" i="12"/>
  <c r="G22" i="12"/>
  <c r="E22" i="12"/>
  <c r="EG20" i="4" l="1"/>
  <c r="EL20" i="4"/>
  <c r="EH20" i="4"/>
  <c r="F7" i="16" l="1"/>
  <c r="I7" i="16"/>
  <c r="F8" i="16"/>
  <c r="I8" i="16"/>
  <c r="I85" i="16" s="1"/>
  <c r="F9" i="16"/>
  <c r="I9" i="16"/>
  <c r="F10" i="16"/>
  <c r="I10" i="16"/>
  <c r="F11" i="16"/>
  <c r="I11" i="16"/>
  <c r="F12" i="16"/>
  <c r="I12" i="16"/>
  <c r="F13" i="16"/>
  <c r="I13" i="16"/>
  <c r="F14" i="16"/>
  <c r="I14" i="16"/>
  <c r="F15" i="16"/>
  <c r="I15" i="16"/>
  <c r="F16" i="16"/>
  <c r="I16" i="16"/>
  <c r="F17" i="16"/>
  <c r="I17" i="16"/>
  <c r="F18" i="16"/>
  <c r="I18" i="16"/>
  <c r="F19" i="16"/>
  <c r="I19" i="16"/>
  <c r="F20" i="16"/>
  <c r="I20" i="16"/>
  <c r="F21" i="16"/>
  <c r="I21" i="16"/>
  <c r="F22" i="16"/>
  <c r="I22" i="16"/>
  <c r="F23" i="16"/>
  <c r="I23" i="16"/>
  <c r="F24" i="16"/>
  <c r="I24" i="16"/>
  <c r="F25" i="16"/>
  <c r="I25" i="16"/>
  <c r="F26" i="16"/>
  <c r="I26" i="16"/>
  <c r="F27" i="16"/>
  <c r="I27" i="16"/>
  <c r="F28" i="16"/>
  <c r="I28" i="16"/>
  <c r="F29" i="16"/>
  <c r="I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3" i="16"/>
  <c r="M84" i="16"/>
  <c r="H85" i="16"/>
  <c r="L85" i="16"/>
  <c r="L667" i="16" s="1"/>
  <c r="F86" i="16"/>
  <c r="I86" i="16"/>
  <c r="F87" i="16"/>
  <c r="I87" i="16"/>
  <c r="F88" i="16"/>
  <c r="I88" i="16"/>
  <c r="F89" i="16"/>
  <c r="I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G105" i="16"/>
  <c r="N105" i="16" s="1"/>
  <c r="P105" i="16" s="1"/>
  <c r="H105" i="16"/>
  <c r="K105" i="16"/>
  <c r="L105" i="16"/>
  <c r="M105" i="16"/>
  <c r="F106" i="16"/>
  <c r="I106" i="16"/>
  <c r="F107" i="16"/>
  <c r="I107" i="16"/>
  <c r="F108" i="16"/>
  <c r="I108" i="16"/>
  <c r="F109" i="16"/>
  <c r="I109" i="16"/>
  <c r="F110" i="16"/>
  <c r="I110" i="16"/>
  <c r="F111" i="16"/>
  <c r="I111" i="16"/>
  <c r="F112" i="16"/>
  <c r="I112" i="16"/>
  <c r="F113" i="16"/>
  <c r="I113" i="16"/>
  <c r="F114" i="16"/>
  <c r="I114" i="16"/>
  <c r="F115" i="16"/>
  <c r="I115" i="16"/>
  <c r="F116" i="16"/>
  <c r="I116" i="16"/>
  <c r="F117" i="16"/>
  <c r="I117" i="16"/>
  <c r="F118" i="16"/>
  <c r="I118" i="16"/>
  <c r="F119" i="16"/>
  <c r="I119" i="16"/>
  <c r="F120" i="16"/>
  <c r="I120" i="16"/>
  <c r="F121" i="16"/>
  <c r="I121" i="16"/>
  <c r="F122" i="16"/>
  <c r="I122" i="16"/>
  <c r="F123" i="16"/>
  <c r="I123" i="16"/>
  <c r="F124" i="16"/>
  <c r="I124" i="16"/>
  <c r="F125" i="16"/>
  <c r="I125" i="16"/>
  <c r="M126" i="16"/>
  <c r="M127" i="16"/>
  <c r="M128" i="16"/>
  <c r="M187" i="16" s="1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1" i="16"/>
  <c r="M142" i="16"/>
  <c r="M143" i="16"/>
  <c r="M144" i="16"/>
  <c r="M145" i="16"/>
  <c r="M146" i="16"/>
  <c r="M147" i="16"/>
  <c r="M148" i="16"/>
  <c r="M149" i="16"/>
  <c r="M150" i="16"/>
  <c r="M151" i="16"/>
  <c r="M152" i="16"/>
  <c r="M153" i="16"/>
  <c r="M154" i="16"/>
  <c r="M155" i="16"/>
  <c r="M156" i="16"/>
  <c r="M157" i="16"/>
  <c r="M158" i="16"/>
  <c r="M159" i="16"/>
  <c r="M160" i="16"/>
  <c r="M161" i="16"/>
  <c r="M162" i="16"/>
  <c r="M163" i="16"/>
  <c r="M164" i="16"/>
  <c r="M165" i="16"/>
  <c r="M166" i="16"/>
  <c r="M167" i="16"/>
  <c r="M168" i="16"/>
  <c r="M169" i="16"/>
  <c r="M170" i="16"/>
  <c r="M171" i="16"/>
  <c r="M172" i="16"/>
  <c r="M173" i="16"/>
  <c r="M174" i="16"/>
  <c r="M175" i="16"/>
  <c r="M176" i="16"/>
  <c r="M177" i="16"/>
  <c r="M178" i="16"/>
  <c r="M179" i="16"/>
  <c r="M180" i="16"/>
  <c r="M181" i="16"/>
  <c r="M182" i="16"/>
  <c r="M183" i="16"/>
  <c r="H187" i="16"/>
  <c r="K187" i="16"/>
  <c r="L187" i="16"/>
  <c r="F188" i="16"/>
  <c r="I188" i="16"/>
  <c r="F189" i="16"/>
  <c r="I189" i="16"/>
  <c r="F190" i="16"/>
  <c r="I190" i="16"/>
  <c r="F191" i="16"/>
  <c r="I191" i="16"/>
  <c r="F192" i="16"/>
  <c r="I192" i="16"/>
  <c r="M193" i="16"/>
  <c r="M194" i="16"/>
  <c r="M195" i="16"/>
  <c r="M196" i="16"/>
  <c r="M197" i="16"/>
  <c r="M198" i="16"/>
  <c r="M199" i="16"/>
  <c r="M200" i="16"/>
  <c r="M201" i="16"/>
  <c r="M202" i="16"/>
  <c r="M203" i="16"/>
  <c r="M204" i="16"/>
  <c r="M205" i="16"/>
  <c r="M206" i="16"/>
  <c r="F207" i="16"/>
  <c r="G207" i="16"/>
  <c r="H207" i="16"/>
  <c r="I207" i="16"/>
  <c r="K207" i="16"/>
  <c r="N207" i="16" s="1"/>
  <c r="L207" i="16"/>
  <c r="F208" i="16"/>
  <c r="I208" i="16"/>
  <c r="F209" i="16"/>
  <c r="I209" i="16"/>
  <c r="F210" i="16"/>
  <c r="I210" i="16"/>
  <c r="F211" i="16"/>
  <c r="I211" i="16"/>
  <c r="F212" i="16"/>
  <c r="I212" i="16"/>
  <c r="F213" i="16"/>
  <c r="I213" i="16"/>
  <c r="F214" i="16"/>
  <c r="I214" i="16"/>
  <c r="F215" i="16"/>
  <c r="I215" i="16"/>
  <c r="F216" i="16"/>
  <c r="I216" i="16"/>
  <c r="F217" i="16"/>
  <c r="I217" i="16"/>
  <c r="F218" i="16"/>
  <c r="I218" i="16"/>
  <c r="F219" i="16"/>
  <c r="I219" i="16"/>
  <c r="F220" i="16"/>
  <c r="I220" i="16"/>
  <c r="F221" i="16"/>
  <c r="I221" i="16"/>
  <c r="F222" i="16"/>
  <c r="I222" i="16"/>
  <c r="F223" i="16"/>
  <c r="I223" i="16"/>
  <c r="F224" i="16"/>
  <c r="I224" i="16"/>
  <c r="F225" i="16"/>
  <c r="I225" i="16"/>
  <c r="F226" i="16"/>
  <c r="I226" i="16"/>
  <c r="F227" i="16"/>
  <c r="I227" i="16"/>
  <c r="F228" i="16"/>
  <c r="I228" i="16"/>
  <c r="M229" i="16"/>
  <c r="M230" i="16"/>
  <c r="M231" i="16"/>
  <c r="M232" i="16"/>
  <c r="M233" i="16"/>
  <c r="M234" i="16"/>
  <c r="M235" i="16"/>
  <c r="M236" i="16"/>
  <c r="M237" i="16"/>
  <c r="M238" i="16"/>
  <c r="M239" i="16"/>
  <c r="M240" i="16"/>
  <c r="M241" i="16"/>
  <c r="M242" i="16"/>
  <c r="M243" i="16"/>
  <c r="M244" i="16"/>
  <c r="M245" i="16"/>
  <c r="M246" i="16"/>
  <c r="M247" i="16"/>
  <c r="M248" i="16"/>
  <c r="M249" i="16"/>
  <c r="M250" i="16"/>
  <c r="M251" i="16"/>
  <c r="M252" i="16"/>
  <c r="M253" i="16"/>
  <c r="M254" i="16"/>
  <c r="M255" i="16"/>
  <c r="M256" i="16"/>
  <c r="M257" i="16"/>
  <c r="M258" i="16"/>
  <c r="M259" i="16"/>
  <c r="M260" i="16"/>
  <c r="M261" i="16"/>
  <c r="M262" i="16"/>
  <c r="M263" i="16"/>
  <c r="M264" i="16"/>
  <c r="M265" i="16"/>
  <c r="M266" i="16"/>
  <c r="M267" i="16"/>
  <c r="M268" i="16"/>
  <c r="M269" i="16"/>
  <c r="M270" i="16"/>
  <c r="M271" i="16"/>
  <c r="M272" i="16"/>
  <c r="M273" i="16"/>
  <c r="M274" i="16"/>
  <c r="M275" i="16"/>
  <c r="M276" i="16"/>
  <c r="M277" i="16"/>
  <c r="M278" i="16"/>
  <c r="M279" i="16"/>
  <c r="M280" i="16"/>
  <c r="M281" i="16"/>
  <c r="M282" i="16"/>
  <c r="M283" i="16"/>
  <c r="M284" i="16"/>
  <c r="M285" i="16"/>
  <c r="M286" i="16"/>
  <c r="M287" i="16"/>
  <c r="M288" i="16"/>
  <c r="M289" i="16"/>
  <c r="M290" i="16"/>
  <c r="M291" i="16"/>
  <c r="M292" i="16"/>
  <c r="M293" i="16"/>
  <c r="M294" i="16"/>
  <c r="M295" i="16"/>
  <c r="M296" i="16"/>
  <c r="M297" i="16"/>
  <c r="M298" i="16"/>
  <c r="M299" i="16"/>
  <c r="M300" i="16"/>
  <c r="M301" i="16"/>
  <c r="M302" i="16"/>
  <c r="F304" i="16"/>
  <c r="F305" i="16"/>
  <c r="F306" i="16"/>
  <c r="H306" i="16"/>
  <c r="K306" i="16"/>
  <c r="L306" i="16"/>
  <c r="F307" i="16"/>
  <c r="F333" i="16" s="1"/>
  <c r="I307" i="16"/>
  <c r="F308" i="16"/>
  <c r="I308" i="16"/>
  <c r="F309" i="16"/>
  <c r="I309" i="16"/>
  <c r="F310" i="16"/>
  <c r="I310" i="16"/>
  <c r="M311" i="16"/>
  <c r="M312" i="16"/>
  <c r="M313" i="16"/>
  <c r="M314" i="16"/>
  <c r="M315" i="16"/>
  <c r="M316" i="16"/>
  <c r="M317" i="16"/>
  <c r="M318" i="16"/>
  <c r="M319" i="16"/>
  <c r="M320" i="16"/>
  <c r="M321" i="16"/>
  <c r="M322" i="16"/>
  <c r="M323" i="16"/>
  <c r="M324" i="16"/>
  <c r="M325" i="16"/>
  <c r="M326" i="16"/>
  <c r="M327" i="16"/>
  <c r="M328" i="16"/>
  <c r="M329" i="16"/>
  <c r="M330" i="16"/>
  <c r="M331" i="16"/>
  <c r="M332" i="16"/>
  <c r="G333" i="16"/>
  <c r="N333" i="16" s="1"/>
  <c r="P333" i="16" s="1"/>
  <c r="H333" i="16"/>
  <c r="K333" i="16"/>
  <c r="L333" i="16"/>
  <c r="F334" i="16"/>
  <c r="F418" i="16" s="1"/>
  <c r="I334" i="16"/>
  <c r="F335" i="16"/>
  <c r="I335" i="16"/>
  <c r="F336" i="16"/>
  <c r="I336" i="16"/>
  <c r="F337" i="16"/>
  <c r="I337" i="16"/>
  <c r="F338" i="16"/>
  <c r="I338" i="16"/>
  <c r="F339" i="16"/>
  <c r="I339" i="16"/>
  <c r="F340" i="16"/>
  <c r="I340" i="16"/>
  <c r="M341" i="16"/>
  <c r="M342" i="16"/>
  <c r="M343" i="16"/>
  <c r="M344" i="16"/>
  <c r="M345" i="16"/>
  <c r="M346" i="16"/>
  <c r="M347" i="16"/>
  <c r="M348" i="16"/>
  <c r="M349" i="16"/>
  <c r="M350" i="16"/>
  <c r="M351" i="16"/>
  <c r="M352" i="16"/>
  <c r="M353" i="16"/>
  <c r="M354" i="16"/>
  <c r="M355" i="16"/>
  <c r="M356" i="16"/>
  <c r="M357" i="16"/>
  <c r="M358" i="16"/>
  <c r="M359" i="16"/>
  <c r="M360" i="16"/>
  <c r="M361" i="16"/>
  <c r="M362" i="16"/>
  <c r="M363" i="16"/>
  <c r="M364" i="16"/>
  <c r="M365" i="16"/>
  <c r="M366" i="16"/>
  <c r="M367" i="16"/>
  <c r="M368" i="16"/>
  <c r="M369" i="16"/>
  <c r="M370" i="16"/>
  <c r="M371" i="16"/>
  <c r="M372" i="16"/>
  <c r="M373" i="16"/>
  <c r="M374" i="16"/>
  <c r="M375" i="16"/>
  <c r="M376" i="16"/>
  <c r="M377" i="16"/>
  <c r="M378" i="16"/>
  <c r="M379" i="16"/>
  <c r="M380" i="16"/>
  <c r="M381" i="16"/>
  <c r="M382" i="16"/>
  <c r="M383" i="16"/>
  <c r="M384" i="16"/>
  <c r="M385" i="16"/>
  <c r="M386" i="16"/>
  <c r="M387" i="16"/>
  <c r="M388" i="16"/>
  <c r="M389" i="16"/>
  <c r="M390" i="16"/>
  <c r="M391" i="16"/>
  <c r="M392" i="16"/>
  <c r="M393" i="16"/>
  <c r="M394" i="16"/>
  <c r="M395" i="16"/>
  <c r="M396" i="16"/>
  <c r="M397" i="16"/>
  <c r="M398" i="16"/>
  <c r="M399" i="16"/>
  <c r="M400" i="16"/>
  <c r="M401" i="16"/>
  <c r="M402" i="16"/>
  <c r="M403" i="16"/>
  <c r="M404" i="16"/>
  <c r="M405" i="16"/>
  <c r="M406" i="16"/>
  <c r="M407" i="16"/>
  <c r="M408" i="16"/>
  <c r="M409" i="16"/>
  <c r="M410" i="16"/>
  <c r="M411" i="16"/>
  <c r="M412" i="16"/>
  <c r="M413" i="16"/>
  <c r="M414" i="16"/>
  <c r="F416" i="16"/>
  <c r="F417" i="16"/>
  <c r="H418" i="16"/>
  <c r="K418" i="16"/>
  <c r="L418" i="16"/>
  <c r="F419" i="16"/>
  <c r="I419" i="16"/>
  <c r="F420" i="16"/>
  <c r="I420" i="16"/>
  <c r="I443" i="16" s="1"/>
  <c r="M421" i="16"/>
  <c r="M422" i="16"/>
  <c r="M423" i="16"/>
  <c r="M424" i="16"/>
  <c r="M425" i="16"/>
  <c r="M426" i="16"/>
  <c r="M427" i="16"/>
  <c r="M428" i="16"/>
  <c r="M429" i="16"/>
  <c r="M430" i="16"/>
  <c r="M431" i="16"/>
  <c r="M432" i="16"/>
  <c r="M433" i="16"/>
  <c r="M434" i="16"/>
  <c r="M435" i="16"/>
  <c r="M436" i="16"/>
  <c r="M437" i="16"/>
  <c r="M438" i="16"/>
  <c r="M439" i="16"/>
  <c r="M440" i="16"/>
  <c r="M441" i="16"/>
  <c r="M442" i="16"/>
  <c r="F443" i="16"/>
  <c r="G443" i="16"/>
  <c r="N443" i="16" s="1"/>
  <c r="P443" i="16" s="1"/>
  <c r="H443" i="16"/>
  <c r="K443" i="16"/>
  <c r="L443" i="16"/>
  <c r="F444" i="16"/>
  <c r="F545" i="16" s="1"/>
  <c r="I444" i="16"/>
  <c r="F445" i="16"/>
  <c r="I445" i="16"/>
  <c r="F446" i="16"/>
  <c r="I446" i="16"/>
  <c r="F447" i="16"/>
  <c r="I447" i="16"/>
  <c r="F448" i="16"/>
  <c r="I448" i="16"/>
  <c r="F449" i="16"/>
  <c r="I449" i="16"/>
  <c r="F450" i="16"/>
  <c r="I450" i="16"/>
  <c r="F451" i="16"/>
  <c r="I451" i="16"/>
  <c r="F452" i="16"/>
  <c r="I452" i="16"/>
  <c r="F453" i="16"/>
  <c r="I453" i="16"/>
  <c r="F454" i="16"/>
  <c r="I454" i="16"/>
  <c r="F455" i="16"/>
  <c r="I455" i="16"/>
  <c r="F456" i="16"/>
  <c r="I456" i="16"/>
  <c r="F457" i="16"/>
  <c r="I457" i="16"/>
  <c r="M458" i="16"/>
  <c r="M459" i="16"/>
  <c r="M460" i="16"/>
  <c r="M461" i="16"/>
  <c r="M462" i="16"/>
  <c r="M463" i="16"/>
  <c r="M464" i="16"/>
  <c r="M465" i="16"/>
  <c r="M466" i="16"/>
  <c r="M467" i="16"/>
  <c r="M468" i="16"/>
  <c r="M469" i="16"/>
  <c r="M470" i="16"/>
  <c r="M471" i="16"/>
  <c r="M472" i="16"/>
  <c r="M473" i="16"/>
  <c r="M474" i="16"/>
  <c r="M475" i="16"/>
  <c r="M476" i="16"/>
  <c r="M477" i="16"/>
  <c r="M478" i="16"/>
  <c r="M479" i="16"/>
  <c r="M480" i="16"/>
  <c r="M481" i="16"/>
  <c r="M482" i="16"/>
  <c r="M483" i="16"/>
  <c r="M484" i="16"/>
  <c r="M485" i="16"/>
  <c r="M486" i="16"/>
  <c r="M487" i="16"/>
  <c r="M488" i="16"/>
  <c r="M489" i="16"/>
  <c r="M490" i="16"/>
  <c r="M491" i="16"/>
  <c r="M492" i="16"/>
  <c r="M493" i="16"/>
  <c r="M494" i="16"/>
  <c r="M495" i="16"/>
  <c r="M496" i="16"/>
  <c r="M497" i="16"/>
  <c r="M498" i="16"/>
  <c r="M499" i="16"/>
  <c r="M500" i="16"/>
  <c r="M501" i="16"/>
  <c r="M502" i="16"/>
  <c r="M503" i="16"/>
  <c r="M504" i="16"/>
  <c r="M505" i="16"/>
  <c r="M506" i="16"/>
  <c r="M507" i="16"/>
  <c r="M508" i="16"/>
  <c r="M509" i="16"/>
  <c r="M510" i="16"/>
  <c r="M511" i="16"/>
  <c r="M512" i="16"/>
  <c r="M513" i="16"/>
  <c r="M514" i="16"/>
  <c r="M515" i="16"/>
  <c r="M516" i="16"/>
  <c r="M517" i="16"/>
  <c r="M518" i="16"/>
  <c r="M519" i="16"/>
  <c r="M520" i="16"/>
  <c r="M521" i="16"/>
  <c r="M522" i="16"/>
  <c r="M523" i="16"/>
  <c r="M524" i="16"/>
  <c r="M525" i="16"/>
  <c r="M526" i="16"/>
  <c r="M527" i="16"/>
  <c r="M528" i="16"/>
  <c r="M529" i="16"/>
  <c r="M530" i="16"/>
  <c r="M531" i="16"/>
  <c r="M532" i="16"/>
  <c r="M533" i="16"/>
  <c r="M534" i="16"/>
  <c r="M535" i="16"/>
  <c r="M536" i="16"/>
  <c r="M537" i="16"/>
  <c r="M538" i="16"/>
  <c r="M539" i="16"/>
  <c r="M540" i="16"/>
  <c r="M541" i="16"/>
  <c r="F543" i="16"/>
  <c r="F544" i="16"/>
  <c r="H545" i="16"/>
  <c r="K545" i="16"/>
  <c r="K667" i="16" s="1"/>
  <c r="L545" i="16"/>
  <c r="F546" i="16"/>
  <c r="I546" i="16"/>
  <c r="F547" i="16"/>
  <c r="I547" i="16"/>
  <c r="M548" i="16"/>
  <c r="M549" i="16"/>
  <c r="M550" i="16"/>
  <c r="M551" i="16"/>
  <c r="M552" i="16"/>
  <c r="M553" i="16"/>
  <c r="M554" i="16"/>
  <c r="M555" i="16"/>
  <c r="M556" i="16"/>
  <c r="M557" i="16"/>
  <c r="M558" i="16"/>
  <c r="M559" i="16"/>
  <c r="M560" i="16"/>
  <c r="M561" i="16"/>
  <c r="M562" i="16"/>
  <c r="M563" i="16"/>
  <c r="M564" i="16"/>
  <c r="M565" i="16"/>
  <c r="F566" i="16"/>
  <c r="G566" i="16"/>
  <c r="H566" i="16"/>
  <c r="K566" i="16"/>
  <c r="L566" i="16"/>
  <c r="L670" i="16" s="1"/>
  <c r="F567" i="16"/>
  <c r="I567" i="16"/>
  <c r="F568" i="16"/>
  <c r="I568" i="16"/>
  <c r="I629" i="16" s="1"/>
  <c r="F569" i="16"/>
  <c r="I569" i="16"/>
  <c r="F570" i="16"/>
  <c r="I570" i="16"/>
  <c r="M571" i="16"/>
  <c r="M572" i="16"/>
  <c r="M573" i="16"/>
  <c r="M574" i="16"/>
  <c r="M575" i="16"/>
  <c r="M576" i="16"/>
  <c r="M577" i="16"/>
  <c r="M578" i="16"/>
  <c r="M579" i="16"/>
  <c r="M580" i="16"/>
  <c r="M581" i="16"/>
  <c r="M582" i="16"/>
  <c r="M583" i="16"/>
  <c r="M584" i="16"/>
  <c r="M585" i="16"/>
  <c r="M586" i="16"/>
  <c r="M587" i="16"/>
  <c r="M588" i="16"/>
  <c r="M589" i="16"/>
  <c r="M590" i="16"/>
  <c r="M591" i="16"/>
  <c r="M592" i="16"/>
  <c r="M593" i="16"/>
  <c r="M594" i="16"/>
  <c r="M595" i="16"/>
  <c r="M596" i="16"/>
  <c r="M597" i="16"/>
  <c r="M598" i="16"/>
  <c r="M599" i="16"/>
  <c r="M600" i="16"/>
  <c r="M601" i="16"/>
  <c r="M602" i="16"/>
  <c r="M603" i="16"/>
  <c r="M604" i="16"/>
  <c r="M605" i="16"/>
  <c r="M606" i="16"/>
  <c r="M607" i="16"/>
  <c r="M608" i="16"/>
  <c r="M609" i="16"/>
  <c r="M610" i="16"/>
  <c r="M611" i="16"/>
  <c r="M612" i="16"/>
  <c r="M613" i="16"/>
  <c r="M614" i="16"/>
  <c r="M615" i="16"/>
  <c r="M616" i="16"/>
  <c r="M617" i="16"/>
  <c r="M618" i="16"/>
  <c r="M619" i="16"/>
  <c r="M620" i="16"/>
  <c r="M621" i="16"/>
  <c r="M622" i="16"/>
  <c r="M623" i="16"/>
  <c r="M624" i="16"/>
  <c r="M625" i="16"/>
  <c r="F627" i="16"/>
  <c r="F628" i="16"/>
  <c r="H629" i="16"/>
  <c r="K629" i="16"/>
  <c r="L629" i="16"/>
  <c r="F630" i="16"/>
  <c r="F651" i="16" s="1"/>
  <c r="I630" i="16"/>
  <c r="M631" i="16"/>
  <c r="M632" i="16"/>
  <c r="M633" i="16"/>
  <c r="M634" i="16"/>
  <c r="M635" i="16"/>
  <c r="M636" i="16"/>
  <c r="M637" i="16"/>
  <c r="M638" i="16"/>
  <c r="M639" i="16"/>
  <c r="M640" i="16"/>
  <c r="M641" i="16"/>
  <c r="M642" i="16"/>
  <c r="M643" i="16"/>
  <c r="M644" i="16"/>
  <c r="M645" i="16"/>
  <c r="M646" i="16"/>
  <c r="M647" i="16"/>
  <c r="M648" i="16"/>
  <c r="M649" i="16"/>
  <c r="M650" i="16"/>
  <c r="G651" i="16"/>
  <c r="P651" i="16" s="1"/>
  <c r="H651" i="16"/>
  <c r="I651" i="16"/>
  <c r="K651" i="16"/>
  <c r="L651" i="16"/>
  <c r="H667" i="16"/>
  <c r="G668" i="16"/>
  <c r="H668" i="16"/>
  <c r="K668" i="16"/>
  <c r="L668" i="16"/>
  <c r="G669" i="16"/>
  <c r="H669" i="16"/>
  <c r="K669" i="16"/>
  <c r="L669" i="16"/>
  <c r="H670" i="16"/>
  <c r="H671" i="16"/>
  <c r="K671" i="16"/>
  <c r="L671" i="16"/>
  <c r="G672" i="16"/>
  <c r="H672" i="16"/>
  <c r="K672" i="16"/>
  <c r="L672" i="16"/>
  <c r="G673" i="16"/>
  <c r="H673" i="16"/>
  <c r="K673" i="16"/>
  <c r="L673" i="16"/>
  <c r="G674" i="16"/>
  <c r="H674" i="16"/>
  <c r="K674" i="16"/>
  <c r="L674" i="16"/>
  <c r="G675" i="16"/>
  <c r="H675" i="16"/>
  <c r="K675" i="16"/>
  <c r="K676" i="16" s="1"/>
  <c r="L675" i="16"/>
  <c r="L676" i="16" s="1"/>
  <c r="C684" i="16"/>
  <c r="D684" i="16"/>
  <c r="E684" i="16"/>
  <c r="F684" i="16"/>
  <c r="G684" i="16"/>
  <c r="H684" i="16"/>
  <c r="I684" i="16"/>
  <c r="I683" i="16" s="1"/>
  <c r="J684" i="16"/>
  <c r="K684" i="16"/>
  <c r="L684" i="16"/>
  <c r="M684" i="16"/>
  <c r="N684" i="16"/>
  <c r="O684" i="16"/>
  <c r="C685" i="16"/>
  <c r="D685" i="16"/>
  <c r="E685" i="16"/>
  <c r="F685" i="16"/>
  <c r="G685" i="16"/>
  <c r="H685" i="16"/>
  <c r="I685" i="16"/>
  <c r="J685" i="16"/>
  <c r="K685" i="16"/>
  <c r="L685" i="16"/>
  <c r="M685" i="16"/>
  <c r="N685" i="16"/>
  <c r="O685" i="16"/>
  <c r="C686" i="16"/>
  <c r="D686" i="16"/>
  <c r="E686" i="16"/>
  <c r="F686" i="16"/>
  <c r="G686" i="16"/>
  <c r="H686" i="16"/>
  <c r="I686" i="16"/>
  <c r="J686" i="16"/>
  <c r="K686" i="16"/>
  <c r="L686" i="16"/>
  <c r="M686" i="16"/>
  <c r="N686" i="16"/>
  <c r="O686" i="16"/>
  <c r="C687" i="16"/>
  <c r="D687" i="16"/>
  <c r="E687" i="16"/>
  <c r="F687" i="16"/>
  <c r="G687" i="16"/>
  <c r="H687" i="16"/>
  <c r="I687" i="16"/>
  <c r="J687" i="16"/>
  <c r="K687" i="16"/>
  <c r="L687" i="16"/>
  <c r="M687" i="16"/>
  <c r="N687" i="16"/>
  <c r="O687" i="16"/>
  <c r="C688" i="16"/>
  <c r="D688" i="16"/>
  <c r="E688" i="16"/>
  <c r="F688" i="16"/>
  <c r="G688" i="16"/>
  <c r="H688" i="16"/>
  <c r="I688" i="16"/>
  <c r="J688" i="16"/>
  <c r="K688" i="16"/>
  <c r="L688" i="16"/>
  <c r="M688" i="16"/>
  <c r="N688" i="16"/>
  <c r="O688" i="16"/>
  <c r="C689" i="16"/>
  <c r="D689" i="16"/>
  <c r="E689" i="16"/>
  <c r="F689" i="16"/>
  <c r="G689" i="16"/>
  <c r="H689" i="16"/>
  <c r="I689" i="16"/>
  <c r="J689" i="16"/>
  <c r="K689" i="16"/>
  <c r="L689" i="16"/>
  <c r="M689" i="16"/>
  <c r="N689" i="16"/>
  <c r="O689" i="16"/>
  <c r="C690" i="16"/>
  <c r="D690" i="16"/>
  <c r="E690" i="16"/>
  <c r="F690" i="16"/>
  <c r="G690" i="16"/>
  <c r="H690" i="16"/>
  <c r="I690" i="16"/>
  <c r="J690" i="16"/>
  <c r="K690" i="16"/>
  <c r="L690" i="16"/>
  <c r="M690" i="16"/>
  <c r="N690" i="16"/>
  <c r="O690" i="16"/>
  <c r="C691" i="16"/>
  <c r="D691" i="16"/>
  <c r="E691" i="16"/>
  <c r="F691" i="16"/>
  <c r="G691" i="16"/>
  <c r="H691" i="16"/>
  <c r="I691" i="16"/>
  <c r="J691" i="16"/>
  <c r="K691" i="16"/>
  <c r="L691" i="16"/>
  <c r="M691" i="16"/>
  <c r="N691" i="16"/>
  <c r="O691" i="16"/>
  <c r="C692" i="16"/>
  <c r="D692" i="16"/>
  <c r="E692" i="16"/>
  <c r="F692" i="16"/>
  <c r="G692" i="16"/>
  <c r="H692" i="16"/>
  <c r="I692" i="16"/>
  <c r="J692" i="16"/>
  <c r="K692" i="16"/>
  <c r="L692" i="16"/>
  <c r="M692" i="16"/>
  <c r="N692" i="16"/>
  <c r="O692" i="16"/>
  <c r="C693" i="16"/>
  <c r="D693" i="16"/>
  <c r="E693" i="16"/>
  <c r="F693" i="16"/>
  <c r="G303" i="16" s="1"/>
  <c r="G306" i="16" s="1"/>
  <c r="N306" i="16" s="1"/>
  <c r="G693" i="16"/>
  <c r="G415" i="16" s="1"/>
  <c r="G418" i="16" s="1"/>
  <c r="N418" i="16" s="1"/>
  <c r="H693" i="16"/>
  <c r="I693" i="16"/>
  <c r="G626" i="16" s="1"/>
  <c r="G629" i="16" s="1"/>
  <c r="N629" i="16" s="1"/>
  <c r="J693" i="16"/>
  <c r="K693" i="16"/>
  <c r="L693" i="16"/>
  <c r="N693" i="16"/>
  <c r="O693" i="16"/>
  <c r="G670" i="16" l="1"/>
  <c r="M545" i="16"/>
  <c r="I545" i="16"/>
  <c r="M443" i="16"/>
  <c r="I333" i="16"/>
  <c r="I187" i="16"/>
  <c r="F105" i="16"/>
  <c r="M629" i="16"/>
  <c r="M566" i="16"/>
  <c r="M207" i="16"/>
  <c r="F187" i="16"/>
  <c r="O683" i="16"/>
  <c r="K683" i="16"/>
  <c r="G683" i="16"/>
  <c r="C683" i="16"/>
  <c r="G184" i="16"/>
  <c r="G187" i="16" s="1"/>
  <c r="N187" i="16" s="1"/>
  <c r="M418" i="16"/>
  <c r="I418" i="16"/>
  <c r="M333" i="16"/>
  <c r="I105" i="16"/>
  <c r="L683" i="16"/>
  <c r="H683" i="16"/>
  <c r="D683" i="16"/>
  <c r="O85" i="16" s="1"/>
  <c r="M651" i="16"/>
  <c r="H676" i="16"/>
  <c r="G542" i="16"/>
  <c r="G545" i="16" s="1"/>
  <c r="N545" i="16" s="1"/>
  <c r="G82" i="16"/>
  <c r="N683" i="16"/>
  <c r="J683" i="16"/>
  <c r="F683" i="16"/>
  <c r="M683" i="16"/>
  <c r="O629" i="16"/>
  <c r="P629" i="16" s="1"/>
  <c r="E683" i="16"/>
  <c r="K670" i="16"/>
  <c r="F629" i="16"/>
  <c r="N566" i="16"/>
  <c r="P566" i="16" s="1"/>
  <c r="I566" i="16"/>
  <c r="M306" i="16"/>
  <c r="I306" i="16"/>
  <c r="M85" i="16"/>
  <c r="F85" i="16"/>
  <c r="P207" i="16"/>
  <c r="N658" i="16"/>
  <c r="P658" i="16"/>
  <c r="O418" i="16" l="1"/>
  <c r="P418" i="16" s="1"/>
  <c r="O545" i="16"/>
  <c r="P545" i="16" s="1"/>
  <c r="O306" i="16"/>
  <c r="P306" i="16" s="1"/>
  <c r="G671" i="16"/>
  <c r="G676" i="16" s="1"/>
  <c r="O187" i="16"/>
  <c r="P187" i="16" s="1"/>
  <c r="N85" i="16"/>
  <c r="G667" i="16"/>
  <c r="O655" i="16" l="1"/>
  <c r="N655" i="16"/>
  <c r="P85" i="16"/>
  <c r="P655" i="16" s="1"/>
  <c r="P662" i="16" l="1"/>
  <c r="J15" i="12"/>
  <c r="H21" i="12"/>
  <c r="EA60" i="4"/>
  <c r="H17" i="12"/>
  <c r="J17" i="12" s="1"/>
  <c r="H8" i="12"/>
  <c r="H7" i="12"/>
  <c r="H10" i="12" s="1"/>
  <c r="G10" i="12"/>
  <c r="F15" i="12"/>
  <c r="G15" i="12"/>
  <c r="F10" i="12"/>
  <c r="E15" i="12"/>
  <c r="E10" i="12"/>
  <c r="EA58" i="4" l="1"/>
  <c r="EL58" i="4" s="1"/>
  <c r="EL60" i="4"/>
  <c r="G23" i="12"/>
  <c r="G25" i="12" s="1"/>
  <c r="E23" i="12"/>
  <c r="E25" i="12" s="1"/>
  <c r="F23" i="12"/>
  <c r="F25" i="12" s="1"/>
  <c r="C7" i="6"/>
  <c r="H7" i="6"/>
  <c r="H10" i="6"/>
  <c r="C10" i="6"/>
  <c r="D10" i="6"/>
  <c r="E10" i="6"/>
  <c r="F10" i="6"/>
  <c r="G10" i="6"/>
  <c r="C22" i="7" l="1"/>
  <c r="C149" i="6" l="1"/>
  <c r="C162" i="6"/>
  <c r="C158" i="6"/>
  <c r="C133" i="6"/>
  <c r="C128" i="6"/>
  <c r="C94" i="6"/>
  <c r="C84" i="6"/>
  <c r="C79" i="6" s="1"/>
  <c r="C70" i="6"/>
  <c r="C66" i="6"/>
  <c r="C61" i="6"/>
  <c r="C56" i="6"/>
  <c r="C48" i="6"/>
  <c r="C47" i="6" s="1"/>
  <c r="J156" i="6"/>
  <c r="K156" i="6"/>
  <c r="L156" i="6"/>
  <c r="M156" i="6"/>
  <c r="N156" i="6"/>
  <c r="J155" i="6"/>
  <c r="K155" i="6"/>
  <c r="L155" i="6"/>
  <c r="M155" i="6"/>
  <c r="N155" i="6"/>
  <c r="J154" i="6"/>
  <c r="K154" i="6"/>
  <c r="L154" i="6"/>
  <c r="M154" i="6"/>
  <c r="N154" i="6"/>
  <c r="J123" i="6"/>
  <c r="K123" i="6"/>
  <c r="L123" i="6"/>
  <c r="M123" i="6"/>
  <c r="N123" i="6"/>
  <c r="J97" i="6"/>
  <c r="K97" i="6"/>
  <c r="L97" i="6"/>
  <c r="M97" i="6"/>
  <c r="N97" i="6"/>
  <c r="C55" i="6" l="1"/>
  <c r="F9" i="1" l="1"/>
  <c r="D74" i="13"/>
  <c r="I81" i="13" s="1"/>
  <c r="F66" i="13"/>
  <c r="F69" i="13" s="1"/>
  <c r="F64" i="13"/>
  <c r="F63" i="13"/>
  <c r="F61" i="13"/>
  <c r="F60" i="13"/>
  <c r="F59" i="13"/>
  <c r="F58" i="13"/>
  <c r="F57" i="13"/>
  <c r="F56" i="13"/>
  <c r="F55" i="13"/>
  <c r="F54" i="13"/>
  <c r="F39" i="13"/>
  <c r="E39" i="13"/>
  <c r="D39" i="13"/>
  <c r="J14" i="13"/>
  <c r="I71" i="12"/>
  <c r="D62" i="12"/>
  <c r="D59" i="12"/>
  <c r="D49" i="12"/>
  <c r="D46" i="12"/>
  <c r="D50" i="12" s="1"/>
  <c r="I22" i="12"/>
  <c r="H22" i="12"/>
  <c r="H23" i="12" s="1"/>
  <c r="J20" i="12"/>
  <c r="J22" i="12" s="1"/>
  <c r="I15" i="12"/>
  <c r="H15" i="12"/>
  <c r="I10" i="12"/>
  <c r="J8" i="12"/>
  <c r="J7" i="12"/>
  <c r="H612" i="9"/>
  <c r="O608" i="9"/>
  <c r="N608" i="9"/>
  <c r="L608" i="9"/>
  <c r="K608" i="9"/>
  <c r="J608" i="9"/>
  <c r="I608" i="9"/>
  <c r="H608" i="9"/>
  <c r="G608" i="9"/>
  <c r="F608" i="9"/>
  <c r="E608" i="9"/>
  <c r="D608" i="9"/>
  <c r="C608" i="9"/>
  <c r="O607" i="9"/>
  <c r="N607" i="9"/>
  <c r="M607" i="9"/>
  <c r="L607" i="9"/>
  <c r="K607" i="9"/>
  <c r="J607" i="9"/>
  <c r="I607" i="9"/>
  <c r="H607" i="9"/>
  <c r="G607" i="9"/>
  <c r="F607" i="9"/>
  <c r="E607" i="9"/>
  <c r="D607" i="9"/>
  <c r="C607" i="9"/>
  <c r="O606" i="9"/>
  <c r="N606" i="9"/>
  <c r="M606" i="9"/>
  <c r="L606" i="9"/>
  <c r="K606" i="9"/>
  <c r="J606" i="9"/>
  <c r="I606" i="9"/>
  <c r="H606" i="9"/>
  <c r="G606" i="9"/>
  <c r="F606" i="9"/>
  <c r="E606" i="9"/>
  <c r="D606" i="9"/>
  <c r="C606" i="9"/>
  <c r="O605" i="9"/>
  <c r="N605" i="9"/>
  <c r="M605" i="9"/>
  <c r="L605" i="9"/>
  <c r="K605" i="9"/>
  <c r="J605" i="9"/>
  <c r="I605" i="9"/>
  <c r="H605" i="9"/>
  <c r="G605" i="9"/>
  <c r="F605" i="9"/>
  <c r="E605" i="9"/>
  <c r="D605" i="9"/>
  <c r="C605" i="9"/>
  <c r="O604" i="9"/>
  <c r="N604" i="9"/>
  <c r="M604" i="9"/>
  <c r="L604" i="9"/>
  <c r="K604" i="9"/>
  <c r="J604" i="9"/>
  <c r="I604" i="9"/>
  <c r="H604" i="9"/>
  <c r="G604" i="9"/>
  <c r="F604" i="9"/>
  <c r="E604" i="9"/>
  <c r="D604" i="9"/>
  <c r="C604" i="9"/>
  <c r="O603" i="9"/>
  <c r="N603" i="9"/>
  <c r="M603" i="9"/>
  <c r="L603" i="9"/>
  <c r="K603" i="9"/>
  <c r="J603" i="9"/>
  <c r="I603" i="9"/>
  <c r="H603" i="9"/>
  <c r="G603" i="9"/>
  <c r="F603" i="9"/>
  <c r="E603" i="9"/>
  <c r="D603" i="9"/>
  <c r="C603" i="9"/>
  <c r="O602" i="9"/>
  <c r="N602" i="9"/>
  <c r="M602" i="9"/>
  <c r="L602" i="9"/>
  <c r="K602" i="9"/>
  <c r="J602" i="9"/>
  <c r="I602" i="9"/>
  <c r="H602" i="9"/>
  <c r="G602" i="9"/>
  <c r="F602" i="9"/>
  <c r="E602" i="9"/>
  <c r="D602" i="9"/>
  <c r="C602" i="9"/>
  <c r="O601" i="9"/>
  <c r="N601" i="9"/>
  <c r="M601" i="9"/>
  <c r="L601" i="9"/>
  <c r="K601" i="9"/>
  <c r="J601" i="9"/>
  <c r="I601" i="9"/>
  <c r="H601" i="9"/>
  <c r="G601" i="9"/>
  <c r="F601" i="9"/>
  <c r="E601" i="9"/>
  <c r="D601" i="9"/>
  <c r="C601" i="9"/>
  <c r="O600" i="9"/>
  <c r="N600" i="9"/>
  <c r="M600" i="9"/>
  <c r="L600" i="9"/>
  <c r="K600" i="9"/>
  <c r="J600" i="9"/>
  <c r="I600" i="9"/>
  <c r="H600" i="9"/>
  <c r="G600" i="9"/>
  <c r="F600" i="9"/>
  <c r="E600" i="9"/>
  <c r="D600" i="9"/>
  <c r="C600" i="9"/>
  <c r="O599" i="9"/>
  <c r="N599" i="9"/>
  <c r="M599" i="9"/>
  <c r="L599" i="9"/>
  <c r="K599" i="9"/>
  <c r="J599" i="9"/>
  <c r="I599" i="9"/>
  <c r="H599" i="9"/>
  <c r="G599" i="9"/>
  <c r="F599" i="9"/>
  <c r="E599" i="9"/>
  <c r="D599" i="9"/>
  <c r="C599" i="9"/>
  <c r="O598" i="9"/>
  <c r="N598" i="9"/>
  <c r="M598" i="9"/>
  <c r="L598" i="9"/>
  <c r="K598" i="9"/>
  <c r="J598" i="9"/>
  <c r="I598" i="9"/>
  <c r="H598" i="9"/>
  <c r="G598" i="9"/>
  <c r="F598" i="9"/>
  <c r="E598" i="9"/>
  <c r="D598" i="9"/>
  <c r="C598" i="9"/>
  <c r="L591" i="9"/>
  <c r="K591" i="9"/>
  <c r="H591" i="9"/>
  <c r="G591" i="9"/>
  <c r="L590" i="9"/>
  <c r="K590" i="9"/>
  <c r="H590" i="9"/>
  <c r="G590" i="9"/>
  <c r="L589" i="9"/>
  <c r="K589" i="9"/>
  <c r="H589" i="9"/>
  <c r="G589" i="9"/>
  <c r="L588" i="9"/>
  <c r="K588" i="9"/>
  <c r="H588" i="9"/>
  <c r="G588" i="9"/>
  <c r="L587" i="9"/>
  <c r="K587" i="9"/>
  <c r="H587" i="9"/>
  <c r="G587" i="9"/>
  <c r="L586" i="9"/>
  <c r="K586" i="9"/>
  <c r="H586" i="9"/>
  <c r="G586" i="9"/>
  <c r="L585" i="9"/>
  <c r="K585" i="9"/>
  <c r="H585" i="9"/>
  <c r="G585" i="9"/>
  <c r="L584" i="9"/>
  <c r="K584" i="9"/>
  <c r="H584" i="9"/>
  <c r="G584" i="9"/>
  <c r="L583" i="9"/>
  <c r="K583" i="9"/>
  <c r="H583" i="9"/>
  <c r="G583" i="9"/>
  <c r="L582" i="9"/>
  <c r="K582" i="9"/>
  <c r="H582" i="9"/>
  <c r="G582" i="9"/>
  <c r="P577" i="9"/>
  <c r="P573" i="9"/>
  <c r="N573" i="9"/>
  <c r="P570" i="9"/>
  <c r="O570" i="9"/>
  <c r="N570" i="9"/>
  <c r="P566" i="9"/>
  <c r="N566" i="9"/>
  <c r="M566" i="9"/>
  <c r="L566" i="9"/>
  <c r="K566" i="9"/>
  <c r="I566" i="9"/>
  <c r="H566" i="9"/>
  <c r="G566" i="9"/>
  <c r="F566" i="9"/>
  <c r="M565" i="9"/>
  <c r="M564" i="9"/>
  <c r="M563" i="9"/>
  <c r="M562" i="9"/>
  <c r="M561" i="9"/>
  <c r="M560" i="9"/>
  <c r="M559" i="9"/>
  <c r="M558" i="9"/>
  <c r="M557" i="9"/>
  <c r="M556" i="9"/>
  <c r="M555" i="9"/>
  <c r="M554" i="9"/>
  <c r="M553" i="9"/>
  <c r="M552" i="9"/>
  <c r="M551" i="9"/>
  <c r="M550" i="9"/>
  <c r="M549" i="9"/>
  <c r="M548" i="9"/>
  <c r="I547" i="9"/>
  <c r="F547" i="9"/>
  <c r="I546" i="9"/>
  <c r="F546" i="9"/>
  <c r="P545" i="9"/>
  <c r="O545" i="9"/>
  <c r="N545" i="9"/>
  <c r="M545" i="9"/>
  <c r="L545" i="9"/>
  <c r="K545" i="9"/>
  <c r="I545" i="9"/>
  <c r="H545" i="9"/>
  <c r="G545" i="9"/>
  <c r="F545" i="9"/>
  <c r="F544" i="9"/>
  <c r="F543" i="9"/>
  <c r="G542" i="9"/>
  <c r="M541" i="9"/>
  <c r="M540" i="9"/>
  <c r="M539" i="9"/>
  <c r="M538" i="9"/>
  <c r="M537" i="9"/>
  <c r="M536" i="9"/>
  <c r="M535" i="9"/>
  <c r="M534" i="9"/>
  <c r="M533" i="9"/>
  <c r="M532" i="9"/>
  <c r="M531" i="9"/>
  <c r="M530" i="9"/>
  <c r="M529" i="9"/>
  <c r="M528" i="9"/>
  <c r="M527" i="9"/>
  <c r="M526" i="9"/>
  <c r="M525" i="9"/>
  <c r="M524" i="9"/>
  <c r="M523" i="9"/>
  <c r="M522" i="9"/>
  <c r="M521" i="9"/>
  <c r="M520" i="9"/>
  <c r="M519" i="9"/>
  <c r="M518" i="9"/>
  <c r="M517" i="9"/>
  <c r="M516" i="9"/>
  <c r="M515" i="9"/>
  <c r="M514" i="9"/>
  <c r="M513" i="9"/>
  <c r="M512" i="9"/>
  <c r="M511" i="9"/>
  <c r="M510" i="9"/>
  <c r="M509" i="9"/>
  <c r="M508" i="9"/>
  <c r="M507" i="9"/>
  <c r="M506" i="9"/>
  <c r="M505" i="9"/>
  <c r="M504" i="9"/>
  <c r="M503" i="9"/>
  <c r="M502" i="9"/>
  <c r="M501" i="9"/>
  <c r="M500" i="9"/>
  <c r="M499" i="9"/>
  <c r="M498" i="9"/>
  <c r="M497" i="9"/>
  <c r="M496" i="9"/>
  <c r="M495" i="9"/>
  <c r="M494" i="9"/>
  <c r="M493" i="9"/>
  <c r="M492" i="9"/>
  <c r="M491" i="9"/>
  <c r="M490" i="9"/>
  <c r="M489" i="9"/>
  <c r="M488" i="9"/>
  <c r="M487" i="9"/>
  <c r="M486" i="9"/>
  <c r="M485" i="9"/>
  <c r="M484" i="9"/>
  <c r="M483" i="9"/>
  <c r="M482" i="9"/>
  <c r="M481" i="9"/>
  <c r="M480" i="9"/>
  <c r="M479" i="9"/>
  <c r="M478" i="9"/>
  <c r="M477" i="9"/>
  <c r="M476" i="9"/>
  <c r="M475" i="9"/>
  <c r="M474" i="9"/>
  <c r="M473" i="9"/>
  <c r="M472" i="9"/>
  <c r="M471" i="9"/>
  <c r="M470" i="9"/>
  <c r="M469" i="9"/>
  <c r="M468" i="9"/>
  <c r="M467" i="9"/>
  <c r="M466" i="9"/>
  <c r="M465" i="9"/>
  <c r="M464" i="9"/>
  <c r="M463" i="9"/>
  <c r="M462" i="9"/>
  <c r="M461" i="9"/>
  <c r="M460" i="9"/>
  <c r="M459" i="9"/>
  <c r="M458" i="9"/>
  <c r="I457" i="9"/>
  <c r="F457" i="9"/>
  <c r="I456" i="9"/>
  <c r="F456" i="9"/>
  <c r="I455" i="9"/>
  <c r="F455" i="9"/>
  <c r="I454" i="9"/>
  <c r="F454" i="9"/>
  <c r="I453" i="9"/>
  <c r="F453" i="9"/>
  <c r="I452" i="9"/>
  <c r="F452" i="9"/>
  <c r="I451" i="9"/>
  <c r="F451" i="9"/>
  <c r="I450" i="9"/>
  <c r="F450" i="9"/>
  <c r="I449" i="9"/>
  <c r="F449" i="9"/>
  <c r="I448" i="9"/>
  <c r="F448" i="9"/>
  <c r="I447" i="9"/>
  <c r="F447" i="9"/>
  <c r="I446" i="9"/>
  <c r="F446" i="9"/>
  <c r="I445" i="9"/>
  <c r="F445" i="9"/>
  <c r="I444" i="9"/>
  <c r="F444" i="9"/>
  <c r="P443" i="9"/>
  <c r="N443" i="9"/>
  <c r="M443" i="9"/>
  <c r="L443" i="9"/>
  <c r="K443" i="9"/>
  <c r="I443" i="9"/>
  <c r="H443" i="9"/>
  <c r="G443" i="9"/>
  <c r="F443" i="9"/>
  <c r="M442" i="9"/>
  <c r="M441" i="9"/>
  <c r="M440" i="9"/>
  <c r="M439" i="9"/>
  <c r="M438" i="9"/>
  <c r="M437" i="9"/>
  <c r="M436" i="9"/>
  <c r="M435" i="9"/>
  <c r="M434" i="9"/>
  <c r="M433" i="9"/>
  <c r="M432" i="9"/>
  <c r="M431" i="9"/>
  <c r="M430" i="9"/>
  <c r="M429" i="9"/>
  <c r="M428" i="9"/>
  <c r="M427" i="9"/>
  <c r="M426" i="9"/>
  <c r="M425" i="9"/>
  <c r="M424" i="9"/>
  <c r="M423" i="9"/>
  <c r="M422" i="9"/>
  <c r="M421" i="9"/>
  <c r="I420" i="9"/>
  <c r="F420" i="9"/>
  <c r="I419" i="9"/>
  <c r="F419" i="9"/>
  <c r="P418" i="9"/>
  <c r="O418" i="9"/>
  <c r="N418" i="9"/>
  <c r="M418" i="9"/>
  <c r="L418" i="9"/>
  <c r="K418" i="9"/>
  <c r="I418" i="9"/>
  <c r="H418" i="9"/>
  <c r="G418" i="9"/>
  <c r="F418" i="9"/>
  <c r="F417" i="9"/>
  <c r="F416" i="9"/>
  <c r="G415" i="9"/>
  <c r="M414" i="9"/>
  <c r="M413" i="9"/>
  <c r="M412" i="9"/>
  <c r="M411" i="9"/>
  <c r="M410" i="9"/>
  <c r="M409" i="9"/>
  <c r="M408" i="9"/>
  <c r="M407" i="9"/>
  <c r="M406" i="9"/>
  <c r="M405" i="9"/>
  <c r="M404" i="9"/>
  <c r="M403" i="9"/>
  <c r="M402" i="9"/>
  <c r="M401" i="9"/>
  <c r="M400" i="9"/>
  <c r="M399" i="9"/>
  <c r="M398" i="9"/>
  <c r="M397" i="9"/>
  <c r="M396" i="9"/>
  <c r="M395" i="9"/>
  <c r="M394" i="9"/>
  <c r="M393" i="9"/>
  <c r="M392" i="9"/>
  <c r="M391" i="9"/>
  <c r="M390" i="9"/>
  <c r="M389" i="9"/>
  <c r="M388" i="9"/>
  <c r="M387" i="9"/>
  <c r="M386" i="9"/>
  <c r="M385" i="9"/>
  <c r="M384" i="9"/>
  <c r="M383" i="9"/>
  <c r="M382" i="9"/>
  <c r="M381" i="9"/>
  <c r="M380" i="9"/>
  <c r="M379" i="9"/>
  <c r="M378" i="9"/>
  <c r="M377" i="9"/>
  <c r="M376" i="9"/>
  <c r="M375" i="9"/>
  <c r="M374" i="9"/>
  <c r="M373" i="9"/>
  <c r="M372" i="9"/>
  <c r="M371" i="9"/>
  <c r="M370" i="9"/>
  <c r="M369" i="9"/>
  <c r="M368" i="9"/>
  <c r="M367" i="9"/>
  <c r="M366" i="9"/>
  <c r="M365" i="9"/>
  <c r="M364" i="9"/>
  <c r="M363" i="9"/>
  <c r="M362" i="9"/>
  <c r="M361" i="9"/>
  <c r="M360" i="9"/>
  <c r="M359" i="9"/>
  <c r="M358" i="9"/>
  <c r="M357" i="9"/>
  <c r="M356" i="9"/>
  <c r="M355" i="9"/>
  <c r="M354" i="9"/>
  <c r="M353" i="9"/>
  <c r="M352" i="9"/>
  <c r="M351" i="9"/>
  <c r="M350" i="9"/>
  <c r="M349" i="9"/>
  <c r="M348" i="9"/>
  <c r="M347" i="9"/>
  <c r="M346" i="9"/>
  <c r="M345" i="9"/>
  <c r="M344" i="9"/>
  <c r="M343" i="9"/>
  <c r="M342" i="9"/>
  <c r="M341" i="9"/>
  <c r="I340" i="9"/>
  <c r="F340" i="9"/>
  <c r="I339" i="9"/>
  <c r="F339" i="9"/>
  <c r="I338" i="9"/>
  <c r="F338" i="9"/>
  <c r="I337" i="9"/>
  <c r="F337" i="9"/>
  <c r="I336" i="9"/>
  <c r="F336" i="9"/>
  <c r="I335" i="9"/>
  <c r="F335" i="9"/>
  <c r="I334" i="9"/>
  <c r="F334" i="9"/>
  <c r="P333" i="9"/>
  <c r="N333" i="9"/>
  <c r="M333" i="9"/>
  <c r="L333" i="9"/>
  <c r="K333" i="9"/>
  <c r="I333" i="9"/>
  <c r="H333" i="9"/>
  <c r="G333" i="9"/>
  <c r="F333" i="9"/>
  <c r="M332" i="9"/>
  <c r="M331" i="9"/>
  <c r="M330" i="9"/>
  <c r="M329" i="9"/>
  <c r="M328" i="9"/>
  <c r="M327" i="9"/>
  <c r="M326" i="9"/>
  <c r="M325" i="9"/>
  <c r="M324" i="9"/>
  <c r="M323" i="9"/>
  <c r="M322" i="9"/>
  <c r="M321" i="9"/>
  <c r="M320" i="9"/>
  <c r="M319" i="9"/>
  <c r="M318" i="9"/>
  <c r="M317" i="9"/>
  <c r="M316" i="9"/>
  <c r="M315" i="9"/>
  <c r="M314" i="9"/>
  <c r="M313" i="9"/>
  <c r="M312" i="9"/>
  <c r="M311" i="9"/>
  <c r="I310" i="9"/>
  <c r="F310" i="9"/>
  <c r="I309" i="9"/>
  <c r="F309" i="9"/>
  <c r="I308" i="9"/>
  <c r="F308" i="9"/>
  <c r="I307" i="9"/>
  <c r="F307" i="9"/>
  <c r="P306" i="9"/>
  <c r="O306" i="9"/>
  <c r="N306" i="9"/>
  <c r="M306" i="9"/>
  <c r="L306" i="9"/>
  <c r="K306" i="9"/>
  <c r="I306" i="9"/>
  <c r="H306" i="9"/>
  <c r="G306" i="9"/>
  <c r="F306" i="9"/>
  <c r="F305" i="9"/>
  <c r="F304" i="9"/>
  <c r="G303" i="9"/>
  <c r="M302" i="9"/>
  <c r="M301" i="9"/>
  <c r="M300" i="9"/>
  <c r="M299" i="9"/>
  <c r="M298" i="9"/>
  <c r="M297" i="9"/>
  <c r="M296" i="9"/>
  <c r="M295" i="9"/>
  <c r="M294" i="9"/>
  <c r="M293" i="9"/>
  <c r="M292" i="9"/>
  <c r="M291" i="9"/>
  <c r="M290" i="9"/>
  <c r="M289" i="9"/>
  <c r="M288" i="9"/>
  <c r="M287" i="9"/>
  <c r="M286" i="9"/>
  <c r="M285" i="9"/>
  <c r="M284" i="9"/>
  <c r="M283" i="9"/>
  <c r="M282" i="9"/>
  <c r="M281" i="9"/>
  <c r="M280" i="9"/>
  <c r="M279" i="9"/>
  <c r="M278" i="9"/>
  <c r="M277" i="9"/>
  <c r="M276" i="9"/>
  <c r="M275" i="9"/>
  <c r="M274" i="9"/>
  <c r="M273" i="9"/>
  <c r="M272" i="9"/>
  <c r="M271" i="9"/>
  <c r="M270" i="9"/>
  <c r="M269" i="9"/>
  <c r="M268" i="9"/>
  <c r="M267" i="9"/>
  <c r="M266" i="9"/>
  <c r="M265" i="9"/>
  <c r="M264" i="9"/>
  <c r="M263" i="9"/>
  <c r="M262" i="9"/>
  <c r="M261" i="9"/>
  <c r="M260" i="9"/>
  <c r="M259" i="9"/>
  <c r="M258" i="9"/>
  <c r="M257" i="9"/>
  <c r="M256" i="9"/>
  <c r="M255" i="9"/>
  <c r="M254" i="9"/>
  <c r="M253" i="9"/>
  <c r="M252" i="9"/>
  <c r="M251" i="9"/>
  <c r="M250" i="9"/>
  <c r="M249" i="9"/>
  <c r="M248" i="9"/>
  <c r="M247" i="9"/>
  <c r="M246" i="9"/>
  <c r="M245" i="9"/>
  <c r="M244" i="9"/>
  <c r="M243" i="9"/>
  <c r="M242" i="9"/>
  <c r="M241" i="9"/>
  <c r="M240" i="9"/>
  <c r="M239" i="9"/>
  <c r="M238" i="9"/>
  <c r="M237" i="9"/>
  <c r="M236" i="9"/>
  <c r="M235" i="9"/>
  <c r="M234" i="9"/>
  <c r="M233" i="9"/>
  <c r="M232" i="9"/>
  <c r="M231" i="9"/>
  <c r="M230" i="9"/>
  <c r="M229" i="9"/>
  <c r="I228" i="9"/>
  <c r="F228" i="9"/>
  <c r="I227" i="9"/>
  <c r="F227" i="9"/>
  <c r="I226" i="9"/>
  <c r="F226" i="9"/>
  <c r="I225" i="9"/>
  <c r="F225" i="9"/>
  <c r="I224" i="9"/>
  <c r="F224" i="9"/>
  <c r="I223" i="9"/>
  <c r="F223" i="9"/>
  <c r="I222" i="9"/>
  <c r="F222" i="9"/>
  <c r="I221" i="9"/>
  <c r="F221" i="9"/>
  <c r="I220" i="9"/>
  <c r="F220" i="9"/>
  <c r="I219" i="9"/>
  <c r="F219" i="9"/>
  <c r="I218" i="9"/>
  <c r="F218" i="9"/>
  <c r="I217" i="9"/>
  <c r="F217" i="9"/>
  <c r="I216" i="9"/>
  <c r="F216" i="9"/>
  <c r="I215" i="9"/>
  <c r="F215" i="9"/>
  <c r="I214" i="9"/>
  <c r="F214" i="9"/>
  <c r="I213" i="9"/>
  <c r="F213" i="9"/>
  <c r="I212" i="9"/>
  <c r="F212" i="9"/>
  <c r="I211" i="9"/>
  <c r="F211" i="9"/>
  <c r="I210" i="9"/>
  <c r="F210" i="9"/>
  <c r="I209" i="9"/>
  <c r="F209" i="9"/>
  <c r="I208" i="9"/>
  <c r="F208" i="9"/>
  <c r="P207" i="9"/>
  <c r="N207" i="9"/>
  <c r="M207" i="9"/>
  <c r="L207" i="9"/>
  <c r="K207" i="9"/>
  <c r="I207" i="9"/>
  <c r="H207" i="9"/>
  <c r="G207" i="9"/>
  <c r="F207" i="9"/>
  <c r="M206" i="9"/>
  <c r="M205" i="9"/>
  <c r="M204" i="9"/>
  <c r="M203" i="9"/>
  <c r="M202" i="9"/>
  <c r="M201" i="9"/>
  <c r="M200" i="9"/>
  <c r="M199" i="9"/>
  <c r="M198" i="9"/>
  <c r="M197" i="9"/>
  <c r="M196" i="9"/>
  <c r="M195" i="9"/>
  <c r="M194" i="9"/>
  <c r="M193" i="9"/>
  <c r="I192" i="9"/>
  <c r="F192" i="9"/>
  <c r="I191" i="9"/>
  <c r="F191" i="9"/>
  <c r="I190" i="9"/>
  <c r="F190" i="9"/>
  <c r="I189" i="9"/>
  <c r="F189" i="9"/>
  <c r="I188" i="9"/>
  <c r="F188" i="9"/>
  <c r="P187" i="9"/>
  <c r="O187" i="9"/>
  <c r="N187" i="9"/>
  <c r="M187" i="9"/>
  <c r="L187" i="9"/>
  <c r="K187" i="9"/>
  <c r="I187" i="9"/>
  <c r="H187" i="9"/>
  <c r="G187" i="9"/>
  <c r="F187" i="9"/>
  <c r="G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I125" i="9"/>
  <c r="F125" i="9"/>
  <c r="I124" i="9"/>
  <c r="F124" i="9"/>
  <c r="I123" i="9"/>
  <c r="F123" i="9"/>
  <c r="I122" i="9"/>
  <c r="F122" i="9"/>
  <c r="I121" i="9"/>
  <c r="F121" i="9"/>
  <c r="I120" i="9"/>
  <c r="F120" i="9"/>
  <c r="I119" i="9"/>
  <c r="F119" i="9"/>
  <c r="I118" i="9"/>
  <c r="F118" i="9"/>
  <c r="I117" i="9"/>
  <c r="F117" i="9"/>
  <c r="I116" i="9"/>
  <c r="F116" i="9"/>
  <c r="I115" i="9"/>
  <c r="F115" i="9"/>
  <c r="I114" i="9"/>
  <c r="F114" i="9"/>
  <c r="I113" i="9"/>
  <c r="F113" i="9"/>
  <c r="I112" i="9"/>
  <c r="F112" i="9"/>
  <c r="I111" i="9"/>
  <c r="F111" i="9"/>
  <c r="I110" i="9"/>
  <c r="F110" i="9"/>
  <c r="I109" i="9"/>
  <c r="F109" i="9"/>
  <c r="I108" i="9"/>
  <c r="F108" i="9"/>
  <c r="I107" i="9"/>
  <c r="F107" i="9"/>
  <c r="I106" i="9"/>
  <c r="F106" i="9"/>
  <c r="P105" i="9"/>
  <c r="N105" i="9"/>
  <c r="M105" i="9"/>
  <c r="L105" i="9"/>
  <c r="K105" i="9"/>
  <c r="I105" i="9"/>
  <c r="H105" i="9"/>
  <c r="G105" i="9"/>
  <c r="F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I89" i="9"/>
  <c r="F89" i="9"/>
  <c r="I88" i="9"/>
  <c r="F88" i="9"/>
  <c r="I87" i="9"/>
  <c r="F87" i="9"/>
  <c r="I86" i="9"/>
  <c r="F86" i="9"/>
  <c r="P85" i="9"/>
  <c r="O85" i="9"/>
  <c r="N85" i="9"/>
  <c r="M85" i="9"/>
  <c r="L85" i="9"/>
  <c r="K85" i="9"/>
  <c r="I85" i="9"/>
  <c r="H85" i="9"/>
  <c r="G85" i="9"/>
  <c r="F85" i="9"/>
  <c r="M84" i="9"/>
  <c r="M83" i="9"/>
  <c r="G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I29" i="9"/>
  <c r="F29" i="9"/>
  <c r="I28" i="9"/>
  <c r="F28" i="9"/>
  <c r="I27" i="9"/>
  <c r="F27" i="9"/>
  <c r="I26" i="9"/>
  <c r="F26" i="9"/>
  <c r="I25" i="9"/>
  <c r="F25" i="9"/>
  <c r="I24" i="9"/>
  <c r="F24" i="9"/>
  <c r="I23" i="9"/>
  <c r="F23" i="9"/>
  <c r="I22" i="9"/>
  <c r="F22" i="9"/>
  <c r="I21" i="9"/>
  <c r="F21" i="9"/>
  <c r="I20" i="9"/>
  <c r="F20" i="9"/>
  <c r="I19" i="9"/>
  <c r="F19" i="9"/>
  <c r="I18" i="9"/>
  <c r="F18" i="9"/>
  <c r="I17" i="9"/>
  <c r="F17" i="9"/>
  <c r="I16" i="9"/>
  <c r="F16" i="9"/>
  <c r="I15" i="9"/>
  <c r="F15" i="9"/>
  <c r="I14" i="9"/>
  <c r="F14" i="9"/>
  <c r="I13" i="9"/>
  <c r="F13" i="9"/>
  <c r="I12" i="9"/>
  <c r="F12" i="9"/>
  <c r="I11" i="9"/>
  <c r="F11" i="9"/>
  <c r="I10" i="9"/>
  <c r="F10" i="9"/>
  <c r="I9" i="9"/>
  <c r="F9" i="9"/>
  <c r="I8" i="9"/>
  <c r="F8" i="9"/>
  <c r="I7" i="9"/>
  <c r="F7" i="9"/>
  <c r="C36" i="8"/>
  <c r="F33" i="8"/>
  <c r="EA18" i="3" s="1"/>
  <c r="E33" i="8"/>
  <c r="D33" i="8"/>
  <c r="C33" i="8"/>
  <c r="F24" i="8"/>
  <c r="EA17" i="3" s="1"/>
  <c r="EI17" i="3" s="1"/>
  <c r="E24" i="8"/>
  <c r="D24" i="8"/>
  <c r="C24" i="8"/>
  <c r="F21" i="8"/>
  <c r="E21" i="8"/>
  <c r="D21" i="8"/>
  <c r="C21" i="8"/>
  <c r="F17" i="8"/>
  <c r="EA12" i="3" s="1"/>
  <c r="EI12" i="3" s="1"/>
  <c r="E17" i="8"/>
  <c r="D17" i="8"/>
  <c r="C17" i="8"/>
  <c r="F14" i="8"/>
  <c r="E14" i="8"/>
  <c r="D14" i="8"/>
  <c r="C14" i="8"/>
  <c r="F10" i="8"/>
  <c r="EA7" i="3" s="1"/>
  <c r="E10" i="8"/>
  <c r="D10" i="8"/>
  <c r="C10" i="8"/>
  <c r="F7" i="8"/>
  <c r="F37" i="8" s="1"/>
  <c r="E7" i="8"/>
  <c r="D7" i="8"/>
  <c r="C7" i="8"/>
  <c r="C37" i="8" s="1"/>
  <c r="K123" i="7"/>
  <c r="J123" i="7"/>
  <c r="O28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G26" i="7"/>
  <c r="N25" i="7"/>
  <c r="M25" i="7"/>
  <c r="L25" i="7"/>
  <c r="K25" i="7"/>
  <c r="J25" i="7"/>
  <c r="H25" i="7"/>
  <c r="G25" i="7"/>
  <c r="F25" i="7"/>
  <c r="E25" i="7"/>
  <c r="D25" i="7"/>
  <c r="C25" i="7"/>
  <c r="O24" i="7"/>
  <c r="P22" i="7"/>
  <c r="N22" i="7"/>
  <c r="M22" i="7"/>
  <c r="L22" i="7"/>
  <c r="K22" i="7"/>
  <c r="J22" i="7"/>
  <c r="H22" i="7"/>
  <c r="G22" i="7"/>
  <c r="F22" i="7"/>
  <c r="E22" i="7"/>
  <c r="D22" i="7"/>
  <c r="O21" i="7"/>
  <c r="Q21" i="7" s="1"/>
  <c r="O20" i="7"/>
  <c r="Q20" i="7" s="1"/>
  <c r="Q19" i="7"/>
  <c r="O19" i="7"/>
  <c r="Q18" i="7"/>
  <c r="O18" i="7"/>
  <c r="O17" i="7"/>
  <c r="Q17" i="7" s="1"/>
  <c r="Q16" i="7"/>
  <c r="O16" i="7"/>
  <c r="O15" i="7"/>
  <c r="Q15" i="7" s="1"/>
  <c r="O14" i="7"/>
  <c r="Q14" i="7" s="1"/>
  <c r="P37" i="7" s="1"/>
  <c r="P13" i="7"/>
  <c r="N13" i="7"/>
  <c r="M13" i="7"/>
  <c r="L13" i="7"/>
  <c r="K13" i="7"/>
  <c r="J13" i="7"/>
  <c r="I13" i="7"/>
  <c r="O13" i="7" s="1"/>
  <c r="H13" i="7"/>
  <c r="G13" i="7"/>
  <c r="F13" i="7"/>
  <c r="E13" i="7"/>
  <c r="D13" i="7"/>
  <c r="C13" i="7"/>
  <c r="O12" i="7"/>
  <c r="Q12" i="7" s="1"/>
  <c r="Q11" i="7"/>
  <c r="O11" i="7"/>
  <c r="P10" i="7"/>
  <c r="N10" i="7"/>
  <c r="M10" i="7"/>
  <c r="L10" i="7"/>
  <c r="K10" i="7"/>
  <c r="J10" i="7"/>
  <c r="I10" i="7"/>
  <c r="O10" i="7" s="1"/>
  <c r="H10" i="7"/>
  <c r="G10" i="7"/>
  <c r="F10" i="7"/>
  <c r="E10" i="7"/>
  <c r="D10" i="7"/>
  <c r="C10" i="7"/>
  <c r="O9" i="7"/>
  <c r="Q9" i="7" s="1"/>
  <c r="Q8" i="7"/>
  <c r="O8" i="7"/>
  <c r="O7" i="7"/>
  <c r="Q7" i="7" s="1"/>
  <c r="P6" i="7"/>
  <c r="N6" i="7"/>
  <c r="M6" i="7"/>
  <c r="L6" i="7"/>
  <c r="K6" i="7"/>
  <c r="J6" i="7"/>
  <c r="I6" i="7"/>
  <c r="H6" i="7"/>
  <c r="G6" i="7"/>
  <c r="F6" i="7"/>
  <c r="E6" i="7"/>
  <c r="D6" i="7"/>
  <c r="C6" i="7"/>
  <c r="O195" i="6"/>
  <c r="N191" i="6"/>
  <c r="M191" i="6"/>
  <c r="L191" i="6"/>
  <c r="K191" i="6"/>
  <c r="J191" i="6"/>
  <c r="I191" i="6"/>
  <c r="H191" i="6"/>
  <c r="G191" i="6"/>
  <c r="F191" i="6"/>
  <c r="E191" i="6"/>
  <c r="D191" i="6"/>
  <c r="C191" i="6"/>
  <c r="O190" i="6"/>
  <c r="O189" i="6"/>
  <c r="O188" i="6"/>
  <c r="O180" i="6"/>
  <c r="O179" i="6"/>
  <c r="N178" i="6"/>
  <c r="M178" i="6"/>
  <c r="M169" i="6" s="1"/>
  <c r="L178" i="6"/>
  <c r="K178" i="6"/>
  <c r="J178" i="6"/>
  <c r="I178" i="6"/>
  <c r="H178" i="6"/>
  <c r="G178" i="6"/>
  <c r="F178" i="6"/>
  <c r="E178" i="6"/>
  <c r="D178" i="6"/>
  <c r="C178" i="6"/>
  <c r="O177" i="6"/>
  <c r="O176" i="6"/>
  <c r="O175" i="6"/>
  <c r="O174" i="6"/>
  <c r="O173" i="6"/>
  <c r="O172" i="6"/>
  <c r="O171" i="6"/>
  <c r="N170" i="6"/>
  <c r="M170" i="6"/>
  <c r="L170" i="6"/>
  <c r="K170" i="6"/>
  <c r="J170" i="6"/>
  <c r="I170" i="6"/>
  <c r="H170" i="6"/>
  <c r="G170" i="6"/>
  <c r="F170" i="6"/>
  <c r="E170" i="6"/>
  <c r="D170" i="6"/>
  <c r="C170" i="6"/>
  <c r="N169" i="6"/>
  <c r="L169" i="6"/>
  <c r="K169" i="6"/>
  <c r="J169" i="6"/>
  <c r="O168" i="6"/>
  <c r="O166" i="6"/>
  <c r="O165" i="6"/>
  <c r="O164" i="6"/>
  <c r="O163" i="6"/>
  <c r="N162" i="6"/>
  <c r="M162" i="6"/>
  <c r="L162" i="6"/>
  <c r="K162" i="6"/>
  <c r="J162" i="6"/>
  <c r="I162" i="6"/>
  <c r="H162" i="6"/>
  <c r="G162" i="6"/>
  <c r="F162" i="6"/>
  <c r="E162" i="6"/>
  <c r="D162" i="6"/>
  <c r="O161" i="6"/>
  <c r="O160" i="6"/>
  <c r="O159" i="6"/>
  <c r="N158" i="6"/>
  <c r="M158" i="6"/>
  <c r="L158" i="6"/>
  <c r="K158" i="6"/>
  <c r="J158" i="6"/>
  <c r="I158" i="6"/>
  <c r="H158" i="6"/>
  <c r="G158" i="6"/>
  <c r="F158" i="6"/>
  <c r="E158" i="6"/>
  <c r="D158" i="6"/>
  <c r="O157" i="6"/>
  <c r="O156" i="6"/>
  <c r="O155" i="6"/>
  <c r="O154" i="6"/>
  <c r="O153" i="6"/>
  <c r="O152" i="6"/>
  <c r="O151" i="6"/>
  <c r="O150" i="6"/>
  <c r="N149" i="6"/>
  <c r="M149" i="6"/>
  <c r="L149" i="6"/>
  <c r="K149" i="6"/>
  <c r="J149" i="6"/>
  <c r="I149" i="6"/>
  <c r="H149" i="6"/>
  <c r="G149" i="6"/>
  <c r="F149" i="6"/>
  <c r="E149" i="6"/>
  <c r="D149" i="6"/>
  <c r="O148" i="6"/>
  <c r="O147" i="6"/>
  <c r="O146" i="6"/>
  <c r="O145" i="6"/>
  <c r="N144" i="6"/>
  <c r="N138" i="6" s="1"/>
  <c r="M144" i="6"/>
  <c r="L144" i="6"/>
  <c r="L138" i="6" s="1"/>
  <c r="K144" i="6"/>
  <c r="J144" i="6"/>
  <c r="J138" i="6" s="1"/>
  <c r="I144" i="6"/>
  <c r="H144" i="6"/>
  <c r="H138" i="6" s="1"/>
  <c r="G144" i="6"/>
  <c r="F144" i="6"/>
  <c r="F138" i="6" s="1"/>
  <c r="E144" i="6"/>
  <c r="D144" i="6"/>
  <c r="D138" i="6" s="1"/>
  <c r="C144" i="6"/>
  <c r="C138" i="6" s="1"/>
  <c r="O143" i="6"/>
  <c r="O142" i="6"/>
  <c r="O141" i="6"/>
  <c r="O140" i="6"/>
  <c r="O139" i="6"/>
  <c r="M138" i="6"/>
  <c r="K138" i="6"/>
  <c r="I138" i="6"/>
  <c r="G138" i="6"/>
  <c r="E138" i="6"/>
  <c r="O137" i="6"/>
  <c r="O136" i="6"/>
  <c r="O135" i="6"/>
  <c r="O134" i="6"/>
  <c r="N133" i="6"/>
  <c r="M133" i="6"/>
  <c r="L133" i="6"/>
  <c r="K133" i="6"/>
  <c r="J133" i="6"/>
  <c r="I133" i="6"/>
  <c r="H133" i="6"/>
  <c r="G133" i="6"/>
  <c r="F133" i="6"/>
  <c r="E133" i="6"/>
  <c r="D133" i="6"/>
  <c r="O132" i="6"/>
  <c r="O131" i="6"/>
  <c r="O130" i="6"/>
  <c r="O129" i="6"/>
  <c r="N128" i="6"/>
  <c r="M128" i="6"/>
  <c r="L128" i="6"/>
  <c r="K128" i="6"/>
  <c r="J128" i="6"/>
  <c r="I128" i="6"/>
  <c r="H128" i="6"/>
  <c r="G128" i="6"/>
  <c r="F128" i="6"/>
  <c r="E128" i="6"/>
  <c r="D128" i="6"/>
  <c r="O127" i="6"/>
  <c r="O126" i="6"/>
  <c r="O125" i="6"/>
  <c r="O124" i="6"/>
  <c r="O123" i="6"/>
  <c r="N122" i="6"/>
  <c r="N104" i="6" s="1"/>
  <c r="M122" i="6"/>
  <c r="L122" i="6"/>
  <c r="K122" i="6"/>
  <c r="J122" i="6"/>
  <c r="J104" i="6" s="1"/>
  <c r="I122" i="6"/>
  <c r="H122" i="6"/>
  <c r="G122" i="6"/>
  <c r="F122" i="6"/>
  <c r="F104" i="6" s="1"/>
  <c r="E122" i="6"/>
  <c r="D122" i="6"/>
  <c r="C122" i="6"/>
  <c r="O121" i="6"/>
  <c r="O120" i="6"/>
  <c r="N119" i="6"/>
  <c r="M119" i="6"/>
  <c r="M104" i="6" s="1"/>
  <c r="M103" i="6" s="1"/>
  <c r="L119" i="6"/>
  <c r="L104" i="6" s="1"/>
  <c r="L103" i="6" s="1"/>
  <c r="L93" i="6" s="1"/>
  <c r="L78" i="6" s="1"/>
  <c r="K119" i="6"/>
  <c r="J119" i="6"/>
  <c r="I119" i="6"/>
  <c r="H119" i="6"/>
  <c r="H104" i="6" s="1"/>
  <c r="G119" i="6"/>
  <c r="F119" i="6"/>
  <c r="E119" i="6"/>
  <c r="E104" i="6" s="1"/>
  <c r="D119" i="6"/>
  <c r="D104" i="6" s="1"/>
  <c r="C119" i="6"/>
  <c r="C104" i="6" s="1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K104" i="6"/>
  <c r="K103" i="6" s="1"/>
  <c r="K93" i="6" s="1"/>
  <c r="G104" i="6"/>
  <c r="G103" i="6" s="1"/>
  <c r="O102" i="6"/>
  <c r="O101" i="6"/>
  <c r="O100" i="6"/>
  <c r="O99" i="6"/>
  <c r="O98" i="6"/>
  <c r="O97" i="6"/>
  <c r="O96" i="6"/>
  <c r="O95" i="6"/>
  <c r="N94" i="6"/>
  <c r="M94" i="6"/>
  <c r="L94" i="6"/>
  <c r="K94" i="6"/>
  <c r="J94" i="6"/>
  <c r="I94" i="6"/>
  <c r="H94" i="6"/>
  <c r="G94" i="6"/>
  <c r="F94" i="6"/>
  <c r="E94" i="6"/>
  <c r="D94" i="6"/>
  <c r="O92" i="6"/>
  <c r="O91" i="6"/>
  <c r="O90" i="6"/>
  <c r="O89" i="6"/>
  <c r="O88" i="6"/>
  <c r="O87" i="6"/>
  <c r="O86" i="6"/>
  <c r="O85" i="6"/>
  <c r="N84" i="6"/>
  <c r="N79" i="6" s="1"/>
  <c r="M84" i="6"/>
  <c r="L84" i="6"/>
  <c r="K84" i="6"/>
  <c r="J84" i="6"/>
  <c r="J79" i="6" s="1"/>
  <c r="I84" i="6"/>
  <c r="I79" i="6" s="1"/>
  <c r="H84" i="6"/>
  <c r="H79" i="6" s="1"/>
  <c r="G84" i="6"/>
  <c r="G79" i="6" s="1"/>
  <c r="F84" i="6"/>
  <c r="F79" i="6" s="1"/>
  <c r="E84" i="6"/>
  <c r="E79" i="6" s="1"/>
  <c r="D84" i="6"/>
  <c r="O83" i="6"/>
  <c r="O82" i="6"/>
  <c r="O81" i="6"/>
  <c r="O80" i="6"/>
  <c r="M79" i="6"/>
  <c r="L79" i="6"/>
  <c r="K79" i="6"/>
  <c r="O77" i="6"/>
  <c r="O76" i="6"/>
  <c r="O75" i="6"/>
  <c r="O74" i="6"/>
  <c r="O73" i="6"/>
  <c r="O72" i="6"/>
  <c r="O71" i="6"/>
  <c r="N70" i="6"/>
  <c r="M70" i="6"/>
  <c r="L70" i="6"/>
  <c r="K70" i="6"/>
  <c r="J70" i="6"/>
  <c r="I70" i="6"/>
  <c r="H70" i="6"/>
  <c r="G70" i="6"/>
  <c r="G69" i="6" s="1"/>
  <c r="F70" i="6"/>
  <c r="F69" i="6" s="1"/>
  <c r="E70" i="6"/>
  <c r="E69" i="6" s="1"/>
  <c r="D70" i="6"/>
  <c r="D69" i="6" s="1"/>
  <c r="C69" i="6"/>
  <c r="C54" i="6" s="1"/>
  <c r="N69" i="6"/>
  <c r="M69" i="6"/>
  <c r="L69" i="6"/>
  <c r="K69" i="6"/>
  <c r="J69" i="6"/>
  <c r="I69" i="6"/>
  <c r="H69" i="6"/>
  <c r="O68" i="6"/>
  <c r="O67" i="6"/>
  <c r="N66" i="6"/>
  <c r="M66" i="6"/>
  <c r="L66" i="6"/>
  <c r="K66" i="6"/>
  <c r="J66" i="6"/>
  <c r="I66" i="6"/>
  <c r="H66" i="6"/>
  <c r="G66" i="6"/>
  <c r="F66" i="6"/>
  <c r="E66" i="6"/>
  <c r="D66" i="6"/>
  <c r="O65" i="6"/>
  <c r="O64" i="6"/>
  <c r="O63" i="6"/>
  <c r="EA35" i="2" s="1"/>
  <c r="O62" i="6"/>
  <c r="EA34" i="2" s="1"/>
  <c r="N61" i="6"/>
  <c r="M61" i="6"/>
  <c r="L61" i="6"/>
  <c r="K61" i="6"/>
  <c r="K55" i="6" s="1"/>
  <c r="K54" i="6" s="1"/>
  <c r="J61" i="6"/>
  <c r="I61" i="6"/>
  <c r="H61" i="6"/>
  <c r="G61" i="6"/>
  <c r="F61" i="6"/>
  <c r="E61" i="6"/>
  <c r="D61" i="6"/>
  <c r="O60" i="6"/>
  <c r="O59" i="6"/>
  <c r="O58" i="6"/>
  <c r="O57" i="6"/>
  <c r="N56" i="6"/>
  <c r="N55" i="6" s="1"/>
  <c r="N54" i="6" s="1"/>
  <c r="M56" i="6"/>
  <c r="L56" i="6"/>
  <c r="L55" i="6" s="1"/>
  <c r="K56" i="6"/>
  <c r="J56" i="6"/>
  <c r="J55" i="6" s="1"/>
  <c r="J54" i="6" s="1"/>
  <c r="I56" i="6"/>
  <c r="H56" i="6"/>
  <c r="G56" i="6"/>
  <c r="F56" i="6"/>
  <c r="E56" i="6"/>
  <c r="D56" i="6"/>
  <c r="M55" i="6"/>
  <c r="O53" i="6"/>
  <c r="EA31" i="2" s="1"/>
  <c r="O52" i="6"/>
  <c r="O51" i="6"/>
  <c r="O50" i="6"/>
  <c r="EA30" i="2" s="1"/>
  <c r="O49" i="6"/>
  <c r="EA28" i="2" s="1"/>
  <c r="EH28" i="2" s="1"/>
  <c r="N48" i="6"/>
  <c r="N47" i="6" s="1"/>
  <c r="M48" i="6"/>
  <c r="L48" i="6"/>
  <c r="L47" i="6" s="1"/>
  <c r="K48" i="6"/>
  <c r="J48" i="6"/>
  <c r="J47" i="6" s="1"/>
  <c r="I48" i="6"/>
  <c r="H48" i="6"/>
  <c r="H47" i="6" s="1"/>
  <c r="G48" i="6"/>
  <c r="G47" i="6" s="1"/>
  <c r="F48" i="6"/>
  <c r="E48" i="6"/>
  <c r="E47" i="6" s="1"/>
  <c r="D48" i="6"/>
  <c r="M47" i="6"/>
  <c r="K47" i="6"/>
  <c r="I47" i="6"/>
  <c r="D47" i="6"/>
  <c r="O46" i="6"/>
  <c r="O45" i="6"/>
  <c r="O44" i="6"/>
  <c r="EA26" i="2" s="1"/>
  <c r="O43" i="6"/>
  <c r="O42" i="6"/>
  <c r="EA25" i="2" s="1"/>
  <c r="N41" i="6"/>
  <c r="M41" i="6"/>
  <c r="L41" i="6"/>
  <c r="K41" i="6"/>
  <c r="J41" i="6"/>
  <c r="I41" i="6"/>
  <c r="H41" i="6"/>
  <c r="G41" i="6"/>
  <c r="F41" i="6"/>
  <c r="E41" i="6"/>
  <c r="D41" i="6"/>
  <c r="C41" i="6"/>
  <c r="O40" i="6"/>
  <c r="N39" i="6"/>
  <c r="M39" i="6"/>
  <c r="L39" i="6"/>
  <c r="L37" i="6" s="1"/>
  <c r="K39" i="6"/>
  <c r="J39" i="6"/>
  <c r="I39" i="6"/>
  <c r="H39" i="6"/>
  <c r="H37" i="6" s="1"/>
  <c r="G39" i="6"/>
  <c r="F39" i="6"/>
  <c r="E39" i="6"/>
  <c r="D39" i="6"/>
  <c r="D37" i="6" s="1"/>
  <c r="C39" i="6"/>
  <c r="N38" i="6"/>
  <c r="M38" i="6"/>
  <c r="M37" i="6" s="1"/>
  <c r="L38" i="6"/>
  <c r="K38" i="6"/>
  <c r="K37" i="6" s="1"/>
  <c r="J38" i="6"/>
  <c r="I38" i="6"/>
  <c r="I37" i="6" s="1"/>
  <c r="H38" i="6"/>
  <c r="G38" i="6"/>
  <c r="G37" i="6" s="1"/>
  <c r="F38" i="6"/>
  <c r="E38" i="6"/>
  <c r="E37" i="6" s="1"/>
  <c r="D38" i="6"/>
  <c r="C38" i="6"/>
  <c r="N37" i="6"/>
  <c r="J37" i="6"/>
  <c r="F37" i="6"/>
  <c r="O36" i="6"/>
  <c r="N35" i="6"/>
  <c r="M35" i="6"/>
  <c r="L35" i="6"/>
  <c r="L33" i="6" s="1"/>
  <c r="K35" i="6"/>
  <c r="J35" i="6"/>
  <c r="I35" i="6"/>
  <c r="H35" i="6"/>
  <c r="H33" i="6" s="1"/>
  <c r="G35" i="6"/>
  <c r="F35" i="6"/>
  <c r="E35" i="6"/>
  <c r="D35" i="6"/>
  <c r="D33" i="6" s="1"/>
  <c r="C35" i="6"/>
  <c r="O35" i="6" s="1"/>
  <c r="EA20" i="2" s="1"/>
  <c r="O34" i="6"/>
  <c r="N33" i="6"/>
  <c r="M33" i="6"/>
  <c r="K33" i="6"/>
  <c r="J33" i="6"/>
  <c r="I33" i="6"/>
  <c r="G33" i="6"/>
  <c r="F33" i="6"/>
  <c r="E33" i="6"/>
  <c r="C33" i="6"/>
  <c r="O33" i="6" s="1"/>
  <c r="O32" i="6"/>
  <c r="O31" i="6"/>
  <c r="EA18" i="2" s="1"/>
  <c r="O30" i="6"/>
  <c r="N29" i="6"/>
  <c r="M29" i="6"/>
  <c r="L29" i="6"/>
  <c r="K29" i="6"/>
  <c r="J29" i="6"/>
  <c r="I29" i="6"/>
  <c r="H29" i="6"/>
  <c r="G29" i="6"/>
  <c r="F29" i="6"/>
  <c r="E29" i="6"/>
  <c r="D29" i="6"/>
  <c r="C29" i="6"/>
  <c r="O28" i="6"/>
  <c r="N27" i="6"/>
  <c r="M27" i="6"/>
  <c r="M26" i="6" s="1"/>
  <c r="M19" i="6" s="1"/>
  <c r="L27" i="6"/>
  <c r="K27" i="6"/>
  <c r="K26" i="6" s="1"/>
  <c r="J27" i="6"/>
  <c r="I27" i="6"/>
  <c r="I26" i="6" s="1"/>
  <c r="H27" i="6"/>
  <c r="G27" i="6"/>
  <c r="G26" i="6" s="1"/>
  <c r="F27" i="6"/>
  <c r="E27" i="6"/>
  <c r="E26" i="6" s="1"/>
  <c r="D27" i="6"/>
  <c r="C27" i="6"/>
  <c r="C26" i="6" s="1"/>
  <c r="O26" i="6" s="1"/>
  <c r="N26" i="6"/>
  <c r="N19" i="6" s="1"/>
  <c r="L26" i="6"/>
  <c r="L19" i="6" s="1"/>
  <c r="J26" i="6"/>
  <c r="J19" i="6" s="1"/>
  <c r="H26" i="6"/>
  <c r="F26" i="6"/>
  <c r="D26" i="6"/>
  <c r="O25" i="6"/>
  <c r="N24" i="6"/>
  <c r="M24" i="6"/>
  <c r="L24" i="6"/>
  <c r="K24" i="6"/>
  <c r="J24" i="6"/>
  <c r="I24" i="6"/>
  <c r="H24" i="6"/>
  <c r="G24" i="6"/>
  <c r="F24" i="6"/>
  <c r="E24" i="6"/>
  <c r="D24" i="6"/>
  <c r="C24" i="6"/>
  <c r="O23" i="6"/>
  <c r="EA13" i="2" s="1"/>
  <c r="N22" i="6"/>
  <c r="M22" i="6"/>
  <c r="L22" i="6"/>
  <c r="K22" i="6"/>
  <c r="J22" i="6"/>
  <c r="I22" i="6"/>
  <c r="H22" i="6"/>
  <c r="G22" i="6"/>
  <c r="F22" i="6"/>
  <c r="E22" i="6"/>
  <c r="D22" i="6"/>
  <c r="C22" i="6"/>
  <c r="O22" i="6" s="1"/>
  <c r="EA12" i="2" s="1"/>
  <c r="N21" i="6"/>
  <c r="M21" i="6"/>
  <c r="L21" i="6"/>
  <c r="K21" i="6"/>
  <c r="J21" i="6"/>
  <c r="I21" i="6"/>
  <c r="H21" i="6"/>
  <c r="H20" i="6" s="1"/>
  <c r="G21" i="6"/>
  <c r="G20" i="6" s="1"/>
  <c r="F21" i="6"/>
  <c r="F20" i="6" s="1"/>
  <c r="F19" i="6" s="1"/>
  <c r="E21" i="6"/>
  <c r="E20" i="6" s="1"/>
  <c r="D21" i="6"/>
  <c r="D20" i="6" s="1"/>
  <c r="C21" i="6"/>
  <c r="N20" i="6"/>
  <c r="M20" i="6"/>
  <c r="L20" i="6"/>
  <c r="K20" i="6"/>
  <c r="K19" i="6" s="1"/>
  <c r="J20" i="6"/>
  <c r="I20" i="6"/>
  <c r="O18" i="6"/>
  <c r="O17" i="6"/>
  <c r="N16" i="6"/>
  <c r="N12" i="6" s="1"/>
  <c r="N5" i="6" s="1"/>
  <c r="M16" i="6"/>
  <c r="M12" i="6" s="1"/>
  <c r="L16" i="6"/>
  <c r="L12" i="6" s="1"/>
  <c r="L5" i="6" s="1"/>
  <c r="K16" i="6"/>
  <c r="J16" i="6"/>
  <c r="J12" i="6" s="1"/>
  <c r="J5" i="6" s="1"/>
  <c r="I16" i="6"/>
  <c r="I12" i="6" s="1"/>
  <c r="H16" i="6"/>
  <c r="G16" i="6"/>
  <c r="G12" i="6" s="1"/>
  <c r="F16" i="6"/>
  <c r="F12" i="6" s="1"/>
  <c r="E16" i="6"/>
  <c r="E12" i="6" s="1"/>
  <c r="D16" i="6"/>
  <c r="D12" i="6" s="1"/>
  <c r="C16" i="6"/>
  <c r="O15" i="6"/>
  <c r="O14" i="6"/>
  <c r="O13" i="6"/>
  <c r="K12" i="6"/>
  <c r="O11" i="6"/>
  <c r="Q11" i="6" s="1"/>
  <c r="N10" i="6"/>
  <c r="M10" i="6"/>
  <c r="L10" i="6"/>
  <c r="K10" i="6"/>
  <c r="J10" i="6"/>
  <c r="I10" i="6"/>
  <c r="O9" i="6"/>
  <c r="EA7" i="2" s="1"/>
  <c r="O8" i="6"/>
  <c r="EA6" i="2" s="1"/>
  <c r="N7" i="6"/>
  <c r="M7" i="6"/>
  <c r="L7" i="6"/>
  <c r="K7" i="6"/>
  <c r="J7" i="6"/>
  <c r="I7" i="6"/>
  <c r="G7" i="6"/>
  <c r="F7" i="6"/>
  <c r="E7" i="6"/>
  <c r="D7" i="6"/>
  <c r="EE60" i="4"/>
  <c r="ED60" i="4"/>
  <c r="EC60" i="4"/>
  <c r="EB60" i="4"/>
  <c r="DS60" i="4"/>
  <c r="EE59" i="4"/>
  <c r="ED59" i="4"/>
  <c r="EC59" i="4"/>
  <c r="EB59" i="4"/>
  <c r="DS59" i="4"/>
  <c r="XDC56" i="4"/>
  <c r="EE54" i="4"/>
  <c r="ED54" i="4"/>
  <c r="EC54" i="4"/>
  <c r="EB54" i="4"/>
  <c r="DS50" i="4"/>
  <c r="DS48" i="4"/>
  <c r="DS47" i="4"/>
  <c r="DS46" i="4" s="1"/>
  <c r="DF46" i="4"/>
  <c r="DS42" i="4"/>
  <c r="DS38" i="4"/>
  <c r="DS37" i="4"/>
  <c r="EE36" i="4"/>
  <c r="ED36" i="4"/>
  <c r="EC36" i="4"/>
  <c r="EB36" i="4"/>
  <c r="DS36" i="4"/>
  <c r="AM33" i="4"/>
  <c r="AL33" i="4"/>
  <c r="AM31" i="4"/>
  <c r="AL31" i="4"/>
  <c r="DV30" i="4"/>
  <c r="DV31" i="4" s="1"/>
  <c r="DU30" i="4"/>
  <c r="DU31" i="4" s="1"/>
  <c r="DV28" i="4"/>
  <c r="DV29" i="4" s="1"/>
  <c r="DU28" i="4"/>
  <c r="DU29" i="4" s="1"/>
  <c r="DV27" i="4"/>
  <c r="DU27" i="4"/>
  <c r="DV26" i="4"/>
  <c r="DU26" i="4"/>
  <c r="DS24" i="4"/>
  <c r="EI22" i="4"/>
  <c r="EE22" i="4"/>
  <c r="ED22" i="4"/>
  <c r="EC22" i="4"/>
  <c r="EB22" i="4"/>
  <c r="AM22" i="4"/>
  <c r="AL22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DQ18" i="4"/>
  <c r="DP18" i="4"/>
  <c r="DO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B18" i="4"/>
  <c r="DA18" i="4"/>
  <c r="CZ18" i="4"/>
  <c r="CY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DQ17" i="4"/>
  <c r="DP17" i="4"/>
  <c r="D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DB17" i="4"/>
  <c r="DA17" i="4"/>
  <c r="CZ17" i="4"/>
  <c r="CY17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EE15" i="4"/>
  <c r="ED15" i="4"/>
  <c r="EC15" i="4"/>
  <c r="EB15" i="4"/>
  <c r="DQ15" i="4"/>
  <c r="DP15" i="4"/>
  <c r="DO15" i="4"/>
  <c r="DN15" i="4"/>
  <c r="DM15" i="4"/>
  <c r="DL15" i="4"/>
  <c r="DK15" i="4"/>
  <c r="DJ15" i="4"/>
  <c r="DI15" i="4"/>
  <c r="DH15" i="4"/>
  <c r="DG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DQ14" i="4"/>
  <c r="DP14" i="4"/>
  <c r="DO14" i="4"/>
  <c r="DN14" i="4"/>
  <c r="DM14" i="4"/>
  <c r="DL14" i="4"/>
  <c r="DK14" i="4"/>
  <c r="DJ14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DS11" i="4"/>
  <c r="AM11" i="4"/>
  <c r="AL11" i="4"/>
  <c r="EE8" i="4"/>
  <c r="EE5" i="4" s="1"/>
  <c r="ED8" i="4"/>
  <c r="ED5" i="4" s="1"/>
  <c r="EC8" i="4"/>
  <c r="EC5" i="4" s="1"/>
  <c r="EB8" i="4"/>
  <c r="EB5" i="4" s="1"/>
  <c r="DS8" i="4"/>
  <c r="AM8" i="4"/>
  <c r="AL8" i="4"/>
  <c r="EE7" i="4"/>
  <c r="ED7" i="4"/>
  <c r="EC7" i="4"/>
  <c r="EB7" i="4"/>
  <c r="DS7" i="4"/>
  <c r="AM7" i="4"/>
  <c r="AL7" i="4"/>
  <c r="AM6" i="4"/>
  <c r="AL6" i="4"/>
  <c r="EF22" i="3"/>
  <c r="EF21" i="3" s="1"/>
  <c r="EE22" i="3"/>
  <c r="EE21" i="3" s="1"/>
  <c r="ED22" i="3"/>
  <c r="ED21" i="3" s="1"/>
  <c r="EC22" i="3"/>
  <c r="EC21" i="3" s="1"/>
  <c r="EB22" i="3"/>
  <c r="EB21" i="3" s="1"/>
  <c r="DS22" i="3"/>
  <c r="DS21" i="3"/>
  <c r="DR20" i="3"/>
  <c r="DQ20" i="3"/>
  <c r="DQ23" i="3" s="1"/>
  <c r="DP20" i="3"/>
  <c r="DP23" i="3" s="1"/>
  <c r="DO20" i="3"/>
  <c r="DO23" i="3" s="1"/>
  <c r="DN20" i="3"/>
  <c r="DN23" i="3" s="1"/>
  <c r="DM20" i="3"/>
  <c r="DM23" i="3" s="1"/>
  <c r="DL20" i="3"/>
  <c r="DL23" i="3" s="1"/>
  <c r="DK20" i="3"/>
  <c r="DK23" i="3" s="1"/>
  <c r="DJ20" i="3"/>
  <c r="DJ23" i="3" s="1"/>
  <c r="DI20" i="3"/>
  <c r="DI23" i="3" s="1"/>
  <c r="DH20" i="3"/>
  <c r="DH23" i="3" s="1"/>
  <c r="DG20" i="3"/>
  <c r="DG23" i="3" s="1"/>
  <c r="DD20" i="3"/>
  <c r="DC20" i="3"/>
  <c r="DB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DS18" i="3"/>
  <c r="DS19" i="4" s="1"/>
  <c r="DS17" i="3"/>
  <c r="DS18" i="4" s="1"/>
  <c r="DS16" i="3"/>
  <c r="DS15" i="3"/>
  <c r="EF14" i="3"/>
  <c r="EE14" i="3"/>
  <c r="ED14" i="3"/>
  <c r="EC14" i="3"/>
  <c r="EB14" i="3"/>
  <c r="DS14" i="3"/>
  <c r="DS13" i="3"/>
  <c r="DS12" i="3"/>
  <c r="DS16" i="4" s="1"/>
  <c r="DS11" i="3"/>
  <c r="DS10" i="3"/>
  <c r="EF9" i="3"/>
  <c r="EE9" i="3"/>
  <c r="ED9" i="3"/>
  <c r="EC9" i="3"/>
  <c r="EB9" i="3"/>
  <c r="DS9" i="3"/>
  <c r="DS7" i="3"/>
  <c r="DS14" i="4" s="1"/>
  <c r="DS6" i="3"/>
  <c r="DS5" i="3"/>
  <c r="DS4" i="3"/>
  <c r="BX54" i="2"/>
  <c r="V52" i="2"/>
  <c r="EF47" i="2"/>
  <c r="EE47" i="2"/>
  <c r="ED47" i="2"/>
  <c r="EC47" i="2"/>
  <c r="EB47" i="2"/>
  <c r="DX47" i="2"/>
  <c r="DW47" i="2"/>
  <c r="DV47" i="2"/>
  <c r="DU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DX46" i="2"/>
  <c r="DX49" i="2" s="1"/>
  <c r="DW46" i="2"/>
  <c r="DW49" i="2" s="1"/>
  <c r="DV46" i="2"/>
  <c r="DV49" i="2" s="1"/>
  <c r="DU46" i="2"/>
  <c r="DU49" i="2" s="1"/>
  <c r="DQ46" i="2"/>
  <c r="DQ49" i="2" s="1"/>
  <c r="DP46" i="2"/>
  <c r="DP49" i="2" s="1"/>
  <c r="DO46" i="2"/>
  <c r="DO49" i="2" s="1"/>
  <c r="DN46" i="2"/>
  <c r="DN49" i="2" s="1"/>
  <c r="DM46" i="2"/>
  <c r="DM49" i="2" s="1"/>
  <c r="DL46" i="2"/>
  <c r="DL49" i="2" s="1"/>
  <c r="DK46" i="2"/>
  <c r="DK49" i="2" s="1"/>
  <c r="DJ46" i="2"/>
  <c r="DJ49" i="2" s="1"/>
  <c r="DI46" i="2"/>
  <c r="DI49" i="2" s="1"/>
  <c r="DH46" i="2"/>
  <c r="DH49" i="2" s="1"/>
  <c r="DG46" i="2"/>
  <c r="DG49" i="2" s="1"/>
  <c r="DF46" i="2"/>
  <c r="DF49" i="2" s="1"/>
  <c r="DE46" i="2"/>
  <c r="DE49" i="2" s="1"/>
  <c r="DD46" i="2"/>
  <c r="DD49" i="2" s="1"/>
  <c r="DC46" i="2"/>
  <c r="DC49" i="2" s="1"/>
  <c r="DB46" i="2"/>
  <c r="DB49" i="2" s="1"/>
  <c r="DA46" i="2"/>
  <c r="DA49" i="2" s="1"/>
  <c r="CZ46" i="2"/>
  <c r="CZ49" i="2" s="1"/>
  <c r="CY46" i="2"/>
  <c r="CY49" i="2" s="1"/>
  <c r="CX46" i="2"/>
  <c r="CX49" i="2" s="1"/>
  <c r="CW46" i="2"/>
  <c r="CW49" i="2" s="1"/>
  <c r="CV46" i="2"/>
  <c r="CV49" i="2" s="1"/>
  <c r="CU46" i="2"/>
  <c r="CU49" i="2" s="1"/>
  <c r="CT46" i="2"/>
  <c r="CT49" i="2" s="1"/>
  <c r="CS46" i="2"/>
  <c r="CS49" i="2" s="1"/>
  <c r="CR46" i="2"/>
  <c r="CR49" i="2" s="1"/>
  <c r="CQ46" i="2"/>
  <c r="CQ49" i="2" s="1"/>
  <c r="CP46" i="2"/>
  <c r="CP49" i="2" s="1"/>
  <c r="CO46" i="2"/>
  <c r="CO49" i="2" s="1"/>
  <c r="CN46" i="2"/>
  <c r="CN49" i="2" s="1"/>
  <c r="CM46" i="2"/>
  <c r="CM49" i="2" s="1"/>
  <c r="CL46" i="2"/>
  <c r="CL49" i="2" s="1"/>
  <c r="CK46" i="2"/>
  <c r="CK49" i="2" s="1"/>
  <c r="CJ46" i="2"/>
  <c r="CJ49" i="2" s="1"/>
  <c r="CI46" i="2"/>
  <c r="CI49" i="2" s="1"/>
  <c r="CH46" i="2"/>
  <c r="CH49" i="2" s="1"/>
  <c r="CG46" i="2"/>
  <c r="CG49" i="2" s="1"/>
  <c r="CF46" i="2"/>
  <c r="CF49" i="2" s="1"/>
  <c r="CE46" i="2"/>
  <c r="CE49" i="2" s="1"/>
  <c r="CD46" i="2"/>
  <c r="CD49" i="2" s="1"/>
  <c r="CC46" i="2"/>
  <c r="CC49" i="2" s="1"/>
  <c r="CB46" i="2"/>
  <c r="CB49" i="2" s="1"/>
  <c r="CA46" i="2"/>
  <c r="CA49" i="2" s="1"/>
  <c r="BZ46" i="2"/>
  <c r="BZ49" i="2" s="1"/>
  <c r="BY46" i="2"/>
  <c r="BY49" i="2" s="1"/>
  <c r="BX46" i="2"/>
  <c r="BX49" i="2" s="1"/>
  <c r="BW46" i="2"/>
  <c r="BW49" i="2" s="1"/>
  <c r="BV46" i="2"/>
  <c r="BV49" i="2" s="1"/>
  <c r="BU46" i="2"/>
  <c r="BU49" i="2" s="1"/>
  <c r="BT46" i="2"/>
  <c r="BT49" i="2" s="1"/>
  <c r="BS46" i="2"/>
  <c r="BS49" i="2" s="1"/>
  <c r="BR46" i="2"/>
  <c r="BR49" i="2" s="1"/>
  <c r="BQ46" i="2"/>
  <c r="BQ49" i="2" s="1"/>
  <c r="BP46" i="2"/>
  <c r="BP49" i="2" s="1"/>
  <c r="BO46" i="2"/>
  <c r="BO49" i="2" s="1"/>
  <c r="BN46" i="2"/>
  <c r="BN49" i="2" s="1"/>
  <c r="BM46" i="2"/>
  <c r="BM49" i="2" s="1"/>
  <c r="BL46" i="2"/>
  <c r="BL49" i="2" s="1"/>
  <c r="BK46" i="2"/>
  <c r="BK49" i="2" s="1"/>
  <c r="BJ46" i="2"/>
  <c r="BJ49" i="2" s="1"/>
  <c r="BI46" i="2"/>
  <c r="BI49" i="2" s="1"/>
  <c r="BH46" i="2"/>
  <c r="BH49" i="2" s="1"/>
  <c r="BG46" i="2"/>
  <c r="BG49" i="2" s="1"/>
  <c r="BF46" i="2"/>
  <c r="BF49" i="2" s="1"/>
  <c r="BE46" i="2"/>
  <c r="BE49" i="2" s="1"/>
  <c r="BD46" i="2"/>
  <c r="BD49" i="2" s="1"/>
  <c r="BC46" i="2"/>
  <c r="BC49" i="2" s="1"/>
  <c r="BB46" i="2"/>
  <c r="BB49" i="2" s="1"/>
  <c r="BA46" i="2"/>
  <c r="BA49" i="2" s="1"/>
  <c r="AZ46" i="2"/>
  <c r="AZ49" i="2" s="1"/>
  <c r="AY46" i="2"/>
  <c r="AY49" i="2" s="1"/>
  <c r="AX46" i="2"/>
  <c r="AX49" i="2" s="1"/>
  <c r="AW46" i="2"/>
  <c r="AW49" i="2" s="1"/>
  <c r="AV46" i="2"/>
  <c r="AV49" i="2" s="1"/>
  <c r="AU46" i="2"/>
  <c r="AU49" i="2" s="1"/>
  <c r="AT46" i="2"/>
  <c r="AT49" i="2" s="1"/>
  <c r="AS46" i="2"/>
  <c r="AS49" i="2" s="1"/>
  <c r="AR46" i="2"/>
  <c r="AR49" i="2" s="1"/>
  <c r="AQ46" i="2"/>
  <c r="AQ49" i="2" s="1"/>
  <c r="AP46" i="2"/>
  <c r="AP49" i="2" s="1"/>
  <c r="AO46" i="2"/>
  <c r="AO49" i="2" s="1"/>
  <c r="AN46" i="2"/>
  <c r="AN49" i="2" s="1"/>
  <c r="AM46" i="2"/>
  <c r="AM49" i="2" s="1"/>
  <c r="AM4" i="4" s="1"/>
  <c r="AL46" i="2"/>
  <c r="AL49" i="2" s="1"/>
  <c r="AL4" i="4" s="1"/>
  <c r="AL5" i="4" s="1"/>
  <c r="AL28" i="4" s="1"/>
  <c r="AL29" i="4" s="1"/>
  <c r="AK46" i="2"/>
  <c r="AK49" i="2" s="1"/>
  <c r="AJ46" i="2"/>
  <c r="AJ49" i="2" s="1"/>
  <c r="AI46" i="2"/>
  <c r="AI49" i="2" s="1"/>
  <c r="AH46" i="2"/>
  <c r="AH49" i="2" s="1"/>
  <c r="AG46" i="2"/>
  <c r="AG49" i="2" s="1"/>
  <c r="AF46" i="2"/>
  <c r="AF49" i="2" s="1"/>
  <c r="AE46" i="2"/>
  <c r="AE49" i="2" s="1"/>
  <c r="AD46" i="2"/>
  <c r="AD49" i="2" s="1"/>
  <c r="AC46" i="2"/>
  <c r="AC49" i="2" s="1"/>
  <c r="AB46" i="2"/>
  <c r="AB49" i="2" s="1"/>
  <c r="AA46" i="2"/>
  <c r="AA49" i="2" s="1"/>
  <c r="Z46" i="2"/>
  <c r="Z49" i="2" s="1"/>
  <c r="Y46" i="2"/>
  <c r="Y49" i="2" s="1"/>
  <c r="X46" i="2"/>
  <c r="X49" i="2" s="1"/>
  <c r="W46" i="2"/>
  <c r="W49" i="2" s="1"/>
  <c r="V46" i="2"/>
  <c r="V49" i="2" s="1"/>
  <c r="U46" i="2"/>
  <c r="U49" i="2" s="1"/>
  <c r="T46" i="2"/>
  <c r="T49" i="2" s="1"/>
  <c r="S46" i="2"/>
  <c r="S49" i="2" s="1"/>
  <c r="R46" i="2"/>
  <c r="R49" i="2" s="1"/>
  <c r="Q46" i="2"/>
  <c r="Q49" i="2" s="1"/>
  <c r="P46" i="2"/>
  <c r="P49" i="2" s="1"/>
  <c r="O46" i="2"/>
  <c r="O49" i="2" s="1"/>
  <c r="N46" i="2"/>
  <c r="N49" i="2" s="1"/>
  <c r="M46" i="2"/>
  <c r="M49" i="2" s="1"/>
  <c r="L46" i="2"/>
  <c r="L49" i="2" s="1"/>
  <c r="K46" i="2"/>
  <c r="K49" i="2" s="1"/>
  <c r="J46" i="2"/>
  <c r="J49" i="2" s="1"/>
  <c r="I46" i="2"/>
  <c r="I49" i="2" s="1"/>
  <c r="H46" i="2"/>
  <c r="H49" i="2" s="1"/>
  <c r="G46" i="2"/>
  <c r="G49" i="2" s="1"/>
  <c r="F46" i="2"/>
  <c r="F49" i="2" s="1"/>
  <c r="E46" i="2"/>
  <c r="E49" i="2" s="1"/>
  <c r="D46" i="2"/>
  <c r="D49" i="2" s="1"/>
  <c r="C46" i="2"/>
  <c r="C49" i="2" s="1"/>
  <c r="B46" i="2"/>
  <c r="B49" i="2" s="1"/>
  <c r="DS40" i="2"/>
  <c r="DR40" i="2"/>
  <c r="DS33" i="2"/>
  <c r="EF32" i="2"/>
  <c r="EE32" i="2"/>
  <c r="ED32" i="2"/>
  <c r="EC32" i="2"/>
  <c r="EB32" i="2"/>
  <c r="DS32" i="2"/>
  <c r="DR32" i="2"/>
  <c r="DS28" i="2"/>
  <c r="EF24" i="2"/>
  <c r="EE24" i="2"/>
  <c r="ED24" i="2"/>
  <c r="EC24" i="2"/>
  <c r="EB24" i="2"/>
  <c r="DS24" i="2"/>
  <c r="DR24" i="2"/>
  <c r="EF23" i="2"/>
  <c r="EE23" i="2"/>
  <c r="ED23" i="2"/>
  <c r="ED21" i="2" s="1"/>
  <c r="EC23" i="2"/>
  <c r="EC21" i="2" s="1"/>
  <c r="EB23" i="2"/>
  <c r="EB21" i="2" s="1"/>
  <c r="DS21" i="2"/>
  <c r="EF18" i="2"/>
  <c r="EE18" i="2"/>
  <c r="ED18" i="2"/>
  <c r="EC18" i="2"/>
  <c r="EB18" i="2"/>
  <c r="DS11" i="2"/>
  <c r="DS10" i="2" s="1"/>
  <c r="DS4" i="2" s="1"/>
  <c r="DR11" i="2"/>
  <c r="EQ10" i="2"/>
  <c r="DS8" i="2"/>
  <c r="DK8" i="2"/>
  <c r="DJ8" i="2"/>
  <c r="DG8" i="2"/>
  <c r="EO6" i="2"/>
  <c r="DK6" i="2"/>
  <c r="DS5" i="2"/>
  <c r="DR5" i="2"/>
  <c r="DG5" i="2"/>
  <c r="DR4" i="2"/>
  <c r="DR46" i="2" s="1"/>
  <c r="DR49" i="2" s="1"/>
  <c r="E9" i="1"/>
  <c r="D9" i="1"/>
  <c r="C9" i="1"/>
  <c r="B9" i="1"/>
  <c r="F8" i="1"/>
  <c r="E8" i="1"/>
  <c r="D8" i="1"/>
  <c r="C8" i="1"/>
  <c r="B8" i="1"/>
  <c r="F4" i="1"/>
  <c r="E4" i="1"/>
  <c r="D4" i="1"/>
  <c r="C4" i="1"/>
  <c r="B4" i="1"/>
  <c r="F3" i="1"/>
  <c r="E3" i="1"/>
  <c r="D3" i="1"/>
  <c r="C3" i="1"/>
  <c r="B3" i="1"/>
  <c r="EH20" i="2" l="1"/>
  <c r="EI20" i="2"/>
  <c r="EH12" i="2"/>
  <c r="EI12" i="2"/>
  <c r="EH30" i="2"/>
  <c r="EI30" i="2"/>
  <c r="EH35" i="2"/>
  <c r="EI35" i="2"/>
  <c r="EI6" i="2"/>
  <c r="EH6" i="2"/>
  <c r="EP11" i="2"/>
  <c r="EA24" i="2"/>
  <c r="EH24" i="2" s="1"/>
  <c r="EH25" i="2"/>
  <c r="EI25" i="2"/>
  <c r="EH31" i="2"/>
  <c r="EI31" i="2"/>
  <c r="EH7" i="2"/>
  <c r="EP12" i="2"/>
  <c r="EI7" i="2"/>
  <c r="EH13" i="2"/>
  <c r="EI13" i="2"/>
  <c r="EH34" i="2"/>
  <c r="EI34" i="2"/>
  <c r="EH18" i="2"/>
  <c r="EI18" i="2"/>
  <c r="EH26" i="2"/>
  <c r="EI26" i="2"/>
  <c r="DS13" i="4"/>
  <c r="EI18" i="3"/>
  <c r="EH18" i="3"/>
  <c r="DS8" i="3"/>
  <c r="DS17" i="4"/>
  <c r="DS23" i="4"/>
  <c r="EI7" i="3"/>
  <c r="EH7" i="3"/>
  <c r="EG13" i="4"/>
  <c r="EL13" i="4"/>
  <c r="EG15" i="4"/>
  <c r="EL15" i="4"/>
  <c r="EG17" i="4"/>
  <c r="EL17" i="4"/>
  <c r="EI24" i="2"/>
  <c r="DS6" i="4"/>
  <c r="DS5" i="4" s="1"/>
  <c r="DS4" i="4" s="1"/>
  <c r="DS46" i="2"/>
  <c r="DS49" i="2" s="1"/>
  <c r="EA7" i="4"/>
  <c r="EI28" i="2"/>
  <c r="DS58" i="4"/>
  <c r="EH13" i="4"/>
  <c r="EH15" i="4"/>
  <c r="EH17" i="4"/>
  <c r="D77" i="13"/>
  <c r="E77" i="13" s="1"/>
  <c r="D63" i="12"/>
  <c r="C94" i="11"/>
  <c r="C91" i="11"/>
  <c r="D37" i="8"/>
  <c r="E37" i="8"/>
  <c r="E40" i="8" s="1"/>
  <c r="EA19" i="4"/>
  <c r="EL19" i="4" s="1"/>
  <c r="EA18" i="4"/>
  <c r="EL18" i="4" s="1"/>
  <c r="EH17" i="3"/>
  <c r="EA16" i="4"/>
  <c r="EL16" i="4" s="1"/>
  <c r="EH12" i="3"/>
  <c r="D40" i="8"/>
  <c r="EA14" i="4"/>
  <c r="EL14" i="4" s="1"/>
  <c r="EA20" i="3"/>
  <c r="C103" i="6"/>
  <c r="C93" i="6" s="1"/>
  <c r="C78" i="6" s="1"/>
  <c r="D55" i="6"/>
  <c r="H55" i="6"/>
  <c r="E55" i="6"/>
  <c r="E54" i="6" s="1"/>
  <c r="EF13" i="2"/>
  <c r="EE6" i="2"/>
  <c r="EE5" i="2" s="1"/>
  <c r="I22" i="7"/>
  <c r="I104" i="6"/>
  <c r="O104" i="6" s="1"/>
  <c r="O122" i="6"/>
  <c r="O6" i="7"/>
  <c r="O39" i="6"/>
  <c r="EA23" i="2" s="1"/>
  <c r="I25" i="7"/>
  <c r="O22" i="7"/>
  <c r="O25" i="7" s="1"/>
  <c r="O38" i="6"/>
  <c r="EA22" i="2" s="1"/>
  <c r="D169" i="6"/>
  <c r="H169" i="6"/>
  <c r="I169" i="6"/>
  <c r="I55" i="6"/>
  <c r="I54" i="6" s="1"/>
  <c r="O56" i="6"/>
  <c r="EA36" i="2" s="1"/>
  <c r="I19" i="6"/>
  <c r="I5" i="6" s="1"/>
  <c r="O21" i="6"/>
  <c r="EA11" i="2"/>
  <c r="EQ12" i="2"/>
  <c r="EQ11" i="2"/>
  <c r="F5" i="6"/>
  <c r="F40" i="8"/>
  <c r="EJ22" i="4"/>
  <c r="EK22" i="4"/>
  <c r="CQ12" i="4"/>
  <c r="P12" i="4"/>
  <c r="AV12" i="4"/>
  <c r="CB12" i="4"/>
  <c r="DH12" i="4"/>
  <c r="AE12" i="4"/>
  <c r="BK12" i="4"/>
  <c r="AF12" i="4"/>
  <c r="CJ12" i="4"/>
  <c r="AN12" i="4"/>
  <c r="BL12" i="4"/>
  <c r="CR12" i="4"/>
  <c r="DP12" i="4"/>
  <c r="H12" i="4"/>
  <c r="X12" i="4"/>
  <c r="BD12" i="4"/>
  <c r="BT12" i="4"/>
  <c r="CZ12" i="4"/>
  <c r="EE58" i="4"/>
  <c r="EE44" i="4" s="1"/>
  <c r="G12" i="4"/>
  <c r="O12" i="4"/>
  <c r="W12" i="4"/>
  <c r="AM12" i="4"/>
  <c r="AM25" i="4" s="1"/>
  <c r="AM27" i="4" s="1"/>
  <c r="AU12" i="4"/>
  <c r="BC12" i="4"/>
  <c r="BS12" i="4"/>
  <c r="CA12" i="4"/>
  <c r="CI12" i="4"/>
  <c r="CY12" i="4"/>
  <c r="DG12" i="4"/>
  <c r="DO12" i="4"/>
  <c r="CK12" i="4"/>
  <c r="DA12" i="4"/>
  <c r="DS35" i="4"/>
  <c r="U12" i="4"/>
  <c r="BI12" i="4"/>
  <c r="BQ12" i="4"/>
  <c r="DE12" i="4"/>
  <c r="K12" i="4"/>
  <c r="AY12" i="4"/>
  <c r="BO12" i="4"/>
  <c r="CU12" i="4"/>
  <c r="I12" i="4"/>
  <c r="Q12" i="4"/>
  <c r="Y12" i="4"/>
  <c r="AG12" i="4"/>
  <c r="AO12" i="4"/>
  <c r="AW12" i="4"/>
  <c r="BE12" i="4"/>
  <c r="BM12" i="4"/>
  <c r="BU12" i="4"/>
  <c r="CC12" i="4"/>
  <c r="CS12" i="4"/>
  <c r="DI12" i="4"/>
  <c r="DQ12" i="4"/>
  <c r="D12" i="4"/>
  <c r="L12" i="4"/>
  <c r="T12" i="4"/>
  <c r="AB12" i="4"/>
  <c r="AJ12" i="4"/>
  <c r="AR12" i="4"/>
  <c r="AZ12" i="4"/>
  <c r="BH12" i="4"/>
  <c r="BP12" i="4"/>
  <c r="BX12" i="4"/>
  <c r="CF12" i="4"/>
  <c r="CN12" i="4"/>
  <c r="CV12" i="4"/>
  <c r="DD12" i="4"/>
  <c r="DL12" i="4"/>
  <c r="DL30" i="4" s="1"/>
  <c r="DL31" i="4" s="1"/>
  <c r="B12" i="4"/>
  <c r="J12" i="4"/>
  <c r="R12" i="4"/>
  <c r="Z12" i="4"/>
  <c r="AH12" i="4"/>
  <c r="AP12" i="4"/>
  <c r="AX12" i="4"/>
  <c r="BF12" i="4"/>
  <c r="BN12" i="4"/>
  <c r="BV12" i="4"/>
  <c r="CD12" i="4"/>
  <c r="CL12" i="4"/>
  <c r="CT12" i="4"/>
  <c r="DB12" i="4"/>
  <c r="DJ12" i="4"/>
  <c r="AC12" i="4"/>
  <c r="CW12" i="4"/>
  <c r="AI12" i="4"/>
  <c r="BW12" i="4"/>
  <c r="DK12" i="4"/>
  <c r="M12" i="4"/>
  <c r="AS12" i="4"/>
  <c r="BY12" i="4"/>
  <c r="DM12" i="4"/>
  <c r="AA12" i="4"/>
  <c r="BG12" i="4"/>
  <c r="DC12" i="4"/>
  <c r="EI5" i="4"/>
  <c r="AM5" i="4"/>
  <c r="AM28" i="4" s="1"/>
  <c r="AM29" i="4" s="1"/>
  <c r="F12" i="4"/>
  <c r="N12" i="4"/>
  <c r="V12" i="4"/>
  <c r="AD12" i="4"/>
  <c r="AL12" i="4"/>
  <c r="AL25" i="4" s="1"/>
  <c r="AT12" i="4"/>
  <c r="BB12" i="4"/>
  <c r="BJ12" i="4"/>
  <c r="BR12" i="4"/>
  <c r="BZ12" i="4"/>
  <c r="CH12" i="4"/>
  <c r="CP12" i="4"/>
  <c r="CX12" i="4"/>
  <c r="DF12" i="4"/>
  <c r="DF30" i="4" s="1"/>
  <c r="DF31" i="4" s="1"/>
  <c r="DN12" i="4"/>
  <c r="AM21" i="4"/>
  <c r="E12" i="4"/>
  <c r="BA12" i="4"/>
  <c r="CG12" i="4"/>
  <c r="C12" i="4"/>
  <c r="AQ12" i="4"/>
  <c r="CM12" i="4"/>
  <c r="AK12" i="4"/>
  <c r="CO12" i="4"/>
  <c r="S12" i="4"/>
  <c r="CE12" i="4"/>
  <c r="AL21" i="4"/>
  <c r="DS45" i="4"/>
  <c r="DS44" i="4" s="1"/>
  <c r="EI12" i="4"/>
  <c r="DS22" i="4"/>
  <c r="EB58" i="4"/>
  <c r="EB44" i="4" s="1"/>
  <c r="I74" i="12"/>
  <c r="K71" i="12"/>
  <c r="EA55" i="4" s="1"/>
  <c r="J10" i="12"/>
  <c r="J23" i="12" s="1"/>
  <c r="I35" i="13"/>
  <c r="I38" i="13"/>
  <c r="H72" i="13"/>
  <c r="I30" i="13"/>
  <c r="I16" i="13"/>
  <c r="EC58" i="4"/>
  <c r="EC44" i="4" s="1"/>
  <c r="ED58" i="4"/>
  <c r="ED44" i="4" s="1"/>
  <c r="I23" i="12"/>
  <c r="D91" i="11"/>
  <c r="E91" i="11"/>
  <c r="DS15" i="4"/>
  <c r="DS20" i="3"/>
  <c r="DS23" i="3" s="1"/>
  <c r="H12" i="6"/>
  <c r="EF12" i="2"/>
  <c r="M5" i="6"/>
  <c r="EF20" i="2"/>
  <c r="EB20" i="2"/>
  <c r="EE20" i="2"/>
  <c r="ED20" i="2"/>
  <c r="EC20" i="2"/>
  <c r="M93" i="6"/>
  <c r="M78" i="6" s="1"/>
  <c r="J103" i="6"/>
  <c r="J93" i="6" s="1"/>
  <c r="J78" i="6" s="1"/>
  <c r="N103" i="6"/>
  <c r="N93" i="6" s="1"/>
  <c r="N78" i="6" s="1"/>
  <c r="N167" i="6" s="1"/>
  <c r="N181" i="6" s="1"/>
  <c r="C37" i="6"/>
  <c r="O37" i="6" s="1"/>
  <c r="D54" i="6"/>
  <c r="L54" i="6"/>
  <c r="O144" i="6"/>
  <c r="K78" i="6"/>
  <c r="O158" i="6"/>
  <c r="EA44" i="2" s="1"/>
  <c r="E169" i="6"/>
  <c r="O7" i="6"/>
  <c r="K5" i="6"/>
  <c r="C20" i="6"/>
  <c r="O20" i="6" s="1"/>
  <c r="O24" i="6"/>
  <c r="G19" i="6"/>
  <c r="G5" i="6" s="1"/>
  <c r="M54" i="6"/>
  <c r="O119" i="6"/>
  <c r="O178" i="6"/>
  <c r="G169" i="6"/>
  <c r="O27" i="6"/>
  <c r="EA15" i="2" s="1"/>
  <c r="F55" i="6"/>
  <c r="F54" i="6" s="1"/>
  <c r="O128" i="6"/>
  <c r="O162" i="6"/>
  <c r="EA45" i="2" s="1"/>
  <c r="EC6" i="2"/>
  <c r="EC5" i="2" s="1"/>
  <c r="EC4" i="2" s="1"/>
  <c r="EC6" i="4" s="1"/>
  <c r="Q8" i="6"/>
  <c r="O16" i="6"/>
  <c r="C12" i="6"/>
  <c r="J167" i="6"/>
  <c r="J181" i="6" s="1"/>
  <c r="J198" i="6" s="1"/>
  <c r="ED6" i="2"/>
  <c r="ED5" i="2" s="1"/>
  <c r="ED4" i="2" s="1"/>
  <c r="ED6" i="4" s="1"/>
  <c r="EA5" i="2"/>
  <c r="EB6" i="2"/>
  <c r="EB5" i="2" s="1"/>
  <c r="EB4" i="2" s="1"/>
  <c r="EB6" i="4" s="1"/>
  <c r="EF6" i="2"/>
  <c r="EF5" i="2" s="1"/>
  <c r="F169" i="6"/>
  <c r="O170" i="6"/>
  <c r="EA24" i="4" s="1"/>
  <c r="C169" i="6"/>
  <c r="EF44" i="2"/>
  <c r="O138" i="6"/>
  <c r="O133" i="6"/>
  <c r="E103" i="6"/>
  <c r="E93" i="6" s="1"/>
  <c r="E78" i="6" s="1"/>
  <c r="F103" i="6"/>
  <c r="F93" i="6" s="1"/>
  <c r="D103" i="6"/>
  <c r="D93" i="6" s="1"/>
  <c r="H103" i="6"/>
  <c r="H93" i="6" s="1"/>
  <c r="H78" i="6" s="1"/>
  <c r="G93" i="6"/>
  <c r="G78" i="6" s="1"/>
  <c r="O84" i="6"/>
  <c r="D79" i="6"/>
  <c r="O79" i="6" s="1"/>
  <c r="EA41" i="2" s="1"/>
  <c r="K167" i="6"/>
  <c r="K181" i="6" s="1"/>
  <c r="L167" i="6"/>
  <c r="L181" i="6" s="1"/>
  <c r="O66" i="6"/>
  <c r="H54" i="6"/>
  <c r="O61" i="6"/>
  <c r="G55" i="6"/>
  <c r="G54" i="6" s="1"/>
  <c r="O48" i="6"/>
  <c r="F47" i="6"/>
  <c r="O47" i="6" s="1"/>
  <c r="O41" i="6"/>
  <c r="O29" i="6"/>
  <c r="D19" i="6"/>
  <c r="D5" i="6" s="1"/>
  <c r="H19" i="6"/>
  <c r="E19" i="6"/>
  <c r="E5" i="6" s="1"/>
  <c r="O191" i="6"/>
  <c r="ED44" i="2"/>
  <c r="ED40" i="2" s="1"/>
  <c r="O70" i="6"/>
  <c r="O69" i="6"/>
  <c r="EA39" i="2" s="1"/>
  <c r="O149" i="6"/>
  <c r="EA43" i="2" s="1"/>
  <c r="O94" i="6"/>
  <c r="EH44" i="2" l="1"/>
  <c r="EI44" i="2"/>
  <c r="EH43" i="2"/>
  <c r="EI43" i="2"/>
  <c r="EI39" i="2"/>
  <c r="EH5" i="2"/>
  <c r="ER17" i="2" s="1"/>
  <c r="EI5" i="2"/>
  <c r="EH23" i="2"/>
  <c r="EI23" i="2"/>
  <c r="EA33" i="2"/>
  <c r="EH36" i="2"/>
  <c r="EI36" i="2"/>
  <c r="EH41" i="2"/>
  <c r="EI41" i="2"/>
  <c r="EH15" i="2"/>
  <c r="EI15" i="2"/>
  <c r="EF11" i="2"/>
  <c r="EF10" i="2" s="1"/>
  <c r="EH45" i="2"/>
  <c r="EI45" i="2"/>
  <c r="EH22" i="2"/>
  <c r="EI22" i="2"/>
  <c r="EA45" i="4"/>
  <c r="EL45" i="4" s="1"/>
  <c r="EL55" i="4"/>
  <c r="EL24" i="4"/>
  <c r="EG24" i="4"/>
  <c r="EH11" i="2"/>
  <c r="EI11" i="2"/>
  <c r="EH20" i="3"/>
  <c r="EI20" i="3"/>
  <c r="EH7" i="4"/>
  <c r="EG7" i="4"/>
  <c r="EL7" i="4"/>
  <c r="EG14" i="4"/>
  <c r="EG16" i="4"/>
  <c r="EG18" i="4"/>
  <c r="EG19" i="4"/>
  <c r="DS34" i="4"/>
  <c r="DS12" i="4"/>
  <c r="DS30" i="4" s="1"/>
  <c r="DS31" i="4" s="1"/>
  <c r="D94" i="11"/>
  <c r="EH19" i="4"/>
  <c r="EH18" i="4"/>
  <c r="EH16" i="4"/>
  <c r="EH14" i="4"/>
  <c r="EA12" i="4"/>
  <c r="EA23" i="3"/>
  <c r="EC44" i="2"/>
  <c r="EC40" i="2" s="1"/>
  <c r="EB44" i="2"/>
  <c r="EB40" i="2" s="1"/>
  <c r="EB11" i="4" s="1"/>
  <c r="I103" i="6"/>
  <c r="I93" i="6" s="1"/>
  <c r="I78" i="6" s="1"/>
  <c r="I167" i="6" s="1"/>
  <c r="I181" i="6" s="1"/>
  <c r="I192" i="6" s="1"/>
  <c r="C19" i="6"/>
  <c r="EA21" i="2"/>
  <c r="EE22" i="2"/>
  <c r="EE21" i="2" s="1"/>
  <c r="EE4" i="2" s="1"/>
  <c r="EE6" i="4" s="1"/>
  <c r="EF22" i="2"/>
  <c r="EF21" i="2" s="1"/>
  <c r="EF4" i="2" s="1"/>
  <c r="O169" i="6"/>
  <c r="EA22" i="4"/>
  <c r="EE44" i="2"/>
  <c r="CP51" i="6"/>
  <c r="EA38" i="2"/>
  <c r="O54" i="6"/>
  <c r="H5" i="6"/>
  <c r="H167" i="6" s="1"/>
  <c r="H181" i="6" s="1"/>
  <c r="H192" i="6" s="1"/>
  <c r="EA10" i="2"/>
  <c r="C5" i="6"/>
  <c r="C167" i="6" s="1"/>
  <c r="C181" i="6" s="1"/>
  <c r="EK18" i="4"/>
  <c r="EJ18" i="4"/>
  <c r="EK14" i="4"/>
  <c r="EJ14" i="4"/>
  <c r="EK15" i="4"/>
  <c r="EJ15" i="4"/>
  <c r="EK16" i="4"/>
  <c r="EJ16" i="4"/>
  <c r="EK19" i="4"/>
  <c r="EJ19" i="4"/>
  <c r="EI4" i="4"/>
  <c r="AM26" i="4"/>
  <c r="AL26" i="4"/>
  <c r="AL27" i="4"/>
  <c r="I12" i="13"/>
  <c r="I21" i="13"/>
  <c r="I32" i="13"/>
  <c r="I28" i="13"/>
  <c r="I23" i="13"/>
  <c r="EC20" i="4"/>
  <c r="EC12" i="4" s="1"/>
  <c r="EC25" i="4" s="1"/>
  <c r="EC19" i="3"/>
  <c r="EC20" i="3" s="1"/>
  <c r="EC23" i="3" s="1"/>
  <c r="EE19" i="3"/>
  <c r="EE20" i="3" s="1"/>
  <c r="EE23" i="3" s="1"/>
  <c r="I13" i="13"/>
  <c r="ED20" i="4"/>
  <c r="ED12" i="4" s="1"/>
  <c r="ED25" i="4" s="1"/>
  <c r="ED19" i="3"/>
  <c r="ED20" i="3" s="1"/>
  <c r="ED23" i="3" s="1"/>
  <c r="EB20" i="4"/>
  <c r="EB12" i="4" s="1"/>
  <c r="EB25" i="4" s="1"/>
  <c r="EF19" i="3"/>
  <c r="EF20" i="3" s="1"/>
  <c r="EF23" i="3" s="1"/>
  <c r="EB19" i="3"/>
  <c r="EB20" i="3" s="1"/>
  <c r="EB23" i="3" s="1"/>
  <c r="I41" i="13"/>
  <c r="I40" i="13"/>
  <c r="EE20" i="4"/>
  <c r="EE12" i="4" s="1"/>
  <c r="EE25" i="4" s="1"/>
  <c r="I39" i="13"/>
  <c r="I24" i="13"/>
  <c r="I26" i="13"/>
  <c r="I31" i="13"/>
  <c r="I15" i="13"/>
  <c r="I36" i="13"/>
  <c r="I25" i="13"/>
  <c r="I14" i="13"/>
  <c r="I19" i="13"/>
  <c r="I29" i="13"/>
  <c r="I20" i="13"/>
  <c r="I18" i="13"/>
  <c r="I27" i="13"/>
  <c r="I22" i="13"/>
  <c r="I17" i="13"/>
  <c r="E94" i="11"/>
  <c r="J192" i="6"/>
  <c r="M167" i="6"/>
  <c r="M181" i="6" s="1"/>
  <c r="N192" i="6"/>
  <c r="N198" i="6"/>
  <c r="D78" i="6"/>
  <c r="D167" i="6" s="1"/>
  <c r="D181" i="6" s="1"/>
  <c r="O12" i="6"/>
  <c r="EP10" i="2"/>
  <c r="F78" i="6"/>
  <c r="F167" i="6" s="1"/>
  <c r="E167" i="6"/>
  <c r="E181" i="6" s="1"/>
  <c r="L192" i="6"/>
  <c r="L198" i="6"/>
  <c r="M192" i="6"/>
  <c r="M198" i="6"/>
  <c r="K192" i="6"/>
  <c r="K198" i="6"/>
  <c r="G167" i="6"/>
  <c r="G181" i="6" s="1"/>
  <c r="O55" i="6"/>
  <c r="O19" i="6"/>
  <c r="EC46" i="2"/>
  <c r="EC49" i="2" s="1"/>
  <c r="EC11" i="4"/>
  <c r="ED11" i="4"/>
  <c r="ED46" i="2"/>
  <c r="ED49" i="2" s="1"/>
  <c r="EA32" i="2" l="1"/>
  <c r="EH38" i="2"/>
  <c r="EI38" i="2"/>
  <c r="EB46" i="2"/>
  <c r="EB49" i="2" s="1"/>
  <c r="EH33" i="2"/>
  <c r="EI33" i="2"/>
  <c r="EH21" i="2"/>
  <c r="EI21" i="2"/>
  <c r="DS21" i="4"/>
  <c r="DS28" i="4"/>
  <c r="DS29" i="4" s="1"/>
  <c r="EA44" i="4"/>
  <c r="EL44" i="4" s="1"/>
  <c r="EL22" i="4"/>
  <c r="EG22" i="4"/>
  <c r="EH10" i="2"/>
  <c r="EP3" i="2"/>
  <c r="EQ3" i="2" s="1"/>
  <c r="EI10" i="2"/>
  <c r="EH23" i="3"/>
  <c r="EI23" i="3"/>
  <c r="EG12" i="4"/>
  <c r="EL12" i="4"/>
  <c r="DS25" i="4"/>
  <c r="DS32" i="4" s="1"/>
  <c r="DS33" i="4" s="1"/>
  <c r="EH12" i="4"/>
  <c r="O93" i="6"/>
  <c r="EE42" i="2" s="1"/>
  <c r="EE40" i="2" s="1"/>
  <c r="EE46" i="2" s="1"/>
  <c r="EE49" i="2" s="1"/>
  <c r="O103" i="6"/>
  <c r="EH22" i="4"/>
  <c r="EF42" i="2"/>
  <c r="EF40" i="2" s="1"/>
  <c r="EF46" i="2" s="1"/>
  <c r="EF49" i="2" s="1"/>
  <c r="EA42" i="2"/>
  <c r="O78" i="6"/>
  <c r="I198" i="6"/>
  <c r="EK7" i="4"/>
  <c r="EJ7" i="4"/>
  <c r="EJ13" i="4"/>
  <c r="EK13" i="4"/>
  <c r="EK17" i="4"/>
  <c r="EJ17" i="4"/>
  <c r="EI21" i="4"/>
  <c r="EB30" i="4"/>
  <c r="EB31" i="4" s="1"/>
  <c r="EE30" i="4"/>
  <c r="EE31" i="4" s="1"/>
  <c r="ED30" i="4"/>
  <c r="ED31" i="4" s="1"/>
  <c r="EC30" i="4"/>
  <c r="EC31" i="4" s="1"/>
  <c r="DS27" i="4"/>
  <c r="F181" i="6"/>
  <c r="F192" i="6" s="1"/>
  <c r="D198" i="6"/>
  <c r="D199" i="6" s="1"/>
  <c r="D192" i="6"/>
  <c r="H198" i="6"/>
  <c r="H199" i="6" s="1"/>
  <c r="E198" i="6"/>
  <c r="E199" i="6" s="1"/>
  <c r="E192" i="6"/>
  <c r="G198" i="6"/>
  <c r="G199" i="6" s="1"/>
  <c r="G192" i="6"/>
  <c r="O10" i="6"/>
  <c r="EA9" i="2" s="1"/>
  <c r="EH9" i="2" l="1"/>
  <c r="EI9" i="2"/>
  <c r="EA40" i="2"/>
  <c r="EH42" i="2"/>
  <c r="EI42" i="2"/>
  <c r="EA8" i="4"/>
  <c r="EH32" i="2"/>
  <c r="EI32" i="2"/>
  <c r="EA34" i="4"/>
  <c r="EL34" i="4" s="1"/>
  <c r="DS26" i="4"/>
  <c r="DS61" i="4"/>
  <c r="EA8" i="2"/>
  <c r="EE11" i="4"/>
  <c r="EK8" i="4"/>
  <c r="EJ8" i="4"/>
  <c r="EJ12" i="4"/>
  <c r="EK12" i="4"/>
  <c r="F198" i="6"/>
  <c r="F199" i="6" s="1"/>
  <c r="EF9" i="2"/>
  <c r="EC9" i="2"/>
  <c r="EB9" i="2"/>
  <c r="ED9" i="2"/>
  <c r="EE9" i="2"/>
  <c r="O5" i="6"/>
  <c r="EA11" i="4" l="1"/>
  <c r="EH40" i="2"/>
  <c r="EI40" i="2"/>
  <c r="EH8" i="2"/>
  <c r="EI8" i="2"/>
  <c r="EP4" i="2"/>
  <c r="EG8" i="4"/>
  <c r="EL8" i="4"/>
  <c r="EH8" i="4"/>
  <c r="EA4" i="2"/>
  <c r="EK11" i="4"/>
  <c r="EJ11" i="4"/>
  <c r="C198" i="6"/>
  <c r="C192" i="6"/>
  <c r="O167" i="6"/>
  <c r="EH11" i="4" l="1"/>
  <c r="EL11" i="4"/>
  <c r="EG11" i="4"/>
  <c r="EH4" i="2"/>
  <c r="EI4" i="2"/>
  <c r="EA6" i="4"/>
  <c r="EG6" i="4" s="1"/>
  <c r="EA46" i="2"/>
  <c r="EH46" i="2" s="1"/>
  <c r="EQ4" i="2"/>
  <c r="O181" i="6"/>
  <c r="O192" i="6" s="1"/>
  <c r="C199" i="6"/>
  <c r="EL6" i="4" l="1"/>
  <c r="EA49" i="2"/>
  <c r="EI46" i="2"/>
  <c r="EA4" i="4"/>
  <c r="EG4" i="4" s="1"/>
  <c r="EH6" i="4"/>
  <c r="EK6" i="4"/>
  <c r="EJ6" i="4"/>
  <c r="EH49" i="2" l="1"/>
  <c r="EL4" i="4"/>
  <c r="EI49" i="2"/>
  <c r="EH4" i="4"/>
  <c r="EA25" i="4"/>
  <c r="EA5" i="4"/>
  <c r="EA21" i="4"/>
  <c r="EL21" i="4" s="1"/>
  <c r="EJ4" i="4"/>
  <c r="EK4" i="4"/>
  <c r="EA61" i="4" l="1"/>
  <c r="EL61" i="4" s="1"/>
  <c r="EG25" i="4"/>
  <c r="EL25" i="4"/>
  <c r="H9" i="1"/>
  <c r="EG5" i="4"/>
  <c r="EL5" i="4"/>
  <c r="EG21" i="4"/>
  <c r="EH21" i="4"/>
  <c r="EA30" i="4"/>
  <c r="EA31" i="4" s="1"/>
  <c r="EH5" i="4"/>
  <c r="EK5" i="4"/>
  <c r="EJ5" i="4"/>
  <c r="EK21" i="4"/>
  <c r="EJ21" i="4"/>
  <c r="G9" i="1"/>
  <c r="H4" i="1" l="1"/>
  <c r="EL26" i="4"/>
  <c r="EL31" i="4"/>
  <c r="EL30" i="4"/>
  <c r="G4" i="1"/>
  <c r="D43" i="21" l="1"/>
  <c r="E48" i="21" s="1"/>
  <c r="E43" i="21"/>
  <c r="G43" i="21"/>
  <c r="F43" i="21"/>
</calcChain>
</file>

<file path=xl/comments1.xml><?xml version="1.0" encoding="utf-8"?>
<comments xmlns="http://schemas.openxmlformats.org/spreadsheetml/2006/main">
  <authors>
    <author>MF / DNOCP - Suzete Maria da Paz Teixeira</author>
    <author>MF/DNP/SAME - Recilete Delgado Joia</author>
    <author>MF /DGC / Dirª Serv - Recilete Delgado Joia</author>
  </authors>
  <commentList>
    <comment ref="A16" authorId="0" shapeId="0">
      <text>
        <r>
          <rPr>
            <b/>
            <sz val="9"/>
            <rFont val="Tahoma"/>
            <family val="2"/>
          </rPr>
          <t>MF / DNOCP - Suzete Maria da Paz Teixeira:</t>
        </r>
        <r>
          <rPr>
            <sz val="9"/>
            <rFont val="Tahoma"/>
            <family val="2"/>
          </rPr>
          <t xml:space="preserve">
para decisão</t>
        </r>
      </text>
    </comment>
    <comment ref="A19" authorId="0" shapeId="0">
      <text>
        <r>
          <rPr>
            <b/>
            <sz val="9"/>
            <rFont val="Tahoma"/>
            <family val="2"/>
          </rPr>
          <t>MF / DNOCP - Suzete Maria da Paz Teixeira:</t>
        </r>
        <r>
          <rPr>
            <sz val="9"/>
            <rFont val="Tahoma"/>
            <family val="2"/>
          </rPr>
          <t xml:space="preserve">
emilinar!</t>
        </r>
      </text>
    </comment>
    <comment ref="U34" authorId="1" shapeId="0">
      <text>
        <r>
          <rPr>
            <b/>
            <sz val="9"/>
            <rFont val="Tahoma"/>
            <family val="2"/>
          </rPr>
          <t>MF/DNP/SAME - Recilete Delgado Joia:</t>
        </r>
        <r>
          <rPr>
            <sz val="9"/>
            <rFont val="Tahoma"/>
            <family val="2"/>
          </rPr>
          <t xml:space="preserve">
LUX (55) e PT(110)</t>
        </r>
      </text>
    </comment>
    <comment ref="AY36" authorId="2" shapeId="0">
      <text>
        <r>
          <rPr>
            <b/>
            <sz val="9"/>
            <rFont val="Tahoma"/>
            <family val="2"/>
          </rPr>
          <t>MF /DGC / Dirª Serv - Recilete Delgado Joia:</t>
        </r>
        <r>
          <rPr>
            <sz val="9"/>
            <rFont val="Tahoma"/>
            <family val="2"/>
          </rPr>
          <t xml:space="preserve">
Inclui MCA
</t>
        </r>
      </text>
    </comment>
  </commentList>
</comments>
</file>

<file path=xl/comments2.xml><?xml version="1.0" encoding="utf-8"?>
<comments xmlns="http://schemas.openxmlformats.org/spreadsheetml/2006/main">
  <authors>
    <author>MF / DNOCP - Suzete Maria da Paz Teixeira</author>
    <author>MF/DNP/SAME - Recilete Delgado Joia</author>
    <author>recilete.joia</author>
    <author>MFP / DNOCP -  Geviane Almada</author>
    <author>MF \ DNOCP- Yara Jassica Pina</author>
    <author>MF / DNOCP / Dirª Serv  - Recilete Delgado Joia</author>
  </authors>
  <commentList>
    <comment ref="AM34" authorId="0" shapeId="0">
      <text>
        <r>
          <rPr>
            <b/>
            <sz val="9"/>
            <rFont val="Tahoma"/>
            <family val="2"/>
          </rPr>
          <t>MF / DNOCP - Suzete Maria da Paz Teixeira:</t>
        </r>
        <r>
          <rPr>
            <sz val="9"/>
            <rFont val="Tahoma"/>
            <family val="2"/>
          </rPr>
          <t xml:space="preserve">
sem dados</t>
        </r>
      </text>
    </comment>
    <comment ref="S38" authorId="1" shapeId="0">
      <text>
        <r>
          <rPr>
            <b/>
            <sz val="9"/>
            <rFont val="Tahoma"/>
            <family val="2"/>
          </rPr>
          <t>MF/DNP/SAME - Recilete Delgado Joia:</t>
        </r>
        <r>
          <rPr>
            <sz val="9"/>
            <rFont val="Tahoma"/>
            <family val="2"/>
          </rPr>
          <t xml:space="preserve">
298 TACV
</t>
        </r>
      </text>
    </comment>
    <comment ref="T38" authorId="1" shapeId="0">
      <text>
        <r>
          <rPr>
            <b/>
            <sz val="9"/>
            <rFont val="Tahoma"/>
            <family val="2"/>
          </rPr>
          <t>MF/DNP/SAME - Recilete Delgado Joia:</t>
        </r>
        <r>
          <rPr>
            <sz val="9"/>
            <rFont val="Tahoma"/>
            <family val="2"/>
          </rPr>
          <t xml:space="preserve">
TACV (518)  e EHTCV</t>
        </r>
      </text>
    </comment>
    <comment ref="I49" authorId="2" shapeId="0">
      <text>
        <r>
          <rPr>
            <b/>
            <sz val="9"/>
            <rFont val="Tahoma"/>
            <family val="2"/>
          </rPr>
          <t>recilete.joia:</t>
        </r>
        <r>
          <rPr>
            <sz val="9"/>
            <rFont val="Tahoma"/>
            <family val="2"/>
          </rPr>
          <t xml:space="preserve">
EMPRÉSTIMO A TACV</t>
        </r>
      </text>
    </comment>
    <comment ref="CP51" authorId="0" shapeId="0">
      <text>
        <r>
          <rPr>
            <b/>
            <sz val="9"/>
            <rFont val="Tahoma"/>
            <family val="2"/>
          </rPr>
          <t>MF / DNOCP - Suzete Maria da Paz Teixeira:</t>
        </r>
        <r>
          <rPr>
            <sz val="9"/>
            <rFont val="Tahoma"/>
            <family val="2"/>
          </rPr>
          <t xml:space="preserve">
outras transações correto aqui?!</t>
        </r>
      </text>
    </comment>
    <comment ref="EX54" authorId="3" shapeId="0">
      <text>
        <r>
          <rPr>
            <b/>
            <sz val="9"/>
            <color indexed="81"/>
            <rFont val="Tahoma"/>
            <family val="2"/>
          </rPr>
          <t>MFP / DNOCP -  Geviane Almada:</t>
        </r>
        <r>
          <rPr>
            <sz val="9"/>
            <color indexed="81"/>
            <rFont val="Tahoma"/>
            <family val="2"/>
          </rPr>
          <t xml:space="preserve">
Manter constante até dez. 2021
</t>
        </r>
      </text>
    </comment>
    <comment ref="CB60" authorId="4" shapeId="0">
      <text>
        <r>
          <rPr>
            <b/>
            <sz val="9"/>
            <rFont val="Tahoma"/>
            <family val="2"/>
          </rPr>
          <t>MF \ DNOCP- Yara Jassica Pina:</t>
        </r>
        <r>
          <rPr>
            <sz val="9"/>
            <rFont val="Tahoma"/>
            <family val="2"/>
          </rPr>
          <t xml:space="preserve">
Verificar com ficheiro de pag juros divida externa se os valores são iguais e decidir qual tomar</t>
        </r>
      </text>
    </comment>
    <comment ref="DV64" authorId="5" shapeId="0">
      <text>
        <r>
          <rPr>
            <b/>
            <sz val="9"/>
            <rFont val="Tahoma"/>
            <family val="2"/>
            <charset val="1"/>
          </rPr>
          <t>MF / DNOCP / Dirª Serv  - Recilete Delgado Joia:</t>
        </r>
        <r>
          <rPr>
            <sz val="9"/>
            <rFont val="Tahoma"/>
            <family val="2"/>
            <charset val="1"/>
          </rPr>
          <t xml:space="preserve">
novo PIB fornecido pela DNP</t>
        </r>
      </text>
    </comment>
  </commentList>
</comments>
</file>

<file path=xl/comments3.xml><?xml version="1.0" encoding="utf-8"?>
<comments xmlns="http://schemas.openxmlformats.org/spreadsheetml/2006/main">
  <authors>
    <author>MF - Suzete Maria da Paz Teixeira</author>
    <author>MF / DNOCP / Dirª Serv  - Recilete Delgado Joia</author>
    <author>MF /DGC / Dirª Serv - Recilete Delgado Joia</author>
    <author>MF / DNOCP - Suzete Maria da Paz Teixeira</author>
  </authors>
  <commentList>
    <comment ref="E62" authorId="0" shapeId="0">
      <text>
        <r>
          <rPr>
            <b/>
            <sz val="9"/>
            <rFont val="Tahoma"/>
            <family val="2"/>
          </rPr>
          <t>MF - Suzete Maria da Paz Teixeira:</t>
        </r>
        <r>
          <rPr>
            <sz val="9"/>
            <rFont val="Tahoma"/>
            <family val="2"/>
          </rPr>
          <t xml:space="preserve">
LUX</t>
        </r>
      </text>
    </comment>
    <comment ref="F62" authorId="0" shapeId="0">
      <text>
        <r>
          <rPr>
            <b/>
            <sz val="9"/>
            <rFont val="Tahoma"/>
            <family val="2"/>
          </rPr>
          <t>MF - Suzete Maria da Paz Teixeira:</t>
        </r>
        <r>
          <rPr>
            <sz val="9"/>
            <rFont val="Tahoma"/>
            <family val="2"/>
          </rPr>
          <t xml:space="preserve">
UE</t>
        </r>
      </text>
    </comment>
    <comment ref="H62" authorId="1" shapeId="0">
      <text>
        <r>
          <rPr>
            <b/>
            <sz val="9"/>
            <rFont val="Tahoma"/>
            <family val="2"/>
          </rPr>
          <t>MF / DNOCP / Dirª Serv  - Recilete Delgado Joia:</t>
        </r>
        <r>
          <rPr>
            <sz val="9"/>
            <rFont val="Tahoma"/>
            <family val="2"/>
          </rPr>
          <t xml:space="preserve">
LUX</t>
        </r>
      </text>
    </comment>
    <comment ref="I62" authorId="1" shapeId="0">
      <text>
        <r>
          <rPr>
            <b/>
            <sz val="9"/>
            <rFont val="Tahoma"/>
            <family val="2"/>
          </rPr>
          <t>MF / DNOCP / Dirª Serv  - Recilete Delgado Joia:</t>
        </r>
        <r>
          <rPr>
            <sz val="9"/>
            <rFont val="Tahoma"/>
            <family val="2"/>
          </rPr>
          <t xml:space="preserve">
UE</t>
        </r>
      </text>
    </comment>
    <comment ref="K62" authorId="2" shapeId="0">
      <text>
        <r>
          <rPr>
            <b/>
            <sz val="9"/>
            <rFont val="Tahoma"/>
            <family val="2"/>
          </rPr>
          <t>MF /DGC / Dirª Serv - Recilete Delgado Joia:</t>
        </r>
        <r>
          <rPr>
            <sz val="9"/>
            <rFont val="Tahoma"/>
            <family val="2"/>
          </rPr>
          <t xml:space="preserve">
PT</t>
        </r>
      </text>
    </comment>
    <comment ref="L62" authorId="2" shapeId="0">
      <text>
        <r>
          <rPr>
            <b/>
            <sz val="9"/>
            <rFont val="Tahoma"/>
            <family val="2"/>
          </rPr>
          <t>MF /DGC / Dirª Serv - Recilete Delgado Joia:</t>
        </r>
        <r>
          <rPr>
            <sz val="9"/>
            <rFont val="Tahoma"/>
            <family val="2"/>
          </rPr>
          <t xml:space="preserve">
LUX</t>
        </r>
      </text>
    </comment>
    <comment ref="H63" authorId="0" shapeId="0">
      <text>
        <r>
          <rPr>
            <b/>
            <sz val="9"/>
            <rFont val="Tahoma"/>
            <family val="2"/>
          </rPr>
          <t>MF - Suzete Maria da Paz Teixeira:</t>
        </r>
        <r>
          <rPr>
            <sz val="9"/>
            <rFont val="Tahoma"/>
            <family val="2"/>
          </rPr>
          <t xml:space="preserve">
Japão</t>
        </r>
      </text>
    </comment>
    <comment ref="F64" authorId="0" shapeId="0">
      <text>
        <r>
          <rPr>
            <b/>
            <sz val="9"/>
            <rFont val="Tahoma"/>
            <family val="2"/>
          </rPr>
          <t>MF - Suzete Maria da Paz Teixeira:</t>
        </r>
        <r>
          <rPr>
            <sz val="9"/>
            <rFont val="Tahoma"/>
            <family val="2"/>
          </rPr>
          <t xml:space="preserve">
LUX</t>
        </r>
      </text>
    </comment>
    <comment ref="G64" authorId="0" shapeId="0">
      <text>
        <r>
          <rPr>
            <b/>
            <sz val="9"/>
            <rFont val="Tahoma"/>
            <family val="2"/>
          </rPr>
          <t>MF - Suzete Maria da Paz Teixeira:</t>
        </r>
        <r>
          <rPr>
            <sz val="9"/>
            <rFont val="Tahoma"/>
            <family val="2"/>
          </rPr>
          <t xml:space="preserve">
UE</t>
        </r>
      </text>
    </comment>
    <comment ref="N64" authorId="3" shapeId="0">
      <text>
        <r>
          <rPr>
            <b/>
            <sz val="9"/>
            <rFont val="Tahoma"/>
            <family val="2"/>
          </rPr>
          <t>MF / DNOCP - Suzete Maria da Paz Teixeira:</t>
        </r>
        <r>
          <rPr>
            <sz val="9"/>
            <rFont val="Tahoma"/>
            <family val="2"/>
          </rPr>
          <t xml:space="preserve">
valor donatvo campus universitario de palmarejo  valor por regularizar</t>
        </r>
      </text>
    </comment>
    <comment ref="O69" authorId="3" shapeId="0">
      <text>
        <r>
          <rPr>
            <b/>
            <sz val="9"/>
            <rFont val="Tahoma"/>
            <family val="2"/>
          </rPr>
          <t>MF / DNOCP - Suzete Maria da Paz Teixeira:</t>
        </r>
        <r>
          <rPr>
            <sz val="9"/>
            <rFont val="Tahoma"/>
            <family val="2"/>
          </rPr>
          <t xml:space="preserve">
esta rubrica por orientação superior  começou a ser considerado apartir do mês de Agosto .</t>
        </r>
      </text>
    </comment>
    <comment ref="D71" authorId="3" shapeId="0">
      <text>
        <r>
          <rPr>
            <b/>
            <sz val="9"/>
            <rFont val="Tahoma"/>
            <family val="2"/>
            <charset val="1"/>
          </rPr>
          <t>MF / DNOCP - Suzete Maria da Paz Teixeira: 
esta receita não é assumida, por isso retiramos logo no GRE  antes de  colar o total geral</t>
        </r>
      </text>
    </comment>
    <comment ref="C72" authorId="3" shapeId="0">
      <text>
        <r>
          <rPr>
            <b/>
            <sz val="9"/>
            <rFont val="Tahoma"/>
            <family val="2"/>
            <charset val="1"/>
          </rPr>
          <t>MF / DNOCP - Suzete Maria da Paz Teixeira:</t>
        </r>
        <r>
          <rPr>
            <sz val="9"/>
            <rFont val="Tahoma"/>
            <family val="2"/>
            <charset val="1"/>
          </rPr>
          <t xml:space="preserve">
esta rubrica não tem valor tavas a confudndir com Outras tran adm pub.por isso o valor tava a duplicar</t>
        </r>
      </text>
    </comment>
    <comment ref="B176" authorId="3" shapeId="0">
      <text>
        <r>
          <rPr>
            <b/>
            <sz val="9"/>
            <rFont val="Tahoma"/>
            <family val="2"/>
          </rPr>
          <t>MF / DNOCP - Suzete Maria da Paz Teixeira:</t>
        </r>
        <r>
          <rPr>
            <sz val="9"/>
            <rFont val="Tahoma"/>
            <family val="2"/>
          </rPr>
          <t xml:space="preserve">
esta rubrica foi inserida por ter sido executado no Gre mas no rçamento ela não foi inscrita.</t>
        </r>
      </text>
    </comment>
    <comment ref="N192" authorId="3" shapeId="0">
      <text>
        <r>
          <rPr>
            <b/>
            <sz val="9"/>
            <rFont val="Tahoma"/>
            <family val="2"/>
          </rPr>
          <t>MF / DNOCP - Suzete Maria da Paz Teixeira:</t>
        </r>
        <r>
          <rPr>
            <sz val="9"/>
            <rFont val="Tahoma"/>
            <family val="2"/>
          </rPr>
          <t xml:space="preserve">
valor donatvo campus universitario de palmarejo  valor por regularizar. Não aparece na tabela ainda por isso essa diferença a vnivel do controlo
</t>
        </r>
      </text>
    </comment>
  </commentList>
</comments>
</file>

<file path=xl/comments4.xml><?xml version="1.0" encoding="utf-8"?>
<comments xmlns="http://schemas.openxmlformats.org/spreadsheetml/2006/main">
  <authors>
    <author>MFP / DNOCP -  Geviane Almada</author>
  </authors>
  <commentList>
    <comment ref="B17" authorId="0" shapeId="0">
      <text>
        <r>
          <rPr>
            <b/>
            <sz val="9"/>
            <rFont val="Tahoma"/>
            <family val="2"/>
            <charset val="1"/>
          </rPr>
          <t>MFP / DNOCP -  Geviane Almada:</t>
        </r>
        <r>
          <rPr>
            <sz val="9"/>
            <rFont val="Tahoma"/>
            <family val="2"/>
            <charset val="1"/>
          </rPr>
          <t xml:space="preserve">
= Outras Taxas Diversas+ Taxa Específica sobre Tabaco</t>
        </r>
      </text>
    </comment>
    <comment ref="B20" authorId="0" shapeId="0">
      <text>
        <r>
          <rPr>
            <b/>
            <sz val="9"/>
            <rFont val="Tahoma"/>
            <family val="2"/>
            <charset val="1"/>
          </rPr>
          <t>MFP / DNOCP -  Geviane Almada:</t>
        </r>
        <r>
          <rPr>
            <sz val="9"/>
            <rFont val="Tahoma"/>
            <family val="2"/>
            <charset val="1"/>
          </rPr>
          <t xml:space="preserve">
=MCA+ Coima TCECP+Cofre DGA</t>
        </r>
      </text>
    </comment>
  </commentList>
</comments>
</file>

<file path=xl/comments5.xml><?xml version="1.0" encoding="utf-8"?>
<comments xmlns="http://schemas.openxmlformats.org/spreadsheetml/2006/main">
  <authors>
    <author>MFP / DNOCP -  Geviane Almada</author>
  </authors>
  <commentList>
    <comment ref="F5" authorId="0" shapeId="0">
      <text>
        <r>
          <rPr>
            <b/>
            <sz val="9"/>
            <rFont val="Tahoma"/>
            <family val="2"/>
          </rPr>
          <t>MFP / DNOCP -  suzeth Teixeira:</t>
        </r>
        <r>
          <rPr>
            <sz val="9"/>
            <rFont val="Tahoma"/>
            <family val="2"/>
          </rPr>
          <t xml:space="preserve">
INSTITUTO NACIONAL DE GESTÃO DE TERRITÓRIO GAA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MFP / DNOCP -  Geviane Almada:</t>
        </r>
        <r>
          <rPr>
            <sz val="9"/>
            <color indexed="81"/>
            <rFont val="Tahoma"/>
            <family val="2"/>
          </rPr>
          <t xml:space="preserve">
OPT
</t>
        </r>
      </text>
    </comment>
  </commentList>
</comments>
</file>

<file path=xl/comments6.xml><?xml version="1.0" encoding="utf-8"?>
<comments xmlns="http://schemas.openxmlformats.org/spreadsheetml/2006/main">
  <authors>
    <author>MF / DNOCP / Dirª Serv  - Recilete Delgado Joia</author>
  </authors>
  <commentList>
    <comment ref="I697" authorId="0" shapeId="0">
      <text>
        <r>
          <rPr>
            <b/>
            <sz val="9"/>
            <color indexed="81"/>
            <rFont val="Tahoma"/>
            <family val="2"/>
          </rPr>
          <t>MF / DNOCP / Dirª Serv  - Recilete Delgado Joia:</t>
        </r>
        <r>
          <rPr>
            <sz val="9"/>
            <color indexed="81"/>
            <rFont val="Tahoma"/>
            <family val="2"/>
          </rPr>
          <t xml:space="preserve">
saldo conta tesouro de junho</t>
        </r>
      </text>
    </comment>
  </commentList>
</comments>
</file>

<file path=xl/comments7.xml><?xml version="1.0" encoding="utf-8"?>
<comments xmlns="http://schemas.openxmlformats.org/spreadsheetml/2006/main">
  <authors>
    <author>MF / DNOCP - Suzete Maria da Paz Teixeira</author>
    <author>MF / DNOCP / Dirª Serv  - Recilete Delgado Joia</author>
  </authors>
  <commentList>
    <comment ref="O545" authorId="0" shapeId="0">
      <text>
        <r>
          <rPr>
            <b/>
            <sz val="9"/>
            <rFont val="Tahoma"/>
            <family val="2"/>
            <charset val="1"/>
          </rPr>
          <t>MF / DNOCP - Suzete Maria da Paz Teixeira:</t>
        </r>
        <r>
          <rPr>
            <sz val="9"/>
            <rFont val="Tahoma"/>
            <family val="2"/>
            <charset val="1"/>
          </rPr>
          <t xml:space="preserve">
fiz intervenção na formula que nºão estava correta</t>
        </r>
      </text>
    </comment>
    <comment ref="H612" authorId="1" shapeId="0">
      <text>
        <r>
          <rPr>
            <b/>
            <sz val="9"/>
            <rFont val="Tahoma"/>
            <family val="2"/>
            <charset val="1"/>
          </rPr>
          <t>MF / DNOCP / Dirª Serv  - Recilete Delgado Joia:</t>
        </r>
        <r>
          <rPr>
            <sz val="9"/>
            <rFont val="Tahoma"/>
            <family val="2"/>
            <charset val="1"/>
          </rPr>
          <t xml:space="preserve">
saldo conta do tesouro</t>
        </r>
      </text>
    </comment>
  </commentList>
</comments>
</file>

<file path=xl/comments8.xml><?xml version="1.0" encoding="utf-8"?>
<comments xmlns="http://schemas.openxmlformats.org/spreadsheetml/2006/main">
  <authors>
    <author>MF / DNOCP - Suzete Maria da Paz Teixeira</author>
  </authors>
  <commentList>
    <comment ref="C88" authorId="0" shapeId="0">
      <text>
        <r>
          <rPr>
            <b/>
            <sz val="9"/>
            <rFont val="Tahoma"/>
            <family val="2"/>
          </rPr>
          <t>MF / DNOCP - Suzete Maria da Paz Teixeira:</t>
        </r>
        <r>
          <rPr>
            <sz val="9"/>
            <rFont val="Tahoma"/>
            <family val="2"/>
          </rPr>
          <t xml:space="preserve">
manter o orçamento inicial </t>
        </r>
      </text>
    </comment>
  </commentList>
</comments>
</file>

<file path=xl/comments9.xml><?xml version="1.0" encoding="utf-8"?>
<comments xmlns="http://schemas.openxmlformats.org/spreadsheetml/2006/main">
  <authors>
    <author>sandra.e.veiga</author>
    <author>MF / DNOCP - Suzete Maria da Paz Teixeira</author>
    <author>MF / DNOCP / Dirª Serv  - Recilete Delgado Joia</author>
  </authors>
  <commentList>
    <comment ref="E12" authorId="0" shapeId="0">
      <text>
        <r>
          <rPr>
            <b/>
            <sz val="9"/>
            <rFont val="Tahoma"/>
            <family val="2"/>
            <charset val="1"/>
          </rPr>
          <t>sandra.e.veiga:</t>
        </r>
        <r>
          <rPr>
            <sz val="9"/>
            <rFont val="Tahoma"/>
            <family val="2"/>
            <charset val="1"/>
          </rPr>
          <t xml:space="preserve">
Este valor é na estrutura 40.10.01.01 
TD V_Balan_Execução Total - Escolher apenas Presidencia da República (Ex_CC_N3
)</t>
        </r>
      </text>
    </comment>
    <comment ref="E57" authorId="1" shapeId="0">
      <text>
        <r>
          <rPr>
            <b/>
            <sz val="9"/>
            <rFont val="Tahoma"/>
            <family val="2"/>
          </rPr>
          <t>MF / DNOCP - Suzete Maria da Paz Teixeira:</t>
        </r>
        <r>
          <rPr>
            <sz val="9"/>
            <rFont val="Tahoma"/>
            <family val="2"/>
          </rPr>
          <t xml:space="preserve">
vide regularização no GRE</t>
        </r>
      </text>
    </comment>
    <comment ref="E63" authorId="1" shapeId="0">
      <text>
        <r>
          <rPr>
            <b/>
            <sz val="9"/>
            <rFont val="Tahoma"/>
            <family val="2"/>
          </rPr>
          <t>MF / DNOCP - Suzete Maria da Paz Teixeira:</t>
        </r>
        <r>
          <rPr>
            <sz val="9"/>
            <rFont val="Tahoma"/>
            <family val="2"/>
          </rPr>
          <t xml:space="preserve">
vide regularização no GRE</t>
        </r>
      </text>
    </comment>
    <comment ref="D70" authorId="2" shapeId="0">
      <text>
        <r>
          <rPr>
            <b/>
            <sz val="9"/>
            <rFont val="Tahoma"/>
            <family val="2"/>
            <charset val="1"/>
          </rPr>
          <t>MF / DNOCP / Dirª Serv  - Recilete Delgado Joia:</t>
        </r>
        <r>
          <rPr>
            <sz val="9"/>
            <rFont val="Tahoma"/>
            <family val="2"/>
            <charset val="1"/>
          </rPr>
          <t xml:space="preserve">
despesas correntes: deve ser classificado na rubrica subsidios</t>
        </r>
      </text>
    </comment>
    <comment ref="H72" authorId="1" shapeId="0">
      <text>
        <r>
          <rPr>
            <b/>
            <sz val="9"/>
            <rFont val="Tahoma"/>
            <family val="2"/>
          </rPr>
          <t>MF / DNOCP - Suzete Maria da Paz Teixeira:</t>
        </r>
        <r>
          <rPr>
            <sz val="9"/>
            <rFont val="Tahoma"/>
            <family val="2"/>
          </rPr>
          <t xml:space="preserve">
VALOR POR REGULARIZAR</t>
        </r>
      </text>
    </comment>
  </commentList>
</comments>
</file>

<file path=xl/sharedStrings.xml><?xml version="1.0" encoding="utf-8"?>
<sst xmlns="http://schemas.openxmlformats.org/spreadsheetml/2006/main" count="23263" uniqueCount="1118">
  <si>
    <t>Saldo Global em % do PIB</t>
  </si>
  <si>
    <t>Jan</t>
  </si>
  <si>
    <t>Fev</t>
  </si>
  <si>
    <t>Mar</t>
  </si>
  <si>
    <t>Abr</t>
  </si>
  <si>
    <t>Mai</t>
  </si>
  <si>
    <t xml:space="preserve">Saldo Global em Milhões </t>
  </si>
  <si>
    <t>Mapa I - Receitas por Classificação Económica</t>
  </si>
  <si>
    <t>2021</t>
  </si>
  <si>
    <t>Orç.</t>
  </si>
  <si>
    <t xml:space="preserve">Conta </t>
  </si>
  <si>
    <t>Jul</t>
  </si>
  <si>
    <t>Ago</t>
  </si>
  <si>
    <t>Out</t>
  </si>
  <si>
    <t>Nov</t>
  </si>
  <si>
    <t>CGE</t>
  </si>
  <si>
    <t xml:space="preserve">Jul </t>
  </si>
  <si>
    <t>Reprog.</t>
  </si>
  <si>
    <t>Conta I Trim</t>
  </si>
  <si>
    <t>Conta II Trim</t>
  </si>
  <si>
    <t>Conta III trim</t>
  </si>
  <si>
    <t>Maio</t>
  </si>
  <si>
    <t>Conta IV Trim</t>
  </si>
  <si>
    <t>Orç</t>
  </si>
  <si>
    <t>Jun</t>
  </si>
  <si>
    <t>Set</t>
  </si>
  <si>
    <t>Dez</t>
  </si>
  <si>
    <t>Grau Exec.</t>
  </si>
  <si>
    <t xml:space="preserve">Tax. hom </t>
  </si>
  <si>
    <t>21/20</t>
  </si>
  <si>
    <t>I Trim</t>
  </si>
  <si>
    <t>II Trim</t>
  </si>
  <si>
    <t>III Trim</t>
  </si>
  <si>
    <t>Inicial</t>
  </si>
  <si>
    <t>Ret.</t>
  </si>
  <si>
    <t>Imp. Indirectos</t>
  </si>
  <si>
    <t>Impostos</t>
  </si>
  <si>
    <t xml:space="preserve">Imp. Directos </t>
  </si>
  <si>
    <t>Imposto único sobre rendimentos</t>
  </si>
  <si>
    <t>Outros Impostos Indiretos</t>
  </si>
  <si>
    <t>IR-PS</t>
  </si>
  <si>
    <t>IR-PC</t>
  </si>
  <si>
    <t>Outros impostos directos</t>
  </si>
  <si>
    <t>Tributo Especial Unificado - TEU</t>
  </si>
  <si>
    <t>Imposto sobre bens e serviços</t>
  </si>
  <si>
    <t xml:space="preserve"> Imposto sobre o valor acrescentado</t>
  </si>
  <si>
    <t xml:space="preserve"> IVA DGA</t>
  </si>
  <si>
    <t xml:space="preserve"> IVA DGCI</t>
  </si>
  <si>
    <t xml:space="preserve">TOTAL </t>
  </si>
  <si>
    <t>Imposto para serviços de incêndio</t>
  </si>
  <si>
    <t>Imposto consumo especial</t>
  </si>
  <si>
    <t>Impostos diversos sobre serviços</t>
  </si>
  <si>
    <t>Imposto de turismo</t>
  </si>
  <si>
    <t>Contribuição turística</t>
  </si>
  <si>
    <t>Outras diversas</t>
  </si>
  <si>
    <t>Taxa ecológica</t>
  </si>
  <si>
    <t>Impostos sobre transações internacionais</t>
  </si>
  <si>
    <t>Direitos de importação</t>
  </si>
  <si>
    <t>Taxa comunitaria CEDEAO</t>
  </si>
  <si>
    <t>Outros impostos</t>
  </si>
  <si>
    <t>Imposto de selo</t>
  </si>
  <si>
    <t>Imposto especial sobre jogos</t>
  </si>
  <si>
    <t>Outros</t>
  </si>
  <si>
    <t>Segurança Social</t>
  </si>
  <si>
    <t>Taxa social única</t>
  </si>
  <si>
    <t>Contribuições para a segurança social</t>
  </si>
  <si>
    <t>Outras Contribuições</t>
  </si>
  <si>
    <t>Transferências</t>
  </si>
  <si>
    <t>De Governos Estrangeiros</t>
  </si>
  <si>
    <t>Ajuda Orçamental</t>
  </si>
  <si>
    <t xml:space="preserve">Ajuda Alimentar </t>
  </si>
  <si>
    <t>Donativos directos</t>
  </si>
  <si>
    <t>Outras</t>
  </si>
  <si>
    <t>De Organizações Internacionais</t>
  </si>
  <si>
    <t>Das Administrações Públicas</t>
  </si>
  <si>
    <t>-</t>
  </si>
  <si>
    <t>Outras Receitas</t>
  </si>
  <si>
    <t>Rendimentos de propriedade</t>
  </si>
  <si>
    <t>Venda de bens e serviços</t>
  </si>
  <si>
    <t>Multas e outras penalidades</t>
  </si>
  <si>
    <t>Outras transferências</t>
  </si>
  <si>
    <t>Outras receitas diversas e não especificadas</t>
  </si>
  <si>
    <t>Receitas</t>
  </si>
  <si>
    <t>Ativos e Passivos</t>
  </si>
  <si>
    <t>Ativos não Financeiros</t>
  </si>
  <si>
    <t>TOTAL RECEITAS</t>
  </si>
  <si>
    <t>Mapa II - Despesa por Classificação Económica</t>
  </si>
  <si>
    <t>Conta</t>
  </si>
  <si>
    <t>Conta III Trim</t>
  </si>
  <si>
    <t>Orç. Inicial</t>
  </si>
  <si>
    <t>Orç. Ret.</t>
  </si>
  <si>
    <t>Var. Hom.</t>
  </si>
  <si>
    <t>Despesas com Pessoal</t>
  </si>
  <si>
    <t xml:space="preserve">   Remuneração Certas e Permanentes</t>
  </si>
  <si>
    <t xml:space="preserve">   Segurança Social</t>
  </si>
  <si>
    <t>Aquisição de Bens e Serviços</t>
  </si>
  <si>
    <t>Juros Correntes</t>
  </si>
  <si>
    <t xml:space="preserve">   Dívida interna</t>
  </si>
  <si>
    <t xml:space="preserve">   Dívida externa</t>
  </si>
  <si>
    <t>Outros encargos</t>
  </si>
  <si>
    <t>Subsidios</t>
  </si>
  <si>
    <t>Transferências Correntes</t>
  </si>
  <si>
    <t xml:space="preserve">   Governos Estrangeiros</t>
  </si>
  <si>
    <t>Organismos Internacionais</t>
  </si>
  <si>
    <t>Administração pública</t>
  </si>
  <si>
    <t>Benefícios Sociais</t>
  </si>
  <si>
    <t>Outras Despesas Correntes</t>
  </si>
  <si>
    <t>Valor a regularizar</t>
  </si>
  <si>
    <t xml:space="preserve">Despesas </t>
  </si>
  <si>
    <t>TOTAL DESPESAS</t>
  </si>
  <si>
    <t>Programação Mensal</t>
  </si>
  <si>
    <t xml:space="preserve">Orç. </t>
  </si>
  <si>
    <t>jun</t>
  </si>
  <si>
    <t xml:space="preserve">Grau Exec.
</t>
  </si>
  <si>
    <t xml:space="preserve">Tax. Hom </t>
  </si>
  <si>
    <t>Desvio</t>
  </si>
  <si>
    <t>CVE</t>
  </si>
  <si>
    <t>%</t>
  </si>
  <si>
    <t>1. Total Receitas</t>
  </si>
  <si>
    <t>1.1 - Receitas Correntes (excluindo donativos)</t>
  </si>
  <si>
    <t>Transferências (donativos)</t>
  </si>
  <si>
    <t>2. Total Despesas</t>
  </si>
  <si>
    <t>Beneficios Sociais</t>
  </si>
  <si>
    <t>Outras despesas correntes</t>
  </si>
  <si>
    <t>3. Resultado Operacional Bruto</t>
  </si>
  <si>
    <t>4. Ativos não Financeiros</t>
  </si>
  <si>
    <t>Compra ativos não financeiros</t>
  </si>
  <si>
    <t>Venda ativos não financeiros</t>
  </si>
  <si>
    <r>
      <t xml:space="preserve">5. Global  Global </t>
    </r>
    <r>
      <rPr>
        <sz val="10"/>
        <color indexed="8"/>
        <rFont val="Sources sans"/>
        <family val="2"/>
      </rPr>
      <t>(1-2-4)</t>
    </r>
  </si>
  <si>
    <t xml:space="preserve">    Saldo global (em percentagem do PIB)</t>
  </si>
  <si>
    <t xml:space="preserve">    Saldo global excluindo transferências(donativos)</t>
  </si>
  <si>
    <t xml:space="preserve">    Saldo Corrente (1.1-2.1)</t>
  </si>
  <si>
    <t xml:space="preserve">    Saldo Corrente (em percentagem do PIB)</t>
  </si>
  <si>
    <t xml:space="preserve">    Saldo Corrente Primario (em percentagem do PIB)</t>
  </si>
  <si>
    <t xml:space="preserve">    Saldo global Primário (5+juros)</t>
  </si>
  <si>
    <t xml:space="preserve">    Saldo global Primário (em percentagem do PIB)</t>
  </si>
  <si>
    <t>6. Financiamento</t>
  </si>
  <si>
    <t xml:space="preserve">    6.1 Ativos Financeiros</t>
  </si>
  <si>
    <t xml:space="preserve">    Empréstimo  Concedidos Mi - Amortizações</t>
  </si>
  <si>
    <t xml:space="preserve">    Empréstimos  Concedidos Mi - Concedidos </t>
  </si>
  <si>
    <t xml:space="preserve">    Acções e Outras Participações Mi - Aquisição </t>
  </si>
  <si>
    <t xml:space="preserve"> Acções e Outras Participações ME</t>
  </si>
  <si>
    <t xml:space="preserve"> Acções e Outras Participações MI - Alienação</t>
  </si>
  <si>
    <t xml:space="preserve"> Depositos Cert. Poup. MI - Constituições</t>
  </si>
  <si>
    <t xml:space="preserve">    Depositos Cert. Poup. Mi - Levantamentos</t>
  </si>
  <si>
    <t xml:space="preserve"> Outros activos</t>
  </si>
  <si>
    <t xml:space="preserve">    6.2 Passivos Financeiros</t>
  </si>
  <si>
    <t>Interno líquido</t>
  </si>
  <si>
    <t xml:space="preserve">    Sistema bancário</t>
  </si>
  <si>
    <t xml:space="preserve">    Emprestimos obtidos Pmi - Aquisições </t>
  </si>
  <si>
    <t xml:space="preserve">    Empréstimos obtidos Pmi - Amortizações</t>
  </si>
  <si>
    <t xml:space="preserve">    Emprestimos concedidos </t>
  </si>
  <si>
    <t xml:space="preserve">    Empréstimos obtidos Pmi - Amortizações Leasing</t>
  </si>
  <si>
    <t xml:space="preserve">    Outras Operações do Tesouro</t>
  </si>
  <si>
    <t xml:space="preserve">    Outros passivos*</t>
  </si>
  <si>
    <t xml:space="preserve">    Despesa por compensar na conta do Tesouro no BCV</t>
  </si>
  <si>
    <t xml:space="preserve">    Pagamento de Cheques e transferência em trânsito </t>
  </si>
  <si>
    <t xml:space="preserve">    Outras operações de tesouraria</t>
  </si>
  <si>
    <t xml:space="preserve">    Sistema não bancário</t>
  </si>
  <si>
    <t xml:space="preserve">         dq: encargos c/ reestrut. Empresas púb.</t>
  </si>
  <si>
    <t>Externo líquido</t>
  </si>
  <si>
    <t xml:space="preserve">    Emprestimos obtidos Pme - Aquisições </t>
  </si>
  <si>
    <t xml:space="preserve">    Emprestimos obtidos Pme - Amortizações  </t>
  </si>
  <si>
    <t>7.GAP Financiamento (5 - 6)</t>
  </si>
  <si>
    <t>PIB</t>
  </si>
  <si>
    <t>Clas.Econ.</t>
  </si>
  <si>
    <t>Designação</t>
  </si>
  <si>
    <t>Janeiro</t>
  </si>
  <si>
    <t>Fevereiro</t>
  </si>
  <si>
    <t>Março</t>
  </si>
  <si>
    <t>Abril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</si>
  <si>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</si>
  <si>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</si>
  <si>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</si>
  <si>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</si>
  <si>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</si>
  <si>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</si>
  <si>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</si>
  <si>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Total Geral </t>
  </si>
  <si>
    <t>01.01</t>
  </si>
  <si>
    <t>IMPOSTOS</t>
  </si>
  <si>
    <t>01.01.01</t>
  </si>
  <si>
    <t>Impostos sobre o rendimento (IUR)</t>
  </si>
  <si>
    <t>01.01.01.01</t>
  </si>
  <si>
    <t>Pessoas singulares</t>
  </si>
  <si>
    <t>01.01.01.02</t>
  </si>
  <si>
    <t>Pessoas colectivas</t>
  </si>
  <si>
    <t>01.01.02</t>
  </si>
  <si>
    <t>01.01.03</t>
  </si>
  <si>
    <t xml:space="preserve">Imposto sobre o Património </t>
  </si>
  <si>
    <t>01.01.03.01</t>
  </si>
  <si>
    <t>Imposto único sobre o património</t>
  </si>
  <si>
    <t>01.01.03.01.01</t>
  </si>
  <si>
    <t>01.01.03.01.02</t>
  </si>
  <si>
    <t>01.01.03.02</t>
  </si>
  <si>
    <t>Outros impostos correntes sobre o património</t>
  </si>
  <si>
    <t>01.01.03.02.01</t>
  </si>
  <si>
    <t>01.01.03.02.02</t>
  </si>
  <si>
    <t>Outros Impostos Correntes Sobre O Património - Pc</t>
  </si>
  <si>
    <t>01.01.04</t>
  </si>
  <si>
    <t>Impostos sobre bens e serviços</t>
  </si>
  <si>
    <t>01.01.04.01</t>
  </si>
  <si>
    <t>Sobre bens e serviços</t>
  </si>
  <si>
    <t>01.01.04.01.01</t>
  </si>
  <si>
    <t>Imposto sobre o valor acrescentado (IVA)</t>
  </si>
  <si>
    <t>DA</t>
  </si>
  <si>
    <t>DCI</t>
  </si>
  <si>
    <t>01.01.04.01.02</t>
  </si>
  <si>
    <t>Sobre vendas</t>
  </si>
  <si>
    <t>01.01.04.01.02.01</t>
  </si>
  <si>
    <t>Imposto para os serviços de incêndio</t>
  </si>
  <si>
    <t>01.01.04.02</t>
  </si>
  <si>
    <t>Sobre o consumo</t>
  </si>
  <si>
    <t>01.01.04.02.01</t>
  </si>
  <si>
    <t>Imposto sobre consumos especiais</t>
  </si>
  <si>
    <t>01.01.04.03</t>
  </si>
  <si>
    <t>Impostos cobrados por outras entidades</t>
  </si>
  <si>
    <t>01.01.04.04</t>
  </si>
  <si>
    <t>01.01.04.04.01</t>
  </si>
  <si>
    <t>01.01.04.04.02</t>
  </si>
  <si>
    <t>Contribuição Turística</t>
  </si>
  <si>
    <t>01.01.04.04.09</t>
  </si>
  <si>
    <t>Outros diversos</t>
  </si>
  <si>
    <t>01.01.04.05</t>
  </si>
  <si>
    <t>01.01.04.05.01</t>
  </si>
  <si>
    <t>Imposto de circulação de veículos automóveis</t>
  </si>
  <si>
    <t>01.01.04.05.02</t>
  </si>
  <si>
    <t>01.01.04.06</t>
  </si>
  <si>
    <t>Outros impostos diversos sobre bens e serviços</t>
  </si>
  <si>
    <t>01.01.05</t>
  </si>
  <si>
    <t>Imposto sobre transacções internacionais</t>
  </si>
  <si>
    <t>01.01.05.01</t>
  </si>
  <si>
    <t>01.01.05.02</t>
  </si>
  <si>
    <t>Taxa comunitária CEDEAO</t>
  </si>
  <si>
    <t>01.01.05.04</t>
  </si>
  <si>
    <t>Serviços de importação – exportação</t>
  </si>
  <si>
    <t>01.01.06</t>
  </si>
  <si>
    <t>01.01.06.01</t>
  </si>
  <si>
    <t>01.01.06.01.02</t>
  </si>
  <si>
    <t xml:space="preserve">   Selo de verba</t>
  </si>
  <si>
    <t>01.01.06.02</t>
  </si>
  <si>
    <t>Imposto Especial sobre jogos</t>
  </si>
  <si>
    <t>01.01.06.01.01</t>
  </si>
  <si>
    <t>01.01.06.01.04</t>
  </si>
  <si>
    <t>Outros (Selo)</t>
  </si>
  <si>
    <t>01.02</t>
  </si>
  <si>
    <t>SEGURANÇA SOCIAL</t>
  </si>
  <si>
    <t>01.02.01</t>
  </si>
  <si>
    <t>01.02.01.01</t>
  </si>
  <si>
    <t>01.02.01.02</t>
  </si>
  <si>
    <t>Contribuições para a Caixa de Aposentações e Pensões</t>
  </si>
  <si>
    <t>01.02.01.03</t>
  </si>
  <si>
    <t>Contribuição para a previdência social</t>
  </si>
  <si>
    <t>01.02.01.04</t>
  </si>
  <si>
    <t>Contrapartidas financeiras de organismos da segurança social Estrangeiras</t>
  </si>
  <si>
    <t>01.02.01.09</t>
  </si>
  <si>
    <t>Outras contribuições</t>
  </si>
  <si>
    <t>01.03</t>
  </si>
  <si>
    <t>TRANSFERÊNCIAS</t>
  </si>
  <si>
    <t>01.03.01</t>
  </si>
  <si>
    <t>De Governos estrangeiros</t>
  </si>
  <si>
    <t>01.03.01.01</t>
  </si>
  <si>
    <t>Correntes</t>
  </si>
  <si>
    <t>01.03.01.01.01</t>
  </si>
  <si>
    <t>Ajuda orçamental</t>
  </si>
  <si>
    <t>01.03.01.01.02</t>
  </si>
  <si>
    <t>Ajuda alimentar</t>
  </si>
  <si>
    <t>01.03.01.01.03</t>
  </si>
  <si>
    <t>01.03.01.01.09</t>
  </si>
  <si>
    <t>01.03.01.02</t>
  </si>
  <si>
    <t>Capital</t>
  </si>
  <si>
    <t>01.03.01.02.01</t>
  </si>
  <si>
    <t>01.03.01.02.02</t>
  </si>
  <si>
    <t>01.03.01.02.03</t>
  </si>
  <si>
    <t>01.03.01.02.09</t>
  </si>
  <si>
    <t>01.03.02</t>
  </si>
  <si>
    <t>De Organizações internacionais</t>
  </si>
  <si>
    <t>01.03.02.01</t>
  </si>
  <si>
    <t>01.03.02.02</t>
  </si>
  <si>
    <t>01.03.03</t>
  </si>
  <si>
    <t>Das administrações públicas</t>
  </si>
  <si>
    <t>01.03.03.01</t>
  </si>
  <si>
    <t>01.03.03.01.01</t>
  </si>
  <si>
    <t>Administração Central</t>
  </si>
  <si>
    <t>01.03.03.01.02</t>
  </si>
  <si>
    <t>Outras da Administração Pública</t>
  </si>
  <si>
    <t>01.03.03.01.03</t>
  </si>
  <si>
    <t>Fundos E Serviços Autónomos</t>
  </si>
  <si>
    <t>01.03.03.01.09</t>
  </si>
  <si>
    <t>Outras Transferencias Correntes Administração Publica</t>
  </si>
  <si>
    <t>01.03.03.02</t>
  </si>
  <si>
    <t xml:space="preserve">  Administração Central</t>
  </si>
  <si>
    <t>01.04</t>
  </si>
  <si>
    <t>OUTRAS RECEITAS</t>
  </si>
  <si>
    <t>01.04.01</t>
  </si>
  <si>
    <t xml:space="preserve">Rendimentos de propriedade </t>
  </si>
  <si>
    <t>01.04.01.01</t>
  </si>
  <si>
    <t>Juros</t>
  </si>
  <si>
    <t>01.04.01.02</t>
  </si>
  <si>
    <t>Dividendos</t>
  </si>
  <si>
    <t>01.04.01.03</t>
  </si>
  <si>
    <t>Dividendos de quase sociedades</t>
  </si>
  <si>
    <t>01.04.01.04</t>
  </si>
  <si>
    <t>Receitas provenientes de reservas técnicas</t>
  </si>
  <si>
    <t>01.04.01.05</t>
  </si>
  <si>
    <t>Rendas</t>
  </si>
  <si>
    <t>01.04.01.05.01</t>
  </si>
  <si>
    <t>De concessões aeroportuárias</t>
  </si>
  <si>
    <t>01.04.01.05.02</t>
  </si>
  <si>
    <t>De concessões portuárias</t>
  </si>
  <si>
    <t>01.04.01.05.03</t>
  </si>
  <si>
    <t>De outras concessões</t>
  </si>
  <si>
    <t>01.04.01.05.04</t>
  </si>
  <si>
    <t>De terrenos</t>
  </si>
  <si>
    <t>01.04.01.05.05</t>
  </si>
  <si>
    <t>De habitações</t>
  </si>
  <si>
    <t>01.04.01.05.06</t>
  </si>
  <si>
    <t>De edifícios</t>
  </si>
  <si>
    <t>01.04.01.05.07</t>
  </si>
  <si>
    <t>Outras rendas</t>
  </si>
  <si>
    <t>01.04.01.05.09</t>
  </si>
  <si>
    <t>Outros rendimentos de propriedade</t>
  </si>
  <si>
    <t>01.04.02</t>
  </si>
  <si>
    <t>01.04.02.01</t>
  </si>
  <si>
    <t>Venda de bens correntes</t>
  </si>
  <si>
    <t>01.04.02.01.01</t>
  </si>
  <si>
    <t>Mercadorias</t>
  </si>
  <si>
    <t>01.04.02.01.02</t>
  </si>
  <si>
    <t>Bens inutilizados</t>
  </si>
  <si>
    <t>01.04.02.01.03</t>
  </si>
  <si>
    <t>Publicações e impressos</t>
  </si>
  <si>
    <t>01.04.02.01.04</t>
  </si>
  <si>
    <t>Bens e resíduos e materiais recuperados</t>
  </si>
  <si>
    <t>01.04.02.01.05</t>
  </si>
  <si>
    <t>Embalagens e vasilhame</t>
  </si>
  <si>
    <t>01.04.02.01.06</t>
  </si>
  <si>
    <t>Venda de medicamentos</t>
  </si>
  <si>
    <t>01.04.02.01.07</t>
  </si>
  <si>
    <t>Venda de água</t>
  </si>
  <si>
    <t>01.04.02.01.09</t>
  </si>
  <si>
    <t>01.04.02.02</t>
  </si>
  <si>
    <t>Taxas de Prestação de Serviços</t>
  </si>
  <si>
    <t>01.04.02.02.01</t>
  </si>
  <si>
    <t>Prestação de serviços</t>
  </si>
  <si>
    <t>01.04.02.02.01.00.01</t>
  </si>
  <si>
    <t>Taxas de serviços de passaportes</t>
  </si>
  <si>
    <t>01.04.02.02.01.00.02</t>
  </si>
  <si>
    <t>Taxas de serviços agrícolas e pecuários</t>
  </si>
  <si>
    <t>01.04.02.02.01.00.03</t>
  </si>
  <si>
    <t>Taxas de serviços de sanidade</t>
  </si>
  <si>
    <t>01.04.02.02.01.00.04</t>
  </si>
  <si>
    <t>Taxas de serviços policiais</t>
  </si>
  <si>
    <t>01.04.02.02.01.00.05</t>
  </si>
  <si>
    <t>Taxas de serviços de viação</t>
  </si>
  <si>
    <t>01.04.02.02.01.00.06</t>
  </si>
  <si>
    <t>Taxa de serviço de manutenção rodoviária</t>
  </si>
  <si>
    <t>01.04.02.02.01.00.07</t>
  </si>
  <si>
    <t>Taxas de serviços de comércio</t>
  </si>
  <si>
    <t>01.04.02.02.01.00.08</t>
  </si>
  <si>
    <t>Taxas de exploração de água</t>
  </si>
  <si>
    <t>01.04.02.02.01.00.09</t>
  </si>
  <si>
    <t>Taxas de serviços de secretaria</t>
  </si>
  <si>
    <t>01.04.02.02.01.01.02</t>
  </si>
  <si>
    <t>Taxa de ocupação do domínio público e aproveitamento dos bens de utilização</t>
  </si>
  <si>
    <t>01.04.02.02.01.01.06</t>
  </si>
  <si>
    <t>Taxa de licenciamento de sanitários das instalações</t>
  </si>
  <si>
    <t>01.04.02.02.01.02.05</t>
  </si>
  <si>
    <t>Taxa pela extracção de materiais inertes em explorações particulares a céu aberto</t>
  </si>
  <si>
    <t>01.04.02.02.01.03.04</t>
  </si>
  <si>
    <t>Taxa pela emissão de outras licenças não previstas nas rubricas anteriores</t>
  </si>
  <si>
    <t>01.04.02.02.01.03.05</t>
  </si>
  <si>
    <t>Taxas de incêndio</t>
  </si>
  <si>
    <t>01.04.02.02.01.03.06</t>
  </si>
  <si>
    <t>Taxas de estatisticas</t>
  </si>
  <si>
    <t>01.04.02.02.01.04</t>
  </si>
  <si>
    <t>Taxa De Segurança Aeroportuária</t>
  </si>
  <si>
    <t>01.04.02.02.01.07</t>
  </si>
  <si>
    <t>Taxa Turistico</t>
  </si>
  <si>
    <t>01.04.02.02.01.08</t>
  </si>
  <si>
    <t>Taxa de Compensação Equitativa pela Cópia Priivada</t>
  </si>
  <si>
    <t>01.04.02.02.01.09.09</t>
  </si>
  <si>
    <t>Outras taxas</t>
  </si>
  <si>
    <t>01.04.02.02.01.10</t>
  </si>
  <si>
    <t xml:space="preserve">Taxa De Segurança Maritima  </t>
  </si>
  <si>
    <t>01.04.02.02.01.12</t>
  </si>
  <si>
    <t>Taxa de Serviço  de Título de Residência de Estrangeiros</t>
  </si>
  <si>
    <t>01.04.02.02.01.13</t>
  </si>
  <si>
    <t xml:space="preserve">Taxa de Vistória de Abertura e Renovação </t>
  </si>
  <si>
    <t>01.04.02.02.01.14</t>
  </si>
  <si>
    <t>Declaração ou Emisão de Tíítulos</t>
  </si>
  <si>
    <t>01.04.02.02.02</t>
  </si>
  <si>
    <t>Emolumentos e custas</t>
  </si>
  <si>
    <t>01.04.02.02.02.01</t>
  </si>
  <si>
    <t>Emolumentos de portos e capitanias</t>
  </si>
  <si>
    <t>01.04.02.02.02.02</t>
  </si>
  <si>
    <t>Emolumentos  e custas judiciais</t>
  </si>
  <si>
    <t>01.04.02.02.02.03</t>
  </si>
  <si>
    <t>Emolumentos dos registos e notariado</t>
  </si>
  <si>
    <t>01.04.02.02.02.09</t>
  </si>
  <si>
    <t>Outros emolumentos e custas</t>
  </si>
  <si>
    <t>01.04.02.03</t>
  </si>
  <si>
    <t>Taxas de outros serviços</t>
  </si>
  <si>
    <t>01.04.02.03.01</t>
  </si>
  <si>
    <t>Serviços medico hospitalares</t>
  </si>
  <si>
    <t>01.04.02.03.02</t>
  </si>
  <si>
    <t>Serviços das oficinas do Estado</t>
  </si>
  <si>
    <t>01.04.02.03.03</t>
  </si>
  <si>
    <t>Serviços dos recursos agro-florestais</t>
  </si>
  <si>
    <t>01.04.02.03.09</t>
  </si>
  <si>
    <t>01.04.02.04</t>
  </si>
  <si>
    <t>Emolumentos pessoais</t>
  </si>
  <si>
    <t>01.04.02.04.01</t>
  </si>
  <si>
    <t>Serviços de portos e capitania</t>
  </si>
  <si>
    <t>01.04.02.04.02</t>
  </si>
  <si>
    <t>Serviços de justiça</t>
  </si>
  <si>
    <t>01.04.02.04.03</t>
  </si>
  <si>
    <t>Serviços dos registos e notariado</t>
  </si>
  <si>
    <t>01.04.02.04.04</t>
  </si>
  <si>
    <t>Serviços judiciais do contencioso aduaneiro</t>
  </si>
  <si>
    <t>01.04.02.04.05</t>
  </si>
  <si>
    <t>Custas judiciais</t>
  </si>
  <si>
    <t>01.04.02.04.06</t>
  </si>
  <si>
    <t>Serviços aduaneiros e guarda-fiscal</t>
  </si>
  <si>
    <t>01.04.02.04.07</t>
  </si>
  <si>
    <t>Serviços de administração financeira</t>
  </si>
  <si>
    <t>01.04.02.04.08</t>
  </si>
  <si>
    <t>Serviços de polícia e fronteiras</t>
  </si>
  <si>
    <t>01.04.02.04.09</t>
  </si>
  <si>
    <t>Serviços diversos</t>
  </si>
  <si>
    <t>01.04.03</t>
  </si>
  <si>
    <t>01.04.03.01</t>
  </si>
  <si>
    <t>Multas por infracções ao código da estrada</t>
  </si>
  <si>
    <t>01.04.03.02</t>
  </si>
  <si>
    <t>Multas por proibição de entrada de menores em locais de diversão nocturna</t>
  </si>
  <si>
    <t>01.04.03.03</t>
  </si>
  <si>
    <t>Multas aplicadas pelos tribunais nos processos fiscais e aduaneiros</t>
  </si>
  <si>
    <t>01.04.03.04</t>
  </si>
  <si>
    <t>Taxa de relaxe</t>
  </si>
  <si>
    <t>01.04.03.06</t>
  </si>
  <si>
    <t>Juros de mora</t>
  </si>
  <si>
    <t>01.04.03.07</t>
  </si>
  <si>
    <t>01.04.03.09</t>
  </si>
  <si>
    <t xml:space="preserve"> Outras Multas e outras penalidades</t>
  </si>
  <si>
    <t>01.04.03.08</t>
  </si>
  <si>
    <t>Coimas</t>
  </si>
  <si>
    <t>01.04.04</t>
  </si>
  <si>
    <t>Outras Transferências</t>
  </si>
  <si>
    <t>01.04.04.01</t>
  </si>
  <si>
    <t xml:space="preserve"> Outras Tranfêrencias Correntes</t>
  </si>
  <si>
    <t>01.04.04.03</t>
  </si>
  <si>
    <t>Serviços consulares</t>
  </si>
  <si>
    <t>01.04.04.02</t>
  </si>
  <si>
    <t>01.04.05</t>
  </si>
  <si>
    <t>01.04.05.01</t>
  </si>
  <si>
    <t>Receitas do totoloto nacional</t>
  </si>
  <si>
    <t>01.04.05.02</t>
  </si>
  <si>
    <t>Reposições não abatidas nos pagamentos</t>
  </si>
  <si>
    <t>01.04.05.03</t>
  </si>
  <si>
    <t>Devoluções</t>
  </si>
  <si>
    <t>01.04.05.09</t>
  </si>
  <si>
    <t>Outras Receitas  Não Especificadas</t>
  </si>
  <si>
    <t>TOTAL GERAL</t>
  </si>
  <si>
    <t>03 - Activos e Passivos</t>
  </si>
  <si>
    <t>03.01</t>
  </si>
  <si>
    <t>ATIVOS FINANCEIROS</t>
  </si>
  <si>
    <t>03.01.01</t>
  </si>
  <si>
    <t>Activos Fixos</t>
  </si>
  <si>
    <t>03.01.01.01.01.01.02</t>
  </si>
  <si>
    <t>Residências Civis - Vendas</t>
  </si>
  <si>
    <t>03.01.01.01.06.02</t>
  </si>
  <si>
    <t>Outras Construções - Vendas</t>
  </si>
  <si>
    <t>03.01.01.01.01.02.02</t>
  </si>
  <si>
    <t>Residências Civis  Militares- Vendas</t>
  </si>
  <si>
    <t>03.01.01.02.01.01.02</t>
  </si>
  <si>
    <t>viaturas ligeiras de passageiros- vendas</t>
  </si>
  <si>
    <t>03.01.01.02.01.07.02</t>
  </si>
  <si>
    <t>Vendas de barcos</t>
  </si>
  <si>
    <t>03.01.01.02.01.08.02</t>
  </si>
  <si>
    <t>Aviões - Vendas</t>
  </si>
  <si>
    <t>03.01.01.02.04.02</t>
  </si>
  <si>
    <t>Outra Maquinaria E Equipamento - Vendas</t>
  </si>
  <si>
    <t>03.01.04</t>
  </si>
  <si>
    <t>Recursos naturais</t>
  </si>
  <si>
    <t>03.01.04.01.02.02</t>
  </si>
  <si>
    <t>Terrenos Do Domínio Privado - Vendas</t>
  </si>
  <si>
    <t>03.01.04.04.01.02</t>
  </si>
  <si>
    <t>Propriedade Industrial E Outros Direito-Vendas</t>
  </si>
  <si>
    <t>Total Geral</t>
  </si>
  <si>
    <t xml:space="preserve">GRE </t>
  </si>
  <si>
    <t>DIF TABELA E JUST DNRE</t>
  </si>
  <si>
    <t>Total</t>
  </si>
  <si>
    <t>RECEITAS DGA</t>
  </si>
  <si>
    <t>01 - RECEITAS</t>
  </si>
  <si>
    <t>Multas e Outras Penalidades=</t>
  </si>
  <si>
    <t>IVA - DA</t>
  </si>
  <si>
    <t>Outras Taxas:</t>
  </si>
  <si>
    <t>OUTRAS TAXAS DIVERSAS+ TAXA ESPECÍFICA SOBRE TABACO</t>
  </si>
  <si>
    <t>Outras receitas</t>
  </si>
  <si>
    <t>Outras Multas e outras penalidades</t>
  </si>
  <si>
    <t>TOTAL  DGA</t>
  </si>
  <si>
    <t xml:space="preserve">Transferências </t>
  </si>
  <si>
    <t>RO_N2</t>
  </si>
  <si>
    <t>RO_N3</t>
  </si>
  <si>
    <t>Soma de VALOR_INICIAL</t>
  </si>
  <si>
    <t>Soma de VALOR_ATUAL</t>
  </si>
  <si>
    <t>Soma de VALOR_LIQUIDADO</t>
  </si>
  <si>
    <t>Soma de VALOR_PAGO</t>
  </si>
  <si>
    <t>02.01-Despesas com pessoal</t>
  </si>
  <si>
    <t>02.01.01-Remunerações certas e permanentes</t>
  </si>
  <si>
    <t>02.01.02-Segurança Social</t>
  </si>
  <si>
    <t>02.01-Despesas com pessoal Total</t>
  </si>
  <si>
    <t>02.02-Aquisição de bens e serviços</t>
  </si>
  <si>
    <t>02.02.01-Aquisição de bens</t>
  </si>
  <si>
    <t>Acima da linha</t>
  </si>
  <si>
    <t>02.02.02-Aquisição De Serviços</t>
  </si>
  <si>
    <t>Emprestimos concedidos - SUBSÍDIOS Empresas Privadas</t>
  </si>
  <si>
    <t>02.02-Aquisição de bens e serviços Total</t>
  </si>
  <si>
    <t>Emprestimos concedidos - SUBSÍDIOS Empresas Públicas</t>
  </si>
  <si>
    <t>02.04-Juros e outros encargos</t>
  </si>
  <si>
    <t>02.04.01-Juros da dívida externa</t>
  </si>
  <si>
    <t xml:space="preserve">   Aquisição de bens e serviços</t>
  </si>
  <si>
    <t>02.04.02-Juros Da Dívida Interna</t>
  </si>
  <si>
    <t xml:space="preserve">   Despesa com Pessoal</t>
  </si>
  <si>
    <t>02.04.03-Outros encargos</t>
  </si>
  <si>
    <t>Abaixo da linha</t>
  </si>
  <si>
    <t>02.04-Juros e outros encargos Total</t>
  </si>
  <si>
    <t>Ações e outras participações</t>
  </si>
  <si>
    <t>02.05-Subsidíos</t>
  </si>
  <si>
    <t>02.05.01-A Empresas Públicas</t>
  </si>
  <si>
    <t>02.05.02-A Empresas Privadas</t>
  </si>
  <si>
    <t>02.05-Subsidíos Total</t>
  </si>
  <si>
    <t xml:space="preserve">Classificar </t>
  </si>
  <si>
    <t>02.06-Transferências</t>
  </si>
  <si>
    <t>02.06.01-Para Governos Estrangeiros</t>
  </si>
  <si>
    <t>02.06.02-Organismos internacionais</t>
  </si>
  <si>
    <t>02.06.03-Administrações Públicas</t>
  </si>
  <si>
    <t>02.06-Transferências Total</t>
  </si>
  <si>
    <t>02.07-Benefícios Sociais</t>
  </si>
  <si>
    <t>02.07.01-Benefícios sociais</t>
  </si>
  <si>
    <t>02.07.02-Benefícios de assistência social</t>
  </si>
  <si>
    <t>02.07-Benefícios Sociais Total</t>
  </si>
  <si>
    <t>02.08-Outras Despesas</t>
  </si>
  <si>
    <t>02.08.01-Seguros</t>
  </si>
  <si>
    <t>02.08.02-Outras Despesas Diversas</t>
  </si>
  <si>
    <t>02.08.03-Partidos Políticos</t>
  </si>
  <si>
    <t>02.08.04-Organizações Não Governamentais</t>
  </si>
  <si>
    <t>02.08.05-Restituições</t>
  </si>
  <si>
    <t>02.08.06-Indemnizações</t>
  </si>
  <si>
    <t>02.08.07-Outras Despesas Residual</t>
  </si>
  <si>
    <t>02.08.08-Dotação Provisional</t>
  </si>
  <si>
    <t>02.08-Outras Despesas Total</t>
  </si>
  <si>
    <t>03.01-Activos Não Financeiros</t>
  </si>
  <si>
    <t>03.01.01-Activos Fixos</t>
  </si>
  <si>
    <t>03.01.04-Recursos naturais</t>
  </si>
  <si>
    <t>03.01-Activos Não Financeiros Total</t>
  </si>
  <si>
    <t>EMISSÃO</t>
  </si>
  <si>
    <t>TOTAL EMITIDO</t>
  </si>
  <si>
    <t>PAGAMENTO</t>
  </si>
  <si>
    <t>TOTAL PAGO</t>
  </si>
  <si>
    <t>Dta Emissão</t>
  </si>
  <si>
    <t>Prazo</t>
  </si>
  <si>
    <t>Instrumento</t>
  </si>
  <si>
    <t>Montante Emitido</t>
  </si>
  <si>
    <t xml:space="preserve">Capital </t>
  </si>
  <si>
    <t>Juro Pago</t>
  </si>
  <si>
    <t>Data Pag</t>
  </si>
  <si>
    <t>Pagamento - Capital</t>
  </si>
  <si>
    <t>Pagamento - Juro</t>
  </si>
  <si>
    <t>Variação</t>
  </si>
  <si>
    <t>Var</t>
  </si>
  <si>
    <t>Saldo</t>
  </si>
  <si>
    <t>Jan/</t>
  </si>
  <si>
    <t>Mov</t>
  </si>
  <si>
    <t>Deposito</t>
  </si>
  <si>
    <t>Final</t>
  </si>
  <si>
    <t>BCA</t>
  </si>
  <si>
    <t>OTNS</t>
  </si>
  <si>
    <t>CECV</t>
  </si>
  <si>
    <t>IIB</t>
  </si>
  <si>
    <t>BT</t>
  </si>
  <si>
    <t>BAI</t>
  </si>
  <si>
    <t>BCN</t>
  </si>
  <si>
    <t>Particulares (BCA)</t>
  </si>
  <si>
    <t>Particulares (CECV)</t>
  </si>
  <si>
    <t>ECCV</t>
  </si>
  <si>
    <t>BIA</t>
  </si>
  <si>
    <t>Particulares (BIA)</t>
  </si>
  <si>
    <t>Particulares (BAI)</t>
  </si>
  <si>
    <t xml:space="preserve">Variação dos Outros Créditos </t>
  </si>
  <si>
    <t>Protocolos BCA</t>
  </si>
  <si>
    <t>PT BCA</t>
  </si>
  <si>
    <t>Protocolos CECV</t>
  </si>
  <si>
    <t>PT CECV</t>
  </si>
  <si>
    <t>A Sistema  Bancario</t>
  </si>
  <si>
    <t>INPS</t>
  </si>
  <si>
    <t>B Sistema Não Bancário</t>
  </si>
  <si>
    <t>Particulares (BCN)</t>
  </si>
  <si>
    <t>BESCV</t>
  </si>
  <si>
    <t>Particular (BCA)</t>
  </si>
  <si>
    <t>Particular (CECV)</t>
  </si>
  <si>
    <t>Particulares (IIB)</t>
  </si>
  <si>
    <t>Particulares ( CECV)</t>
  </si>
  <si>
    <t>ECOBANK</t>
  </si>
  <si>
    <t>Partculares (BCA)</t>
  </si>
  <si>
    <t>Depósito</t>
  </si>
  <si>
    <t>Variação Sistema Bancária</t>
  </si>
  <si>
    <t xml:space="preserve"> </t>
  </si>
  <si>
    <t xml:space="preserve">Dez </t>
  </si>
  <si>
    <t xml:space="preserve">Jan </t>
  </si>
  <si>
    <t xml:space="preserve">Fev </t>
  </si>
  <si>
    <t xml:space="preserve">Mar </t>
  </si>
  <si>
    <t xml:space="preserve">Set </t>
  </si>
  <si>
    <t xml:space="preserve">Out </t>
  </si>
  <si>
    <t>Depósitos do Governo Central</t>
  </si>
  <si>
    <t>Orçamento Geral  do Estado</t>
  </si>
  <si>
    <t>Projecto de investimentos</t>
  </si>
  <si>
    <t>Fundos autónomos</t>
  </si>
  <si>
    <t>Serviços Autónomos</t>
  </si>
  <si>
    <t xml:space="preserve">Depositos de Divisas </t>
  </si>
  <si>
    <t>Fundos de Contrapartida</t>
  </si>
  <si>
    <t>Fundos de Regularização da Dívida Pública</t>
  </si>
  <si>
    <t>Emprestimo do Governo IDA</t>
  </si>
  <si>
    <t>Outros Créditos</t>
  </si>
  <si>
    <t>Dados provisórios</t>
  </si>
  <si>
    <t xml:space="preserve">          Depósitos do Orçamento</t>
  </si>
  <si>
    <t xml:space="preserve">          Depósitos em divisas</t>
  </si>
  <si>
    <t xml:space="preserve">          Fundo de regularização da dívida pública</t>
  </si>
  <si>
    <t xml:space="preserve">          Depósitos  Projectos Investimento</t>
  </si>
  <si>
    <t xml:space="preserve">          Fundos de contrapartida ( ajuda  BP)</t>
  </si>
  <si>
    <t xml:space="preserve">          Empréstimos do Governo ( IDA)</t>
  </si>
  <si>
    <t xml:space="preserve">          Outros passivos c/o sector publico</t>
  </si>
  <si>
    <t xml:space="preserve">    Orçamento Geral do Estado</t>
  </si>
  <si>
    <t xml:space="preserve">      Projectos de Investimento</t>
  </si>
  <si>
    <t xml:space="preserve">      Fundos Autónomos </t>
  </si>
  <si>
    <t xml:space="preserve">      Serviços Autónomos</t>
  </si>
  <si>
    <t xml:space="preserve">      Outros</t>
  </si>
  <si>
    <t xml:space="preserve">      Depósitos em divisas</t>
  </si>
  <si>
    <t xml:space="preserve">      Fundos de contrapartida</t>
  </si>
  <si>
    <t xml:space="preserve">     Governos Locais</t>
  </si>
  <si>
    <t xml:space="preserve">     Previdencia Social</t>
  </si>
  <si>
    <t>Fonte: BCV/Estatisticas e Estudos /Estatisticas Monetárias/Quadros Estatisticos</t>
  </si>
  <si>
    <t>Balanço Analitico bcv</t>
  </si>
  <si>
    <t xml:space="preserve">        Balanço Consolidado Bancos Comerciais </t>
  </si>
  <si>
    <t>Credor</t>
  </si>
  <si>
    <t>N.R. de Acordo</t>
  </si>
  <si>
    <t>Categoria de Credor</t>
  </si>
  <si>
    <t>Projecto</t>
  </si>
  <si>
    <t>Sector/Area de Económia</t>
  </si>
  <si>
    <t>Dia</t>
  </si>
  <si>
    <t>Mês</t>
  </si>
  <si>
    <t>Montante</t>
  </si>
  <si>
    <t>Moeda</t>
  </si>
  <si>
    <t>Câmbio</t>
  </si>
  <si>
    <t>Valor CVE</t>
  </si>
  <si>
    <t>Valor Emp</t>
  </si>
  <si>
    <t>Moeda Emp</t>
  </si>
  <si>
    <t>TIPO</t>
  </si>
  <si>
    <t>FUNDO KUWAIT</t>
  </si>
  <si>
    <t>Bilateral</t>
  </si>
  <si>
    <t>Projecto de Construção, Reabilitação e Aquisição de equipamnetos de Instituições Sanitárias</t>
  </si>
  <si>
    <t>Saúde</t>
  </si>
  <si>
    <t>KWD</t>
  </si>
  <si>
    <t>PI</t>
  </si>
  <si>
    <t>BAD</t>
  </si>
  <si>
    <t>Multilateral</t>
  </si>
  <si>
    <t>Construção Porto do Maio</t>
  </si>
  <si>
    <t>Infraestruturas Portuarias</t>
  </si>
  <si>
    <t>EUR</t>
  </si>
  <si>
    <t>RET</t>
  </si>
  <si>
    <t>Park Tecnológica</t>
  </si>
  <si>
    <t xml:space="preserve">Tecnologia de Informação </t>
  </si>
  <si>
    <t>Extensão do Aeroporto da Praia</t>
  </si>
  <si>
    <t>Infraestruturas Aeroportuárias</t>
  </si>
  <si>
    <t>BM/IDA</t>
  </si>
  <si>
    <t>PROJETO INCLUSÃO SOCIAL</t>
  </si>
  <si>
    <t>Economia</t>
  </si>
  <si>
    <t>USD</t>
  </si>
  <si>
    <t>XDR</t>
  </si>
  <si>
    <t>PI/CE</t>
  </si>
  <si>
    <t>Transport Sector Reform Project</t>
  </si>
  <si>
    <t>Transporte</t>
  </si>
  <si>
    <t>JICA</t>
  </si>
  <si>
    <t>CAVP3A</t>
  </si>
  <si>
    <t>Abasticimento de Água potavel em Santiago</t>
  </si>
  <si>
    <t xml:space="preserve">Água </t>
  </si>
  <si>
    <t>JPY</t>
  </si>
  <si>
    <t>COMPETITIVIDADE PARA O DESENVOLVIMENTO DO TURISMO</t>
  </si>
  <si>
    <t>Turismo</t>
  </si>
  <si>
    <t>Cabo Verde Education and Skills Development Enhancement Project</t>
  </si>
  <si>
    <t>Educação</t>
  </si>
  <si>
    <t>CAIXA</t>
  </si>
  <si>
    <t>BADEA</t>
  </si>
  <si>
    <t>Abastecimento de Água Potavel e Saneamento Santo Antão</t>
  </si>
  <si>
    <t>Água e Saneamento</t>
  </si>
  <si>
    <t>Access to Finance for Micro, Small and Medium-Sized Enterprises Project</t>
  </si>
  <si>
    <t>FIDA</t>
  </si>
  <si>
    <t>L-E-13</t>
  </si>
  <si>
    <t>POSER</t>
  </si>
  <si>
    <t xml:space="preserve">Luta contra Pobreza </t>
  </si>
  <si>
    <t>L-E-876</t>
  </si>
  <si>
    <t>L-E-876-A</t>
  </si>
  <si>
    <t>SOE</t>
  </si>
  <si>
    <t>CAVP2</t>
  </si>
  <si>
    <t>ELECTRICITY, TRANSMISSION AND DISTRIBUTION DEVELOPMENT PROJET</t>
  </si>
  <si>
    <t>Energia</t>
  </si>
  <si>
    <t>Austria</t>
  </si>
  <si>
    <t>Dissalinização de Água Palmarejo Phase II</t>
  </si>
  <si>
    <t>Cabo Verde Digital</t>
  </si>
  <si>
    <t>KBC</t>
  </si>
  <si>
    <t>Comercial</t>
  </si>
  <si>
    <t>Atualização Diagnostico Médico</t>
  </si>
  <si>
    <t>COVID 19 - EMERGENCY RESPONSE PROJECT</t>
  </si>
  <si>
    <t>SAÚDE</t>
  </si>
  <si>
    <t>PROJETO DE HARMONIZAÇÃO E MELHORIA DE ESTATÍSTICA NA AFRICA OCIDENTAL</t>
  </si>
  <si>
    <t>ESTATÍSTICAS</t>
  </si>
  <si>
    <t>DSOF</t>
  </si>
  <si>
    <t>Saida PI total</t>
  </si>
  <si>
    <t>Saida PI CE</t>
  </si>
  <si>
    <t>PI por enquadrar</t>
  </si>
  <si>
    <t>AJO</t>
  </si>
  <si>
    <t>FUNC2</t>
  </si>
  <si>
    <t>FUNC3</t>
  </si>
  <si>
    <t>VALOR_INICIAL</t>
  </si>
  <si>
    <t>VALOR_LIQUIDADO</t>
  </si>
  <si>
    <t>VALOR_PAGO</t>
  </si>
  <si>
    <t>07.00.01 - Serviços Públicos Gerais</t>
  </si>
  <si>
    <t>07.00.01.01.01 - Órgãos Executivos E Legislativos</t>
  </si>
  <si>
    <t>07.00.01.01.02 - Administração Financeira E Fiscal</t>
  </si>
  <si>
    <t>07.00.01.01.03 - Negócios Estrangeiros</t>
  </si>
  <si>
    <t>07.00.01.02.02 - Ajuda económica através de organizações internacionais</t>
  </si>
  <si>
    <t>07.00.01.03.01 - Administração de pessoal</t>
  </si>
  <si>
    <t>07.00.01.03.02 - Planeamento global e estatística</t>
  </si>
  <si>
    <t>07.00.01.03.03 - Outros serviços gerais</t>
  </si>
  <si>
    <t>07.00.01.05.00 - ID - serviços públicos gerais</t>
  </si>
  <si>
    <t>07.00.01.06.00 - Não especificados</t>
  </si>
  <si>
    <t>07.00.01.07.00 - Transacções da dívida pública</t>
  </si>
  <si>
    <t>07.00.01.08.00 - Transferências interinstitucionais</t>
  </si>
  <si>
    <t>07.00.01 - Serviços Públicos Gerais Total</t>
  </si>
  <si>
    <t>07.00.02 - Defesa</t>
  </si>
  <si>
    <t>07.00.02.01.00 - Defesa militar</t>
  </si>
  <si>
    <t>07.00.02.02.00 - Defesa civil</t>
  </si>
  <si>
    <t>07.00.02.05.00 - Defesa- outros não especificados</t>
  </si>
  <si>
    <t>07.00.02 - Defesa Total</t>
  </si>
  <si>
    <t>07.00.03 - Segurança e ordem pública</t>
  </si>
  <si>
    <t>07.00.03.01.00 - Serviços policiais</t>
  </si>
  <si>
    <t>07.00.03.03.00 - Tribunais</t>
  </si>
  <si>
    <t>07.00.03.04.00 - Prisões</t>
  </si>
  <si>
    <t>07.00.03.05.00 - ID - segurança e ordem pública</t>
  </si>
  <si>
    <t>07.00.03.06.00 - Não especificados</t>
  </si>
  <si>
    <t>07.00.03 - Segurança e ordem pública Total</t>
  </si>
  <si>
    <t>07.00.04 - Assuntos económicos</t>
  </si>
  <si>
    <t>07.00.04.01.01 - Economia em geral e comércio</t>
  </si>
  <si>
    <t>07.00.04.01.02 - Assuntos laborais e de emprego</t>
  </si>
  <si>
    <t>07.00.04.02.01 - Agricultura</t>
  </si>
  <si>
    <t>07.00.04.02.02 - Silvicultura</t>
  </si>
  <si>
    <t>07.00.04.02.04 - Pesca</t>
  </si>
  <si>
    <t>07.00.04.03.05 - Electricidade</t>
  </si>
  <si>
    <t>07.00.04.04.02 - Indústria</t>
  </si>
  <si>
    <t>07.00.04.05 - Transportes</t>
  </si>
  <si>
    <t>07.00.04.05.01 - Rede rodoviária</t>
  </si>
  <si>
    <t>07.00.04.05.02 - Marítimo</t>
  </si>
  <si>
    <t>07.00.04.05.04 - Transportes aéreos</t>
  </si>
  <si>
    <t>07.00.04.05.05 - Transporte por condutas e outros</t>
  </si>
  <si>
    <t>07.00.04.06.00 - Comunicações</t>
  </si>
  <si>
    <t>07.00.04.07.03 - Turismo</t>
  </si>
  <si>
    <t>07.00.04.08.01 - ID - economia, comércio e laborais</t>
  </si>
  <si>
    <t>07.00.04.08.02 - I&amp;D - agricultura  silvicultura  caça e pesca</t>
  </si>
  <si>
    <t>07.00.04.09.00 - Assuntos económicos não especificados</t>
  </si>
  <si>
    <t>07.00.04 - Assuntos económicos Total</t>
  </si>
  <si>
    <t>07.00.05 - Protecção ambiental</t>
  </si>
  <si>
    <t>07.00.05.01.00 - Gestão de resíduos e substâncias perigosas</t>
  </si>
  <si>
    <t>07.00.05.02.00 - Gestão de esgotos e águas</t>
  </si>
  <si>
    <t>07.00.05.04.00 - Protecção da biodiversidade e paisagem</t>
  </si>
  <si>
    <t>07.00.05.05.00 - ID - protecção ambiental</t>
  </si>
  <si>
    <t>07.00.05.06.00 - Protecção ambiemtal outros não especificados</t>
  </si>
  <si>
    <t>07.00.05 - Protecção ambiental Total</t>
  </si>
  <si>
    <t>07.00.06 - Habitação e desenvolvimento urbanístico</t>
  </si>
  <si>
    <t>07.00.06.02.00 - Desenvolvimento urbanístico</t>
  </si>
  <si>
    <t>07.00.06.03.00 - Abastecimento de água</t>
  </si>
  <si>
    <t>07.00.06.05.00 - ID - habitação e desenvolvimento urbanístico</t>
  </si>
  <si>
    <t>07.00.06.06.00 - Hab. E desenvolvimento - não especeficados</t>
  </si>
  <si>
    <t>07.00.06 - Habitação e desenvolvimento urbanístico Total</t>
  </si>
  <si>
    <t>07.00.07 - Saúde</t>
  </si>
  <si>
    <t>07.00.07.01.01 - Produtos farmacêuticos</t>
  </si>
  <si>
    <t>07.00.07.02.02 - Serviços de medicina geral</t>
  </si>
  <si>
    <t>07.00.07.03.01 - Serviços hospitalares gerais</t>
  </si>
  <si>
    <t>07.00.07.03.02 - Serviços hospitalares especializados</t>
  </si>
  <si>
    <t>07.00.07.04.00 - Serviços de saúde pública</t>
  </si>
  <si>
    <t>07.00.07.05.00 - I&amp;D - saúde</t>
  </si>
  <si>
    <t>07.00.07.06.00 - Serviços ambulatórios não especificados</t>
  </si>
  <si>
    <t>07.00.07 - Saúde Total</t>
  </si>
  <si>
    <t>07.00.08 - Serviços culturais  recreativos e religiosos</t>
  </si>
  <si>
    <t>07.00.08.01.00 - Serviços recreativos e desporto</t>
  </si>
  <si>
    <t>07.00.08.02.00 - Serviços culturais</t>
  </si>
  <si>
    <t>07.00.08.03.00 - Rádio  televisão e publicações</t>
  </si>
  <si>
    <t>07.00.08.05.00 - ID - serviços culturais, recreativos e religiosos</t>
  </si>
  <si>
    <t>07.00.08.06.00 - Serviços culturais  recreativos e religiosos não especificados</t>
  </si>
  <si>
    <t>07.00.08 - Serviços culturais  recreativos e religiosos Total</t>
  </si>
  <si>
    <t>07.00.09 - Educação</t>
  </si>
  <si>
    <t>07.00.09.01.01 - Pré-primário</t>
  </si>
  <si>
    <t>07.00.09.01.02 - Ensino primário</t>
  </si>
  <si>
    <t>07.00.09.02.03 - Id Ensino Secundário</t>
  </si>
  <si>
    <t>07.00.09.04.01 - Licenciatura</t>
  </si>
  <si>
    <t>07.00.09.04.02 - Outros graus académicos</t>
  </si>
  <si>
    <t>07.00.09.05.00 - Ensino não especificado</t>
  </si>
  <si>
    <t>07.00.09.06.00 - Serviços auxiliares á educação</t>
  </si>
  <si>
    <t>07.00.09.07.00 - ID - educação</t>
  </si>
  <si>
    <t>07.00.09.08.00 - Outros não especificados-educação</t>
  </si>
  <si>
    <t>07.00.09 - Educação Total</t>
  </si>
  <si>
    <t>07.00.10 - Protecção social</t>
  </si>
  <si>
    <t>07.00.10.01.02 - Incapacidade</t>
  </si>
  <si>
    <t>07.00.10.03.00 - Sobrevivência</t>
  </si>
  <si>
    <t>07.00.10.04.00 - Família e crianças</t>
  </si>
  <si>
    <t>07.00.10.06.00 - Habitação</t>
  </si>
  <si>
    <t>07.00.10.07.00 - Exclusão social</t>
  </si>
  <si>
    <t>07.00.10.08.00 - ID Protecção Social</t>
  </si>
  <si>
    <t>07.00.10.09.00 - Proteção Social Não Especificado</t>
  </si>
  <si>
    <t>07.00.10 - Protecção social Total</t>
  </si>
  <si>
    <t>Nota: Manter o valor inicial ou alterar conforme orçamento?</t>
  </si>
  <si>
    <t>Valores</t>
  </si>
  <si>
    <t>RO_DET</t>
  </si>
  <si>
    <t>Soma de VALOR_ACTUAL</t>
  </si>
  <si>
    <t xml:space="preserve">Dados Tabela </t>
  </si>
  <si>
    <t>Dados DGT</t>
  </si>
  <si>
    <t>Diferença</t>
  </si>
  <si>
    <t>03.02.01.02.02-Depósitos Certif Depósito Poupan Mi -Levantamentos</t>
  </si>
  <si>
    <t>03.02-Activos financeiros</t>
  </si>
  <si>
    <t>03.02.01-Mercado interno</t>
  </si>
  <si>
    <t>03.02.01.04.01-Empréstimos Concedidos Mi Concedidos</t>
  </si>
  <si>
    <t>03.02.01.04.02-Empréstimos Concedidos Mi Amortizações</t>
  </si>
  <si>
    <t>03.02.01.05.01-Acções E Outras Participações Mi- Aquisição</t>
  </si>
  <si>
    <t>03.02-Activos financeiros Total</t>
  </si>
  <si>
    <t>03.03.01.04.01-Empréstimos Obtidos Pmi -  Aquisições</t>
  </si>
  <si>
    <t>03.03-Passivos Financeiros</t>
  </si>
  <si>
    <t>03.03.01-Mercado Interno</t>
  </si>
  <si>
    <t>03.03.01.04.02.01-Emprétimos Obtidos Pmi - Amortizações OF</t>
  </si>
  <si>
    <t>03.03.01.04.02.02-Empréstimos Obtidos Pmi -  Amortizações Leasing</t>
  </si>
  <si>
    <t>03.03.02.04.01-Empréstimos Obtidos Pme - Aquisições</t>
  </si>
  <si>
    <t>03.03.02-Mercado externo</t>
  </si>
  <si>
    <t>03.03.02.04.02-Empréstimos Obtidos Pme -  Amortizações</t>
  </si>
  <si>
    <t>03.03.02.08.02-Outros Passivos Financeiros Pme - Alienações</t>
  </si>
  <si>
    <t>03.03-Passivos Financeiros Total</t>
  </si>
  <si>
    <t>EMPRESTIMO DE RETROCESSÃO</t>
  </si>
  <si>
    <t>Soma de VALOR</t>
  </si>
  <si>
    <t>ANO_MES</t>
  </si>
  <si>
    <t>ECON_COD</t>
  </si>
  <si>
    <t>ECON_NOME</t>
  </si>
  <si>
    <t>03.02.01.04.02</t>
  </si>
  <si>
    <t>Empréstimos Concedidos Mi Amortizações</t>
  </si>
  <si>
    <t>03.03.01.04.01</t>
  </si>
  <si>
    <t>Empréstimos Obtidos Pmi -  Aquisições</t>
  </si>
  <si>
    <t>03.03.02.04.01</t>
  </si>
  <si>
    <t>Empréstimos Obtidos Pme - Aquisições</t>
  </si>
  <si>
    <t>COMPENSAÇÃO  JANEIRO</t>
  </si>
  <si>
    <t>PAGO</t>
  </si>
  <si>
    <t>MEIO_PAG</t>
  </si>
  <si>
    <t>MES_COMPENSACAO</t>
  </si>
  <si>
    <t>CHEQUE</t>
  </si>
  <si>
    <t>2021-01</t>
  </si>
  <si>
    <t>(em branco)</t>
  </si>
  <si>
    <t>CHEQUE Total</t>
  </si>
  <si>
    <t>TRANSF</t>
  </si>
  <si>
    <t>TRANSF Total</t>
  </si>
  <si>
    <t>CHEQUE EM TRANSITO</t>
  </si>
  <si>
    <t>2021-02</t>
  </si>
  <si>
    <t>Outras Operações de Tesouraria</t>
  </si>
  <si>
    <t>Operações do Tesouro</t>
  </si>
  <si>
    <t>Despesa</t>
  </si>
  <si>
    <t>Receita</t>
  </si>
  <si>
    <t>Balanço</t>
  </si>
  <si>
    <t>nacional</t>
  </si>
  <si>
    <t>exterior</t>
  </si>
  <si>
    <t>Cheque</t>
  </si>
  <si>
    <t>OUT</t>
  </si>
  <si>
    <t>ORC_PAGO</t>
  </si>
  <si>
    <t>ORC_TIPO</t>
  </si>
  <si>
    <t>CC_N2</t>
  </si>
  <si>
    <t>CC_COD</t>
  </si>
  <si>
    <t>CC_NOME</t>
  </si>
  <si>
    <t>DES</t>
  </si>
  <si>
    <t>REC</t>
  </si>
  <si>
    <t>Grand Total</t>
  </si>
  <si>
    <t>Estrutura nível 2</t>
  </si>
  <si>
    <t>Estrutura nível 3</t>
  </si>
  <si>
    <t>Regularizado</t>
  </si>
  <si>
    <t>Por Regularizar</t>
  </si>
  <si>
    <t>Inst.credito</t>
  </si>
  <si>
    <t>Peso</t>
  </si>
  <si>
    <t>Ordem</t>
  </si>
  <si>
    <t>Ec - Despesas Internas</t>
  </si>
  <si>
    <t>91.01.01.01.01.01</t>
  </si>
  <si>
    <t>Ec_Adiantam. Presidencia Da Republica</t>
  </si>
  <si>
    <t>PR</t>
  </si>
  <si>
    <t>EGN</t>
  </si>
  <si>
    <t>91.01.01.01.01.02</t>
  </si>
  <si>
    <t>Ec_Adiantam. Assembleia Nacional</t>
  </si>
  <si>
    <t>ANS</t>
  </si>
  <si>
    <t>91.01.01.01.07.01</t>
  </si>
  <si>
    <t>Ec_Adiantam.Emb. Missão Permanente Junto Da O.N.U.</t>
  </si>
  <si>
    <t>MNEC</t>
  </si>
  <si>
    <t>GOV</t>
  </si>
  <si>
    <t>91.01.01.01.07.02</t>
  </si>
  <si>
    <t>Ec_Adiantam. Embaixada De Portugal</t>
  </si>
  <si>
    <t>91.01.01.01.07.03</t>
  </si>
  <si>
    <t>Ec_Adiantam. Embaixada Em Washington</t>
  </si>
  <si>
    <t>91.01.01.01.07.04</t>
  </si>
  <si>
    <t>Ec_Adiantam. Embaixada Em França</t>
  </si>
  <si>
    <t>91.01.01.01.07.05</t>
  </si>
  <si>
    <t>Ec_Adiantam. Embaixada Na Alemanha</t>
  </si>
  <si>
    <t>91.01.01.01.07.06</t>
  </si>
  <si>
    <t>Ec_Adiantam.Embaixada Na Itália</t>
  </si>
  <si>
    <t>91.01.01.01.07.07</t>
  </si>
  <si>
    <t>Ec_Adiantam. Embaixada Na Bélgica</t>
  </si>
  <si>
    <t>91.01.01.01.07.08</t>
  </si>
  <si>
    <t>Ec_Adiantam. Embaixada Em Angola</t>
  </si>
  <si>
    <t>91.01.01.01.07.09</t>
  </si>
  <si>
    <t>Ec_Adiantam. Embaixada No Senegal</t>
  </si>
  <si>
    <t>91.01.01.01.07.10</t>
  </si>
  <si>
    <t>Ec_Adiantam. Embaixada Em Cuba</t>
  </si>
  <si>
    <t>91.01.01.01.07.11</t>
  </si>
  <si>
    <t>Ec_Adiantam. Embaixada No Brasil</t>
  </si>
  <si>
    <t>91.01.01.01.07.12</t>
  </si>
  <si>
    <t>Ec_Adiantam. Embaixada Na China</t>
  </si>
  <si>
    <t>91.01.01.01.07.13</t>
  </si>
  <si>
    <t>Ec_Adiantam. Embaixada Na Suíça</t>
  </si>
  <si>
    <t>91.01.01.01.07.14</t>
  </si>
  <si>
    <t>Ec_Adiantam. Embaixada No Luxemburgo</t>
  </si>
  <si>
    <t>91.01.01.01.07.15</t>
  </si>
  <si>
    <t>Ec_Adiantam. Consulado Geral Em Boston</t>
  </si>
  <si>
    <t>91.01.01.01.07.16</t>
  </si>
  <si>
    <t>Ec_Adiantam. Consulado Geral Em Roterdão</t>
  </si>
  <si>
    <t>91.01.01.01.07.17</t>
  </si>
  <si>
    <t>Ec_Adiantam. Consulado Geral Em Madrid</t>
  </si>
  <si>
    <t>91.01.01.01.07.18</t>
  </si>
  <si>
    <t>Ec_Adiantam. Consulado Geral Em São Tomé E Príncipe</t>
  </si>
  <si>
    <t>91.01.01.01.07.19</t>
  </si>
  <si>
    <t>Ec_Adiantam. Consulados Honorários</t>
  </si>
  <si>
    <t>91.01.01.01.07.21</t>
  </si>
  <si>
    <t>Ec_Adiantam. Embaixada Nigéria</t>
  </si>
  <si>
    <t>91.01.01.01.07.22</t>
  </si>
  <si>
    <t>Ec_Adiantam. Consulado Nice</t>
  </si>
  <si>
    <t>91.01.01.01.07.23</t>
  </si>
  <si>
    <t>Ec_Adiantam. Embaixada Em Guine Bissau</t>
  </si>
  <si>
    <t>Ec - Despesas Internas Total</t>
  </si>
  <si>
    <t>Op_Tesouraria_Saida</t>
  </si>
  <si>
    <t>99.02.01</t>
  </si>
  <si>
    <t>Op_Tesouraria_Saida_Outras</t>
  </si>
  <si>
    <t>Op_Tesouraria_Saida Total</t>
  </si>
  <si>
    <t>OPT</t>
  </si>
  <si>
    <t xml:space="preserve">Data </t>
  </si>
  <si>
    <t>NUM _CAB</t>
  </si>
  <si>
    <t>BENEFICIARIO</t>
  </si>
  <si>
    <t>CABO VERDE FAST FERRY, SA</t>
  </si>
  <si>
    <t>2021-02-17</t>
  </si>
  <si>
    <t>SUBSÍDIOS - Aguarda Resolução Conselho Ministros</t>
  </si>
  <si>
    <t>2021-03-22</t>
  </si>
  <si>
    <t>2021-04-16</t>
  </si>
  <si>
    <t>CDT EQUIPAMENTOS DESPORTIVOS LDA</t>
  </si>
  <si>
    <t>2021-01-08</t>
  </si>
  <si>
    <t>REGULARIZADO</t>
  </si>
  <si>
    <t>HONEYWELL INTERNATIONAL</t>
  </si>
  <si>
    <t>Processo de retoma da operação dos TACV-CVA(Ações e outras participações)</t>
  </si>
  <si>
    <t>INSTITUTO NACIONAL DE GESTÃO DE TERRITÓRIO GAA</t>
  </si>
  <si>
    <t>2021-01-21</t>
  </si>
  <si>
    <t>Despesas com pessoal</t>
  </si>
  <si>
    <t>NEWCO - RECLAMAÇÃO E RESOLUÇÃO DE CRÉDITOS, SOCIEDADE UNIPESSAL SA</t>
  </si>
  <si>
    <t>2021-03-15</t>
  </si>
  <si>
    <t>2021-04-05</t>
  </si>
  <si>
    <t>SPORTFIVE GLOBAL MEDIA LTD</t>
  </si>
  <si>
    <t>TRANSPORTES INTERILHAS DE CABO VERDE SSOCIEDADE UNIPESSOAL SA</t>
  </si>
  <si>
    <t>OPT Abaixo da linha</t>
  </si>
  <si>
    <t>acções e outras</t>
  </si>
  <si>
    <t>emprestimos conc</t>
  </si>
  <si>
    <t>SECTORES</t>
  </si>
  <si>
    <t>PROJETOS</t>
  </si>
  <si>
    <t>FINANCIADOR</t>
  </si>
  <si>
    <t xml:space="preserve"> VALOR_INICIAL</t>
  </si>
  <si>
    <t>VALOR_ACTUAL</t>
  </si>
  <si>
    <t xml:space="preserve"> VALOR_LIQUIDADO</t>
  </si>
  <si>
    <t xml:space="preserve"> VALOR_PAGO</t>
  </si>
  <si>
    <t>GRAU EXEC.</t>
  </si>
  <si>
    <t>AGRICULTURA E AMBIENTE</t>
  </si>
  <si>
    <t>Sistema De Produção E Distribuição De Água Em Santiago</t>
  </si>
  <si>
    <t>JICA/Emprestimo</t>
  </si>
  <si>
    <t>JICA/Emprestimo Externo</t>
  </si>
  <si>
    <t>Projecto  De Agua E Saneamento De Bairros Periferio Da Cidade Da Praia</t>
  </si>
  <si>
    <t>B.A.D.E.A./Emprestimo Externo</t>
  </si>
  <si>
    <t>FUNDO DO KUWAIT/Emprestimo Externo</t>
  </si>
  <si>
    <t>Programa De Promoção De Oportunidades Socioeconomicas Rurais( Poser)</t>
  </si>
  <si>
    <t>F.I.D.A./Emprestimo Externo</t>
  </si>
  <si>
    <t>AGRICULTURA E AMBIENTE Total</t>
  </si>
  <si>
    <t>ECONOMIA MARÍTIMA</t>
  </si>
  <si>
    <t>Terminal De Cruzeiros</t>
  </si>
  <si>
    <t>Ofid/Emprestimo Externo</t>
  </si>
  <si>
    <t>ECONOMIA MARÍTIMA Total</t>
  </si>
  <si>
    <t>EDUCAÇÃO</t>
  </si>
  <si>
    <t>Reforço Ao Sector Da Educação</t>
  </si>
  <si>
    <t>Banco Mundial/Emprestimo - Externo</t>
  </si>
  <si>
    <t>Banco Mundial/Emprestimo Externo</t>
  </si>
  <si>
    <t>EDUCAÇÃO Total</t>
  </si>
  <si>
    <t>FAMILIA E INCLUSAO SOCIAL</t>
  </si>
  <si>
    <t>Implementação De Rendimento Social De Inclusão</t>
  </si>
  <si>
    <t xml:space="preserve">Banco Mundial/Emprestimos </t>
  </si>
  <si>
    <t>FAMILIA E INCLUSAO SOCIAL Total</t>
  </si>
  <si>
    <t>FINANÇAS</t>
  </si>
  <si>
    <t>Preparação Do Projeto Acesso Financiamento Mpmes</t>
  </si>
  <si>
    <t>FINANÇAS Total</t>
  </si>
  <si>
    <t>INFRAESTRUTURAS, DO ORDENAMENTO DO TERRITORIO E HABITAÇAO</t>
  </si>
  <si>
    <t>Reabilitação Da Estrada - Entrocamento En3-St-22 Palha Carga Entre Picos De Reda</t>
  </si>
  <si>
    <t>Reabilitação Da Estrada - Entrocamento En1-St-01 Chão Formosa/Gil Bispo</t>
  </si>
  <si>
    <t>INFRAESTRUTURAS, DO ORDENAMENTO DO TERRITORIO E HABITAÇAO Total</t>
  </si>
  <si>
    <t>SAUDE E DA SEGURANÇA SOCIAL</t>
  </si>
  <si>
    <t>Construçao Da Sede Do Inps Laboratorio Nacional Saude Publica</t>
  </si>
  <si>
    <t>FUNDO DO KUWAIT/Emprestimo - Externo</t>
  </si>
  <si>
    <t>SAUDE E DA SEGURANÇA SOCIAL Total</t>
  </si>
  <si>
    <t xml:space="preserve">Apoio Aos Municipios -  Combate A Covid 19 </t>
  </si>
  <si>
    <t>Preparação Projeto Cabo Verde Digital</t>
  </si>
  <si>
    <t>Bolsa Cabo Verde Digital</t>
  </si>
  <si>
    <t>PESO %</t>
  </si>
  <si>
    <t>Donativo</t>
  </si>
  <si>
    <t>Emprestimo</t>
  </si>
  <si>
    <t>Tesouro</t>
  </si>
  <si>
    <t>Dados fornecidos pelo DGT - Celina Cruz</t>
  </si>
  <si>
    <t>Prevençao E Combate A Coronavirus</t>
  </si>
  <si>
    <t>Transição Da Economia Informal A Formal</t>
  </si>
  <si>
    <t>Aquisiçao De Vacina Covid19</t>
  </si>
  <si>
    <t>Prevenção E Combate A Coronavírus</t>
  </si>
  <si>
    <t>Reforço De Capacidade Laboratório Virologia</t>
  </si>
  <si>
    <t>Reforço  Do Setor Da Saúde No Combate Ao Covid19</t>
  </si>
  <si>
    <t xml:space="preserve"> Preparação E Resposta A Covid-19</t>
  </si>
  <si>
    <t>Apoio A Classe Artista Cultural - Covid-19</t>
  </si>
  <si>
    <t>GOV - Ministério Da Saúde  Total</t>
  </si>
  <si>
    <t>GOV - Ministerio Da Familia, Inclusao e Desenvolvimento Social</t>
  </si>
  <si>
    <t>Implementação De Rendimento Social De Inclusão Total</t>
  </si>
  <si>
    <t>GOV - Ministerio Da Familia, Inclusao e Desenvolvimento Social Total</t>
  </si>
  <si>
    <t>GOV - Ministério Das Finanças e do Fomento Empresarial</t>
  </si>
  <si>
    <t>Preparação Do Projeto Acesso Financiamento Mpmes Total</t>
  </si>
  <si>
    <t>GOV - Ministério Das Finanças e do Fomento Empresarial Total</t>
  </si>
  <si>
    <t>Gov - Ministerio Do Mar</t>
  </si>
  <si>
    <t>Terminal De Cruzeiros Total</t>
  </si>
  <si>
    <t>Gov - Ministerio Do Mar Total</t>
  </si>
  <si>
    <t>2021-07</t>
  </si>
  <si>
    <t>Corrente</t>
  </si>
  <si>
    <t xml:space="preserve">    Saldo Corrente Primario </t>
  </si>
  <si>
    <t xml:space="preserve"> Bacia Hidrográfica De São João Batista</t>
  </si>
  <si>
    <t>Balcão Eletrónico Do Mar</t>
  </si>
  <si>
    <t>Banco Comercial Do Atlântico/Emprestimos Interno</t>
  </si>
  <si>
    <t>Cadastro, Cartografia, Geodesia, Altimetria, Toponímia E Ide-Cv</t>
  </si>
  <si>
    <t>Competitividade Para O Desenvolvimento Do Turismo</t>
  </si>
  <si>
    <t>I.D.A./Emprestimo - Externo</t>
  </si>
  <si>
    <t>Construção Centro Ambulatorio Hospital B.Sousa</t>
  </si>
  <si>
    <t>Construçao Da Sede Do  IMP</t>
  </si>
  <si>
    <t>Construção Do Centro De Saude De Santa Catarina</t>
  </si>
  <si>
    <t>Faturação Eletronica</t>
  </si>
  <si>
    <t>Obras Rodoviárias De Urgência</t>
  </si>
  <si>
    <t xml:space="preserve">Reabilitação - Estrada Vila Nova Sintra Nossa Senhora Do Monte -  Ilha Da Brava </t>
  </si>
  <si>
    <t>Reabilitação Da Estrada - Pedra Badejo (Entrocamento En1-St-02 Ribeiras Dos Picos</t>
  </si>
  <si>
    <t>Reabilitação Da Estrada En3-Sa-10 Troço Chã De Escudela/Tarrafal De Monte Trigo</t>
  </si>
  <si>
    <t>Reabilitação Da Estrada St Cidade( Entrocamento En1-St-05) Santana</t>
  </si>
  <si>
    <t>Reabilitação Dos Serviços Cto Ribeira De Vinha Sv</t>
  </si>
  <si>
    <t>Reabilitação Dos Serviços Do Centro Da Trindade</t>
  </si>
  <si>
    <t>Reestruturação do Sector Empresarial do Estado</t>
  </si>
  <si>
    <t>Banco Mundial/Emprestimo</t>
  </si>
  <si>
    <t>Reforma Do Sector De Transportes - Tsrp</t>
  </si>
  <si>
    <t>Saneamento De Porto Novo</t>
  </si>
  <si>
    <t>Banco Mundial/I.D.A - Emprestimo - Externo</t>
  </si>
  <si>
    <t>Banco Mundial/Ida - Emprestimo</t>
  </si>
  <si>
    <t>Banco Mundial/Ida - Emprestimos</t>
  </si>
  <si>
    <t>Gestão Das Privatizações Das Soe</t>
  </si>
  <si>
    <t>Harmonização E Melhoria Das Estatísticas Na Africa Ocidental</t>
  </si>
  <si>
    <t>OUTROS</t>
  </si>
  <si>
    <t>Valores que não estão regularizados no sistema</t>
  </si>
  <si>
    <t>JUL-JUL</t>
  </si>
  <si>
    <t>MA+MCA+COIMA TCECP+COFRE DGA</t>
  </si>
  <si>
    <t>CAVP2A</t>
  </si>
  <si>
    <t>Bacia Hidrográfica de São Joao Baptista - Santiago</t>
  </si>
  <si>
    <t>Agricultura</t>
  </si>
  <si>
    <t>07.00.10.02.00 - Idosos</t>
  </si>
  <si>
    <t>Meio de pagamento</t>
  </si>
  <si>
    <t xml:space="preserve">Cheque </t>
  </si>
  <si>
    <t>0$</t>
  </si>
  <si>
    <t>Transferência</t>
  </si>
  <si>
    <t>138.585.598$</t>
  </si>
  <si>
    <t>Transferência por compensar em 31/07/2021</t>
  </si>
  <si>
    <t>OP FINANCEIRA JULHO</t>
  </si>
  <si>
    <t>Total Geral Acumulado jan a jul</t>
  </si>
  <si>
    <r>
      <t xml:space="preserve">Dados fornecidos pelo DGT - Rui Tavares ref. </t>
    </r>
    <r>
      <rPr>
        <b/>
        <sz val="11"/>
        <rFont val="Calibri"/>
        <family val="2"/>
        <scheme val="minor"/>
      </rPr>
      <t>JUL 2021</t>
    </r>
  </si>
  <si>
    <t>2021-07-09</t>
  </si>
  <si>
    <t>Dados Janeiro a Julho 2021</t>
  </si>
  <si>
    <t xml:space="preserve">Protecção Civil - Covid-19					</t>
  </si>
  <si>
    <t>Capacitação Dos Profissionais Do Turismo E Áreas Transversais - COVID_19</t>
  </si>
  <si>
    <t>Reforço Da Resiliência Das Famílias Rurais No Pós Covid-19</t>
  </si>
  <si>
    <t>Ampliaçao Do Centro De Saúde De Bao Vista</t>
  </si>
  <si>
    <t>Comunicaçao De Risco Em Saúde - INSP</t>
  </si>
  <si>
    <t>Desenvolvimento Do Observatório Nacinal De Saúde Pública - INSP</t>
  </si>
  <si>
    <t>Desnvolvimento De Investigaçao Em Saúde - Insp</t>
  </si>
  <si>
    <t>Equipamento Postos Sanitários</t>
  </si>
  <si>
    <t>Reabilitação e equipamentos De Estruturas De Saúde</t>
  </si>
  <si>
    <t>Remodelação de Postos Sanitarios</t>
  </si>
  <si>
    <t>Rerforço Do Laboratorio Nacional De Saúde Publica - Insp</t>
  </si>
  <si>
    <t>Construção, Ampliação E Remodelação de Infra-Estruturas Educativas</t>
  </si>
  <si>
    <t>Garantia De Cuidados De Dependentes</t>
  </si>
  <si>
    <t>Reforço Das Competências Do Setor Da Inclusão Social</t>
  </si>
  <si>
    <t>Reforço Institucional Das Organizações Da Sociedade Civil</t>
  </si>
  <si>
    <t>CECV a)</t>
  </si>
  <si>
    <t>Variação Homóloga dos Impostos julho</t>
  </si>
  <si>
    <t>OPT's por compensar</t>
  </si>
  <si>
    <t>Fonte: MFFE</t>
  </si>
  <si>
    <t>FADSTMI- Sistema Para O Desenvolvimento Do Setor De Transporte Marítimo Inter-Ilhas</t>
  </si>
  <si>
    <t>FUNÇÕES DO ESTADO</t>
  </si>
  <si>
    <t>COVID-19 RSI Emergencial - Redes de Segurança e Recuperação de Rendimentos para as familias mais pobres e mulheres trabalhadoras informais em Cabo Verde</t>
  </si>
  <si>
    <t>VALOR ACTUAL</t>
  </si>
  <si>
    <t>VALOR PAGO</t>
  </si>
  <si>
    <t>MOD. FINANCIAMENTO</t>
  </si>
  <si>
    <t>10 Maiores Projetos</t>
  </si>
  <si>
    <t>Total dos 10 maiores projetos</t>
  </si>
  <si>
    <t>Total Outros</t>
  </si>
  <si>
    <t>Orç. 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</si>
</sst>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\ _€_-;\-* #,##0.00\ _€_-;_-* &quot;-&quot;??\ _€_-;_-@_-"/>
    <numFmt numFmtId="164" formatCode="#,##0.0"/>
    <numFmt numFmtId="165" formatCode="0.0"/>
    <numFmt numFmtId="166" formatCode="0.000"/>
    <numFmt numFmtId="167" formatCode="0.0%"/>
    <numFmt numFmtId="168" formatCode="_-* #,##0\ _€_-;\-* #,##0\ _€_-;_-* &quot;-&quot;??\ _€_-;_-@_-"/>
    <numFmt numFmtId="169" formatCode="_-[$€]* #,##0.00_-;\-[$€]* #,##0.00_-;_-[$€]* &quot;-&quot;??_-;_-@_-"/>
    <numFmt numFmtId="170" formatCode="dd/mm/yyyy;@"/>
    <numFmt numFmtId="171" formatCode="_-* #,##0.0\ _€_-;\-* #,##0.0\ _€_-;_-* &quot;-&quot;??\ _€_-;_-@_-"/>
    <numFmt numFmtId="172" formatCode="_-[$€]* #,##0.00000_-;\-[$€]* #,##0.00000_-;_-[$€]* &quot;-&quot;??_-;_-@_-"/>
    <numFmt numFmtId="173" formatCode="#,##0.0_ ;\-#,##0.0\ "/>
    <numFmt numFmtId="174" formatCode="_-[$€]* #,##0.0000_-;\-[$€]* #,##0.0000_-;_-[$€]* &quot;-&quot;??_-;_-@_-"/>
    <numFmt numFmtId="175" formatCode="#,##0.0_);\(#,##0.0\)"/>
    <numFmt numFmtId="176" formatCode="#,##0;[Red]#,##0"/>
  </numFmts>
  <fonts count="98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Sources sans"/>
      <family val="2"/>
    </font>
    <font>
      <b/>
      <i/>
      <sz val="10"/>
      <color theme="1"/>
      <name val="Calibri"/>
      <family val="2"/>
      <scheme val="minor"/>
    </font>
    <font>
      <sz val="9"/>
      <color theme="0"/>
      <name val="Sources sans"/>
      <family val="2"/>
    </font>
    <font>
      <b/>
      <sz val="9"/>
      <color theme="0"/>
      <name val="Calibri"/>
      <family val="2"/>
      <scheme val="minor"/>
    </font>
    <font>
      <b/>
      <sz val="9"/>
      <name val="Sources sans"/>
      <family val="2"/>
    </font>
    <font>
      <b/>
      <sz val="9"/>
      <color theme="1"/>
      <name val="Sources sans"/>
      <family val="2"/>
    </font>
    <font>
      <sz val="9"/>
      <name val="Sources sans"/>
      <family val="2"/>
    </font>
    <font>
      <sz val="9"/>
      <color theme="1"/>
      <name val="Sources sans"/>
      <family val="2"/>
    </font>
    <font>
      <sz val="10"/>
      <name val="Arial"/>
      <family val="2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Sources sans"/>
      <family val="2"/>
    </font>
    <font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Tahoma"/>
      <family val="2"/>
      <charset val="1"/>
    </font>
    <font>
      <sz val="9"/>
      <name val="Tahoma"/>
      <family val="2"/>
      <charset val="1"/>
    </font>
    <font>
      <sz val="10"/>
      <color theme="0"/>
      <name val="Sources sans"/>
      <family val="2"/>
    </font>
    <font>
      <b/>
      <sz val="10"/>
      <color theme="0"/>
      <name val="Sources sans"/>
      <family val="2"/>
    </font>
    <font>
      <sz val="10"/>
      <color theme="1"/>
      <name val="Sources sans"/>
      <family val="2"/>
    </font>
    <font>
      <b/>
      <sz val="10"/>
      <color theme="1"/>
      <name val="Sources sans"/>
      <family val="2"/>
    </font>
    <font>
      <b/>
      <sz val="10"/>
      <name val="Sources sans"/>
      <family val="2"/>
    </font>
    <font>
      <b/>
      <sz val="10"/>
      <color theme="1"/>
      <name val="Source Sans "/>
      <family val="2"/>
    </font>
    <font>
      <sz val="10"/>
      <name val="Sources sans"/>
      <family val="2"/>
    </font>
    <font>
      <sz val="10"/>
      <color theme="1"/>
      <name val="Source Sans "/>
      <family val="2"/>
    </font>
    <font>
      <sz val="10"/>
      <color indexed="8"/>
      <name val="Sources sans"/>
      <family val="2"/>
    </font>
    <font>
      <sz val="10"/>
      <color rgb="FFFF0000"/>
      <name val="Sources sans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86266670735802"/>
      <name val="Calibri"/>
      <family val="2"/>
      <scheme val="minor"/>
    </font>
    <font>
      <b/>
      <sz val="11"/>
      <color theme="4" tint="-0.49986266670735802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Arial"/>
      <family val="2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8"/>
      <color theme="1"/>
      <name val="Times New Roman"/>
      <family val="1"/>
    </font>
    <font>
      <sz val="10"/>
      <color rgb="FFFF0000"/>
      <name val="Arial"/>
      <family val="2"/>
    </font>
    <font>
      <sz val="8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8"/>
      <color indexed="12"/>
      <name val="Times New Roman"/>
      <family val="1"/>
    </font>
    <font>
      <b/>
      <sz val="8"/>
      <color indexed="8"/>
      <name val="Times New Roman"/>
      <family val="1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Euphemia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color rgb="FF1F497D"/>
      <name val="Times New Roman"/>
      <family val="1"/>
    </font>
    <font>
      <b/>
      <sz val="11"/>
      <color rgb="FFFF0000"/>
      <name val="Calibri"/>
      <family val="2"/>
    </font>
    <font>
      <sz val="11"/>
      <color rgb="FFFF0000"/>
      <name val="Segoe U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6100"/>
      <name val="Calibri"/>
      <family val="2"/>
      <scheme val="minor"/>
    </font>
    <font>
      <sz val="11"/>
      <name val="Segoe UI"/>
      <family val="2"/>
    </font>
    <font>
      <sz val="11"/>
      <color rgb="FF1F497D"/>
      <name val="Calibri"/>
      <family val="2"/>
    </font>
    <font>
      <b/>
      <u/>
      <sz val="11"/>
      <color rgb="FF1F497D"/>
      <name val="Calibri"/>
      <family val="2"/>
    </font>
    <font>
      <b/>
      <sz val="10"/>
      <name val="Times New Roman"/>
      <family val="1"/>
    </font>
    <font>
      <sz val="11"/>
      <color rgb="FF7030A0"/>
      <name val="Calibri"/>
      <family val="2"/>
      <scheme val="minor"/>
    </font>
    <font>
      <sz val="10"/>
      <color rgb="FFFF0000"/>
      <name val="Times New Roman"/>
      <family val="1"/>
    </font>
    <font>
      <b/>
      <sz val="14"/>
      <color theme="0"/>
      <name val="Sources sans"/>
      <family val="2"/>
    </font>
    <font>
      <sz val="14"/>
      <color theme="1"/>
      <name val="Sources sans"/>
      <family val="2"/>
    </font>
    <font>
      <b/>
      <sz val="14"/>
      <color theme="1"/>
      <name val="Sources sans"/>
      <family val="2"/>
    </font>
    <font>
      <b/>
      <sz val="10"/>
      <color theme="0"/>
      <name val="Source Sans Pro"/>
      <family val="2"/>
    </font>
    <font>
      <sz val="10"/>
      <color theme="1"/>
      <name val="SOURCE SANS"/>
      <family val="2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b/>
      <sz val="8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6500"/>
      <name val="Calibri"/>
      <family val="2"/>
      <scheme val="minor"/>
    </font>
    <font>
      <b/>
      <sz val="14"/>
      <color theme="1"/>
      <name val="Sources sans"/>
    </font>
    <font>
      <sz val="12"/>
      <name val="Arial"/>
      <family val="2"/>
    </font>
    <font>
      <b/>
      <sz val="11"/>
      <color rgb="FF1F497D"/>
      <name val="Calibri"/>
      <family val="2"/>
    </font>
    <font>
      <b/>
      <sz val="10"/>
      <color theme="1"/>
      <name val="SOURCE SANS"/>
      <family val="2"/>
    </font>
    <font>
      <sz val="9"/>
      <color rgb="FFFF0000"/>
      <name val="Euphemia"/>
      <family val="2"/>
    </font>
    <font>
      <b/>
      <sz val="10"/>
      <color rgb="FFFF0000"/>
      <name val="Calibri"/>
      <family val="2"/>
      <scheme val="minor"/>
    </font>
    <font>
      <b/>
      <sz val="9"/>
      <color theme="1"/>
      <name val="Sources sans"/>
    </font>
    <font>
      <sz val="9"/>
      <color theme="1"/>
      <name val="Arial"/>
      <family val="2"/>
    </font>
    <font>
      <b/>
      <sz val="10"/>
      <color theme="1"/>
      <name val="Sources sans"/>
    </font>
  </fonts>
  <fills count="46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8" tint="-0.4998626667073580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8550370799890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-0.499954222235786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-0.2499160740989410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-0.249977111117893"/>
        <bgColor theme="4" tint="0.79998168889431442"/>
      </patternFill>
    </fill>
  </fills>
  <borders count="1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8" tint="-0.49986266670735802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8" tint="-0.49986266670735802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auto="1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auto="1"/>
      </right>
      <top style="thin">
        <color rgb="FF999999"/>
      </top>
      <bottom/>
      <diagonal/>
    </border>
    <border>
      <left style="thin">
        <color rgb="FF999999"/>
      </left>
      <right style="thin">
        <color auto="1"/>
      </right>
      <top/>
      <bottom/>
      <diagonal/>
    </border>
    <border>
      <left style="thin">
        <color rgb="FF999999"/>
      </left>
      <right/>
      <top/>
      <bottom style="thin">
        <color auto="1"/>
      </bottom>
      <diagonal/>
    </border>
    <border>
      <left style="thin">
        <color rgb="FF999999"/>
      </left>
      <right style="thin">
        <color auto="1"/>
      </right>
      <top/>
      <bottom style="thin">
        <color auto="1"/>
      </bottom>
      <diagonal/>
    </border>
    <border>
      <left style="thin">
        <color rgb="FF999999"/>
      </left>
      <right style="thin">
        <color auto="1"/>
      </right>
      <top/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theme="9" tint="0.39994506668294322"/>
      </left>
      <right/>
      <top style="hair">
        <color theme="9" tint="0.39994506668294322"/>
      </top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medium">
        <color theme="8"/>
      </left>
      <right style="thin">
        <color auto="1"/>
      </right>
      <top style="medium">
        <color theme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8"/>
      </top>
      <bottom/>
      <diagonal/>
    </border>
    <border>
      <left style="thin">
        <color auto="1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4"/>
      </right>
      <top style="thin">
        <color auto="1"/>
      </top>
      <bottom/>
      <diagonal/>
    </border>
    <border>
      <left/>
      <right style="medium">
        <color theme="8"/>
      </right>
      <top style="thin">
        <color theme="4"/>
      </top>
      <bottom style="thin">
        <color theme="4"/>
      </bottom>
      <diagonal/>
    </border>
    <border>
      <left style="medium">
        <color theme="8"/>
      </left>
      <right style="thin">
        <color theme="4"/>
      </right>
      <top/>
      <bottom/>
      <diagonal/>
    </border>
    <border>
      <left style="medium">
        <color theme="8"/>
      </left>
      <right style="thin">
        <color theme="4"/>
      </right>
      <top/>
      <bottom style="thin">
        <color theme="4"/>
      </bottom>
      <diagonal/>
    </border>
    <border>
      <left style="medium">
        <color theme="8"/>
      </left>
      <right/>
      <top style="thin">
        <color theme="4"/>
      </top>
      <bottom style="thin">
        <color theme="4"/>
      </bottom>
      <diagonal/>
    </border>
    <border>
      <left style="medium">
        <color theme="8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medium">
        <color theme="8"/>
      </right>
      <top style="thin">
        <color theme="4"/>
      </top>
      <bottom/>
      <diagonal/>
    </border>
    <border>
      <left style="medium">
        <color theme="8"/>
      </left>
      <right style="thin">
        <color theme="4"/>
      </right>
      <top style="thin">
        <color theme="4"/>
      </top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 style="thin">
        <color theme="4"/>
      </top>
      <bottom/>
      <diagonal/>
    </border>
    <border>
      <left style="medium">
        <color theme="8"/>
      </left>
      <right/>
      <top style="thin">
        <color theme="4"/>
      </top>
      <bottom style="medium">
        <color theme="8"/>
      </bottom>
      <diagonal/>
    </border>
    <border>
      <left/>
      <right/>
      <top style="thin">
        <color theme="4"/>
      </top>
      <bottom style="medium">
        <color theme="8"/>
      </bottom>
      <diagonal/>
    </border>
    <border>
      <left/>
      <right style="thin">
        <color theme="4"/>
      </right>
      <top style="thin">
        <color theme="4"/>
      </top>
      <bottom style="medium">
        <color theme="8"/>
      </bottom>
      <diagonal/>
    </border>
    <border>
      <left/>
      <right style="thin">
        <color auto="1"/>
      </right>
      <top style="thin">
        <color theme="4"/>
      </top>
      <bottom style="medium">
        <color theme="8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medium">
        <color theme="8"/>
      </bottom>
      <diagonal/>
    </border>
    <border>
      <left style="thin">
        <color auto="1"/>
      </left>
      <right style="medium">
        <color theme="8"/>
      </right>
      <top style="thin">
        <color theme="4"/>
      </top>
      <bottom style="medium">
        <color theme="8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6">
    <xf numFmtId="0" fontId="0" fillId="0" borderId="0"/>
    <xf numFmtId="43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1" fillId="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169" fontId="17" fillId="0" borderId="0"/>
    <xf numFmtId="169" fontId="82" fillId="0" borderId="0"/>
    <xf numFmtId="0" fontId="82" fillId="0" borderId="0"/>
    <xf numFmtId="169" fontId="82" fillId="0" borderId="0"/>
    <xf numFmtId="43" fontId="82" fillId="0" borderId="0" applyFont="0" applyFill="0" applyBorder="0" applyAlignment="0" applyProtection="0"/>
    <xf numFmtId="169" fontId="17" fillId="0" borderId="0"/>
    <xf numFmtId="0" fontId="82" fillId="0" borderId="0"/>
    <xf numFmtId="0" fontId="88" fillId="38" borderId="0" applyNumberFormat="0" applyBorder="0" applyAlignment="0" applyProtection="0"/>
    <xf numFmtId="2" fontId="90" fillId="0" borderId="0" applyFill="0" applyBorder="0" applyAlignment="0" applyProtection="0"/>
  </cellStyleXfs>
  <cellXfs count="1115">
    <xf numFmtId="0" fontId="0" fillId="0" borderId="0" xfId="0"/>
    <xf numFmtId="164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/>
    <xf numFmtId="165" fontId="8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/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/>
    <xf numFmtId="3" fontId="9" fillId="3" borderId="0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0" xfId="0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0" fontId="8" fillId="4" borderId="1" xfId="0" applyFont="1" applyFill="1" applyBorder="1"/>
    <xf numFmtId="3" fontId="8" fillId="4" borderId="0" xfId="0" applyNumberFormat="1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0" fontId="13" fillId="5" borderId="0" xfId="0" applyFont="1" applyFill="1" applyBorder="1"/>
    <xf numFmtId="3" fontId="14" fillId="5" borderId="0" xfId="0" applyNumberFormat="1" applyFont="1" applyFill="1"/>
    <xf numFmtId="3" fontId="14" fillId="5" borderId="1" xfId="0" applyNumberFormat="1" applyFont="1" applyFill="1" applyBorder="1"/>
    <xf numFmtId="3" fontId="14" fillId="5" borderId="0" xfId="0" applyNumberFormat="1" applyFont="1" applyFill="1" applyBorder="1" applyAlignment="1">
      <alignment horizontal="center"/>
    </xf>
    <xf numFmtId="3" fontId="14" fillId="5" borderId="0" xfId="0" applyNumberFormat="1" applyFont="1" applyFill="1" applyAlignment="1">
      <alignment horizontal="center"/>
    </xf>
    <xf numFmtId="164" fontId="14" fillId="5" borderId="0" xfId="0" applyNumberFormat="1" applyFont="1" applyFill="1" applyAlignment="1">
      <alignment horizontal="center"/>
    </xf>
    <xf numFmtId="0" fontId="8" fillId="4" borderId="3" xfId="0" applyFont="1" applyFill="1" applyBorder="1"/>
    <xf numFmtId="3" fontId="8" fillId="4" borderId="4" xfId="0" applyNumberFormat="1" applyFont="1" applyFill="1" applyBorder="1" applyAlignment="1">
      <alignment horizontal="center"/>
    </xf>
    <xf numFmtId="165" fontId="8" fillId="4" borderId="5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left" indent="1"/>
    </xf>
    <xf numFmtId="3" fontId="14" fillId="4" borderId="0" xfId="0" applyNumberFormat="1" applyFont="1" applyFill="1" applyBorder="1"/>
    <xf numFmtId="3" fontId="14" fillId="6" borderId="0" xfId="0" applyNumberFormat="1" applyFont="1" applyFill="1" applyBorder="1"/>
    <xf numFmtId="3" fontId="14" fillId="4" borderId="0" xfId="0" applyNumberFormat="1" applyFont="1" applyFill="1" applyBorder="1" applyAlignment="1">
      <alignment horizontal="center"/>
    </xf>
    <xf numFmtId="164" fontId="14" fillId="4" borderId="0" xfId="0" applyNumberFormat="1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8" fillId="0" borderId="8" xfId="0" applyFont="1" applyBorder="1"/>
    <xf numFmtId="0" fontId="15" fillId="4" borderId="0" xfId="0" applyFont="1" applyFill="1" applyBorder="1" applyAlignment="1">
      <alignment horizontal="left" indent="2"/>
    </xf>
    <xf numFmtId="3" fontId="16" fillId="4" borderId="0" xfId="0" applyNumberFormat="1" applyFont="1" applyFill="1" applyBorder="1"/>
    <xf numFmtId="3" fontId="15" fillId="6" borderId="0" xfId="0" applyNumberFormat="1" applyFont="1" applyFill="1" applyBorder="1"/>
    <xf numFmtId="3" fontId="16" fillId="4" borderId="0" xfId="0" applyNumberFormat="1" applyFont="1" applyFill="1" applyBorder="1" applyAlignment="1">
      <alignment horizontal="center"/>
    </xf>
    <xf numFmtId="164" fontId="16" fillId="4" borderId="0" xfId="0" applyNumberFormat="1" applyFont="1" applyFill="1" applyBorder="1" applyAlignment="1">
      <alignment horizontal="center"/>
    </xf>
    <xf numFmtId="164" fontId="8" fillId="0" borderId="0" xfId="0" applyNumberFormat="1" applyFont="1"/>
    <xf numFmtId="3" fontId="8" fillId="0" borderId="0" xfId="0" applyNumberFormat="1" applyFont="1"/>
    <xf numFmtId="3" fontId="16" fillId="0" borderId="0" xfId="0" applyNumberFormat="1" applyFont="1" applyFill="1" applyBorder="1" applyAlignment="1">
      <alignment horizontal="center"/>
    </xf>
    <xf numFmtId="3" fontId="14" fillId="4" borderId="0" xfId="0" applyNumberFormat="1" applyFont="1" applyFill="1" applyBorder="1" applyAlignment="1"/>
    <xf numFmtId="3" fontId="7" fillId="0" borderId="0" xfId="0" applyNumberFormat="1" applyFont="1"/>
    <xf numFmtId="164" fontId="8" fillId="4" borderId="9" xfId="0" applyNumberFormat="1" applyFont="1" applyFill="1" applyBorder="1"/>
    <xf numFmtId="0" fontId="8" fillId="4" borderId="10" xfId="0" applyFont="1" applyFill="1" applyBorder="1"/>
    <xf numFmtId="164" fontId="7" fillId="4" borderId="10" xfId="0" applyNumberFormat="1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1" fontId="8" fillId="0" borderId="0" xfId="0" applyNumberFormat="1" applyFont="1" applyAlignment="1"/>
    <xf numFmtId="0" fontId="8" fillId="4" borderId="0" xfId="0" applyFont="1" applyFill="1" applyBorder="1"/>
    <xf numFmtId="164" fontId="8" fillId="4" borderId="0" xfId="0" applyNumberFormat="1" applyFont="1" applyFill="1" applyBorder="1"/>
    <xf numFmtId="0" fontId="7" fillId="4" borderId="0" xfId="0" applyFont="1" applyFill="1" applyBorder="1"/>
    <xf numFmtId="164" fontId="7" fillId="4" borderId="2" xfId="0" applyNumberFormat="1" applyFont="1" applyFill="1" applyBorder="1" applyAlignment="1">
      <alignment horizontal="center"/>
    </xf>
    <xf numFmtId="0" fontId="8" fillId="0" borderId="0" xfId="0" applyFont="1" applyFill="1" applyBorder="1"/>
    <xf numFmtId="3" fontId="18" fillId="7" borderId="1" xfId="4" applyNumberFormat="1" applyFont="1" applyFill="1" applyBorder="1" applyAlignment="1">
      <alignment horizontal="left" indent="2"/>
    </xf>
    <xf numFmtId="0" fontId="8" fillId="7" borderId="0" xfId="0" applyFont="1" applyFill="1" applyBorder="1"/>
    <xf numFmtId="3" fontId="7" fillId="7" borderId="0" xfId="0" applyNumberFormat="1" applyFont="1" applyFill="1" applyBorder="1"/>
    <xf numFmtId="165" fontId="7" fillId="7" borderId="2" xfId="0" applyNumberFormat="1" applyFont="1" applyFill="1" applyBorder="1"/>
    <xf numFmtId="164" fontId="7" fillId="0" borderId="0" xfId="0" applyNumberFormat="1" applyFont="1" applyFill="1" applyBorder="1" applyAlignment="1">
      <alignment horizontal="center"/>
    </xf>
    <xf numFmtId="3" fontId="19" fillId="4" borderId="1" xfId="4" applyNumberFormat="1" applyFont="1" applyFill="1" applyBorder="1" applyAlignment="1">
      <alignment horizontal="left" indent="8"/>
    </xf>
    <xf numFmtId="165" fontId="8" fillId="4" borderId="2" xfId="0" applyNumberFormat="1" applyFont="1" applyFill="1" applyBorder="1"/>
    <xf numFmtId="0" fontId="15" fillId="4" borderId="0" xfId="0" applyFont="1" applyFill="1" applyBorder="1" applyAlignment="1">
      <alignment horizontal="left" vertical="center" indent="3"/>
    </xf>
    <xf numFmtId="3" fontId="19" fillId="4" borderId="3" xfId="4" applyNumberFormat="1" applyFont="1" applyFill="1" applyBorder="1" applyAlignment="1">
      <alignment horizontal="left" indent="8"/>
    </xf>
    <xf numFmtId="3" fontId="8" fillId="4" borderId="4" xfId="0" applyNumberFormat="1" applyFont="1" applyFill="1" applyBorder="1"/>
    <xf numFmtId="0" fontId="8" fillId="4" borderId="4" xfId="0" applyFont="1" applyFill="1" applyBorder="1"/>
    <xf numFmtId="164" fontId="8" fillId="4" borderId="4" xfId="0" applyNumberFormat="1" applyFont="1" applyFill="1" applyBorder="1"/>
    <xf numFmtId="164" fontId="8" fillId="4" borderId="5" xfId="0" applyNumberFormat="1" applyFont="1" applyFill="1" applyBorder="1"/>
    <xf numFmtId="165" fontId="7" fillId="0" borderId="0" xfId="0" applyNumberFormat="1" applyFont="1" applyFill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165" fontId="8" fillId="0" borderId="0" xfId="0" applyNumberFormat="1" applyFont="1" applyFill="1" applyBorder="1"/>
    <xf numFmtId="0" fontId="15" fillId="4" borderId="0" xfId="0" applyFont="1" applyFill="1" applyBorder="1" applyAlignment="1">
      <alignment horizontal="left" indent="1"/>
    </xf>
    <xf numFmtId="0" fontId="8" fillId="0" borderId="0" xfId="0" applyFont="1" applyBorder="1"/>
    <xf numFmtId="164" fontId="8" fillId="0" borderId="0" xfId="0" applyNumberFormat="1" applyFont="1" applyFill="1" applyBorder="1"/>
    <xf numFmtId="0" fontId="8" fillId="0" borderId="0" xfId="0" applyFont="1" applyFill="1"/>
    <xf numFmtId="3" fontId="8" fillId="0" borderId="0" xfId="0" applyNumberFormat="1" applyFont="1" applyFill="1"/>
    <xf numFmtId="164" fontId="8" fillId="0" borderId="0" xfId="0" applyNumberFormat="1" applyFont="1" applyFill="1"/>
    <xf numFmtId="0" fontId="20" fillId="0" borderId="0" xfId="0" applyFont="1" applyFill="1" applyBorder="1" applyAlignment="1">
      <alignment horizontal="left" indent="2"/>
    </xf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3" fontId="20" fillId="4" borderId="0" xfId="0" applyNumberFormat="1" applyFont="1" applyFill="1" applyBorder="1" applyAlignment="1">
      <alignment horizontal="center"/>
    </xf>
    <xf numFmtId="164" fontId="20" fillId="4" borderId="0" xfId="0" applyNumberFormat="1" applyFont="1" applyFill="1" applyBorder="1" applyAlignment="1">
      <alignment horizontal="center"/>
    </xf>
    <xf numFmtId="0" fontId="21" fillId="0" borderId="0" xfId="0" applyFont="1" applyFill="1"/>
    <xf numFmtId="0" fontId="15" fillId="0" borderId="0" xfId="0" applyFont="1" applyFill="1" applyBorder="1" applyAlignment="1">
      <alignment horizontal="left" indent="2"/>
    </xf>
    <xf numFmtId="3" fontId="16" fillId="0" borderId="0" xfId="0" applyNumberFormat="1" applyFont="1" applyFill="1" applyBorder="1"/>
    <xf numFmtId="0" fontId="20" fillId="4" borderId="0" xfId="0" applyFont="1" applyFill="1" applyBorder="1" applyAlignment="1">
      <alignment horizontal="left" indent="2"/>
    </xf>
    <xf numFmtId="3" fontId="20" fillId="4" borderId="0" xfId="0" applyNumberFormat="1" applyFont="1" applyFill="1" applyBorder="1"/>
    <xf numFmtId="3" fontId="21" fillId="4" borderId="0" xfId="0" applyNumberFormat="1" applyFont="1" applyFill="1"/>
    <xf numFmtId="0" fontId="21" fillId="4" borderId="0" xfId="0" applyFont="1" applyFill="1"/>
    <xf numFmtId="3" fontId="16" fillId="0" borderId="0" xfId="0" applyNumberFormat="1" applyFont="1" applyFill="1" applyBorder="1" applyAlignment="1">
      <alignment horizontal="left" indent="2"/>
    </xf>
    <xf numFmtId="164" fontId="16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indent="2"/>
    </xf>
    <xf numFmtId="0" fontId="13" fillId="5" borderId="0" xfId="0" applyFont="1" applyFill="1" applyBorder="1" applyAlignment="1">
      <alignment horizontal="left"/>
    </xf>
    <xf numFmtId="3" fontId="14" fillId="5" borderId="0" xfId="0" applyNumberFormat="1" applyFont="1" applyFill="1" applyBorder="1"/>
    <xf numFmtId="164" fontId="14" fillId="5" borderId="0" xfId="0" applyNumberFormat="1" applyFont="1" applyFill="1" applyBorder="1" applyAlignment="1">
      <alignment horizontal="center"/>
    </xf>
    <xf numFmtId="165" fontId="16" fillId="4" borderId="0" xfId="0" applyNumberFormat="1" applyFont="1" applyFill="1" applyAlignment="1">
      <alignment horizontal="center"/>
    </xf>
    <xf numFmtId="0" fontId="15" fillId="4" borderId="0" xfId="0" applyFont="1" applyFill="1" applyBorder="1" applyAlignment="1">
      <alignment horizontal="left" indent="3"/>
    </xf>
    <xf numFmtId="0" fontId="15" fillId="4" borderId="0" xfId="0" applyFont="1" applyFill="1" applyBorder="1"/>
    <xf numFmtId="0" fontId="8" fillId="4" borderId="0" xfId="0" applyFont="1" applyFill="1"/>
    <xf numFmtId="3" fontId="13" fillId="5" borderId="0" xfId="0" applyNumberFormat="1" applyFont="1" applyFill="1" applyBorder="1" applyAlignment="1">
      <alignment horizontal="left"/>
    </xf>
    <xf numFmtId="3" fontId="13" fillId="5" borderId="0" xfId="0" applyNumberFormat="1" applyFont="1" applyFill="1" applyBorder="1" applyAlignment="1">
      <alignment horizontal="center"/>
    </xf>
    <xf numFmtId="164" fontId="13" fillId="5" borderId="0" xfId="0" applyNumberFormat="1" applyFont="1" applyFill="1" applyBorder="1" applyAlignment="1">
      <alignment horizontal="center"/>
    </xf>
    <xf numFmtId="165" fontId="13" fillId="5" borderId="0" xfId="0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4" borderId="12" xfId="0" applyFont="1" applyFill="1" applyBorder="1"/>
    <xf numFmtId="3" fontId="14" fillId="4" borderId="12" xfId="0" applyNumberFormat="1" applyFont="1" applyFill="1" applyBorder="1"/>
    <xf numFmtId="164" fontId="14" fillId="4" borderId="12" xfId="0" applyNumberFormat="1" applyFont="1" applyFill="1" applyBorder="1" applyAlignment="1">
      <alignment horizontal="center"/>
    </xf>
    <xf numFmtId="0" fontId="8" fillId="8" borderId="0" xfId="0" applyFont="1" applyFill="1"/>
    <xf numFmtId="3" fontId="8" fillId="4" borderId="0" xfId="0" applyNumberFormat="1" applyFont="1" applyFill="1"/>
    <xf numFmtId="3" fontId="8" fillId="0" borderId="0" xfId="0" applyNumberFormat="1" applyFont="1" applyBorder="1"/>
    <xf numFmtId="0" fontId="8" fillId="8" borderId="0" xfId="0" applyFont="1" applyFill="1" applyBorder="1"/>
    <xf numFmtId="3" fontId="8" fillId="4" borderId="0" xfId="0" applyNumberFormat="1" applyFont="1" applyFill="1" applyBorder="1"/>
    <xf numFmtId="3" fontId="8" fillId="0" borderId="0" xfId="0" applyNumberFormat="1" applyFont="1" applyFill="1" applyBorder="1"/>
    <xf numFmtId="164" fontId="8" fillId="0" borderId="0" xfId="0" applyNumberFormat="1" applyFont="1" applyBorder="1"/>
    <xf numFmtId="166" fontId="8" fillId="0" borderId="0" xfId="0" applyNumberFormat="1" applyFont="1" applyBorder="1"/>
    <xf numFmtId="166" fontId="8" fillId="4" borderId="0" xfId="0" applyNumberFormat="1" applyFont="1" applyFill="1" applyBorder="1"/>
    <xf numFmtId="166" fontId="8" fillId="0" borderId="0" xfId="0" applyNumberFormat="1" applyFont="1" applyFill="1" applyBorder="1"/>
    <xf numFmtId="43" fontId="8" fillId="4" borderId="0" xfId="1" applyFont="1" applyFill="1" applyBorder="1"/>
    <xf numFmtId="0" fontId="8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/>
    <xf numFmtId="0" fontId="0" fillId="0" borderId="0" xfId="0" applyFill="1"/>
    <xf numFmtId="0" fontId="9" fillId="3" borderId="0" xfId="0" applyFont="1" applyFill="1"/>
    <xf numFmtId="3" fontId="16" fillId="4" borderId="0" xfId="0" applyNumberFormat="1" applyFont="1" applyFill="1"/>
    <xf numFmtId="0" fontId="16" fillId="4" borderId="0" xfId="0" applyFont="1" applyFill="1"/>
    <xf numFmtId="165" fontId="16" fillId="4" borderId="0" xfId="0" applyNumberFormat="1" applyFont="1" applyFill="1"/>
    <xf numFmtId="164" fontId="0" fillId="0" borderId="0" xfId="0" applyNumberFormat="1" applyFill="1"/>
    <xf numFmtId="3" fontId="15" fillId="4" borderId="0" xfId="0" applyNumberFormat="1" applyFont="1" applyFill="1"/>
    <xf numFmtId="3" fontId="0" fillId="0" borderId="0" xfId="0" applyNumberFormat="1" applyFill="1"/>
    <xf numFmtId="3" fontId="16" fillId="5" borderId="0" xfId="0" applyNumberFormat="1" applyFont="1" applyFill="1"/>
    <xf numFmtId="164" fontId="14" fillId="5" borderId="0" xfId="0" applyNumberFormat="1" applyFont="1" applyFill="1"/>
    <xf numFmtId="165" fontId="14" fillId="5" borderId="0" xfId="0" applyNumberFormat="1" applyFont="1" applyFill="1"/>
    <xf numFmtId="0" fontId="15" fillId="4" borderId="0" xfId="0" applyFont="1" applyFill="1" applyBorder="1" applyAlignment="1">
      <alignment horizontal="left" wrapText="1" indent="1"/>
    </xf>
    <xf numFmtId="1" fontId="16" fillId="4" borderId="0" xfId="0" applyNumberFormat="1" applyFont="1" applyFill="1"/>
    <xf numFmtId="0" fontId="13" fillId="4" borderId="12" xfId="0" applyFont="1" applyFill="1" applyBorder="1" applyAlignment="1">
      <alignment wrapText="1"/>
    </xf>
    <xf numFmtId="165" fontId="14" fillId="4" borderId="12" xfId="0" applyNumberFormat="1" applyFont="1" applyFill="1" applyBorder="1"/>
    <xf numFmtId="1" fontId="0" fillId="0" borderId="0" xfId="0" applyNumberFormat="1" applyFill="1"/>
    <xf numFmtId="0" fontId="26" fillId="3" borderId="0" xfId="0" applyFont="1" applyFill="1" applyBorder="1" applyAlignment="1">
      <alignment horizontal="center"/>
    </xf>
    <xf numFmtId="0" fontId="26" fillId="3" borderId="0" xfId="0" applyFont="1" applyFill="1" applyBorder="1" applyAlignment="1"/>
    <xf numFmtId="0" fontId="0" fillId="4" borderId="0" xfId="0" applyFont="1" applyFill="1"/>
    <xf numFmtId="0" fontId="26" fillId="3" borderId="0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 wrapText="1"/>
    </xf>
    <xf numFmtId="0" fontId="28" fillId="4" borderId="0" xfId="0" applyFont="1" applyFill="1" applyBorder="1"/>
    <xf numFmtId="3" fontId="29" fillId="4" borderId="0" xfId="0" applyNumberFormat="1" applyFont="1" applyFill="1" applyBorder="1"/>
    <xf numFmtId="3" fontId="28" fillId="4" borderId="0" xfId="0" applyNumberFormat="1" applyFont="1" applyFill="1" applyBorder="1"/>
    <xf numFmtId="3" fontId="28" fillId="4" borderId="0" xfId="0" applyNumberFormat="1" applyFont="1" applyFill="1" applyBorder="1" applyAlignment="1">
      <alignment horizontal="right"/>
    </xf>
    <xf numFmtId="164" fontId="28" fillId="4" borderId="0" xfId="0" applyNumberFormat="1" applyFont="1" applyFill="1" applyBorder="1"/>
    <xf numFmtId="3" fontId="28" fillId="0" borderId="0" xfId="0" applyNumberFormat="1" applyFont="1" applyFill="1" applyBorder="1"/>
    <xf numFmtId="164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3" fontId="30" fillId="4" borderId="0" xfId="0" applyNumberFormat="1" applyFont="1" applyFill="1"/>
    <xf numFmtId="164" fontId="30" fillId="4" borderId="0" xfId="0" applyNumberFormat="1" applyFont="1" applyFill="1"/>
    <xf numFmtId="0" fontId="28" fillId="4" borderId="0" xfId="0" applyFont="1" applyFill="1" applyBorder="1" applyAlignment="1">
      <alignment horizontal="left" indent="1"/>
    </xf>
    <xf numFmtId="3" fontId="28" fillId="4" borderId="0" xfId="0" applyNumberFormat="1" applyFont="1" applyFill="1" applyBorder="1" applyAlignment="1">
      <alignment vertical="center"/>
    </xf>
    <xf numFmtId="164" fontId="28" fillId="4" borderId="0" xfId="0" applyNumberFormat="1" applyFont="1" applyFill="1" applyBorder="1" applyAlignment="1">
      <alignment vertical="center"/>
    </xf>
    <xf numFmtId="0" fontId="27" fillId="4" borderId="0" xfId="0" applyFont="1" applyFill="1" applyBorder="1" applyAlignment="1">
      <alignment horizontal="left" indent="3"/>
    </xf>
    <xf numFmtId="3" fontId="31" fillId="4" borderId="0" xfId="0" applyNumberFormat="1" applyFont="1" applyFill="1" applyBorder="1"/>
    <xf numFmtId="3" fontId="31" fillId="4" borderId="0" xfId="0" applyNumberFormat="1" applyFont="1" applyFill="1" applyBorder="1" applyAlignment="1">
      <alignment horizontal="right"/>
    </xf>
    <xf numFmtId="3" fontId="27" fillId="4" borderId="0" xfId="0" applyNumberFormat="1" applyFont="1" applyFill="1" applyBorder="1"/>
    <xf numFmtId="3" fontId="27" fillId="4" borderId="0" xfId="0" applyNumberFormat="1" applyFont="1" applyFill="1" applyBorder="1" applyAlignment="1">
      <alignment vertical="center"/>
    </xf>
    <xf numFmtId="164" fontId="27" fillId="4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/>
    <xf numFmtId="164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center"/>
    </xf>
    <xf numFmtId="3" fontId="32" fillId="4" borderId="0" xfId="0" applyNumberFormat="1" applyFont="1" applyFill="1"/>
    <xf numFmtId="164" fontId="32" fillId="4" borderId="0" xfId="0" applyNumberFormat="1" applyFont="1" applyFill="1"/>
    <xf numFmtId="3" fontId="0" fillId="4" borderId="0" xfId="0" applyNumberFormat="1" applyFont="1" applyFill="1"/>
    <xf numFmtId="3" fontId="27" fillId="4" borderId="0" xfId="0" applyNumberFormat="1" applyFont="1" applyFill="1" applyBorder="1" applyAlignment="1">
      <alignment horizontal="right"/>
    </xf>
    <xf numFmtId="0" fontId="28" fillId="0" borderId="0" xfId="0" applyFont="1" applyFill="1" applyBorder="1"/>
    <xf numFmtId="3" fontId="29" fillId="0" borderId="0" xfId="0" applyNumberFormat="1" applyFont="1" applyFill="1" applyBorder="1"/>
    <xf numFmtId="3" fontId="28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vertical="center"/>
    </xf>
    <xf numFmtId="164" fontId="28" fillId="0" borderId="0" xfId="0" applyNumberFormat="1" applyFont="1" applyFill="1" applyBorder="1" applyAlignment="1">
      <alignment vertical="center"/>
    </xf>
    <xf numFmtId="164" fontId="28" fillId="0" borderId="0" xfId="0" applyNumberFormat="1" applyFont="1" applyFill="1" applyBorder="1"/>
    <xf numFmtId="0" fontId="0" fillId="0" borderId="0" xfId="0" applyFont="1" applyFill="1"/>
    <xf numFmtId="0" fontId="27" fillId="0" borderId="0" xfId="0" applyFont="1" applyFill="1" applyBorder="1" applyAlignment="1">
      <alignment horizontal="left" indent="2"/>
    </xf>
    <xf numFmtId="3" fontId="31" fillId="0" borderId="0" xfId="0" applyNumberFormat="1" applyFont="1" applyFill="1" applyBorder="1"/>
    <xf numFmtId="3" fontId="27" fillId="0" borderId="0" xfId="0" applyNumberFormat="1" applyFont="1" applyFill="1" applyBorder="1" applyAlignment="1">
      <alignment horizontal="right"/>
    </xf>
    <xf numFmtId="3" fontId="27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/>
    <xf numFmtId="3" fontId="31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 indent="3"/>
    </xf>
    <xf numFmtId="3" fontId="29" fillId="4" borderId="0" xfId="0" applyNumberFormat="1" applyFont="1" applyFill="1" applyBorder="1" applyAlignment="1">
      <alignment horizontal="right"/>
    </xf>
    <xf numFmtId="3" fontId="29" fillId="4" borderId="0" xfId="0" applyNumberFormat="1" applyFont="1" applyFill="1" applyBorder="1" applyAlignment="1">
      <alignment vertical="center"/>
    </xf>
    <xf numFmtId="0" fontId="4" fillId="4" borderId="0" xfId="0" applyFont="1" applyFill="1"/>
    <xf numFmtId="0" fontId="28" fillId="4" borderId="0" xfId="0" applyFont="1" applyFill="1" applyBorder="1" applyAlignment="1">
      <alignment horizontal="left"/>
    </xf>
    <xf numFmtId="164" fontId="29" fillId="4" borderId="0" xfId="0" applyNumberFormat="1" applyFont="1" applyFill="1" applyBorder="1"/>
    <xf numFmtId="0" fontId="27" fillId="4" borderId="0" xfId="0" applyFont="1" applyFill="1" applyBorder="1" applyAlignment="1">
      <alignment horizontal="left" indent="2"/>
    </xf>
    <xf numFmtId="164" fontId="27" fillId="4" borderId="0" xfId="0" applyNumberFormat="1" applyFont="1" applyFill="1" applyBorder="1"/>
    <xf numFmtId="0" fontId="27" fillId="0" borderId="0" xfId="0" applyFont="1" applyFill="1" applyBorder="1"/>
    <xf numFmtId="165" fontId="27" fillId="4" borderId="0" xfId="0" applyNumberFormat="1" applyFont="1" applyFill="1" applyBorder="1"/>
    <xf numFmtId="2" fontId="27" fillId="4" borderId="0" xfId="0" applyNumberFormat="1" applyFont="1" applyFill="1" applyBorder="1"/>
    <xf numFmtId="164" fontId="31" fillId="4" borderId="0" xfId="0" applyNumberFormat="1" applyFont="1" applyFill="1" applyBorder="1"/>
    <xf numFmtId="165" fontId="27" fillId="4" borderId="0" xfId="0" applyNumberFormat="1" applyFont="1" applyFill="1" applyBorder="1" applyAlignment="1">
      <alignment horizontal="right"/>
    </xf>
    <xf numFmtId="4" fontId="31" fillId="4" borderId="0" xfId="0" applyNumberFormat="1" applyFont="1" applyFill="1" applyBorder="1"/>
    <xf numFmtId="165" fontId="31" fillId="4" borderId="0" xfId="0" applyNumberFormat="1" applyFont="1" applyFill="1" applyBorder="1"/>
    <xf numFmtId="4" fontId="27" fillId="4" borderId="0" xfId="0" applyNumberFormat="1" applyFont="1" applyFill="1" applyBorder="1"/>
    <xf numFmtId="4" fontId="27" fillId="4" borderId="0" xfId="0" applyNumberFormat="1" applyFont="1" applyFill="1" applyBorder="1" applyAlignment="1">
      <alignment vertical="center"/>
    </xf>
    <xf numFmtId="165" fontId="27" fillId="0" borderId="0" xfId="0" applyNumberFormat="1" applyFont="1" applyFill="1" applyBorder="1"/>
    <xf numFmtId="165" fontId="0" fillId="4" borderId="0" xfId="0" applyNumberFormat="1" applyFont="1" applyFill="1"/>
    <xf numFmtId="1" fontId="27" fillId="4" borderId="0" xfId="0" applyNumberFormat="1" applyFont="1" applyFill="1" applyBorder="1"/>
    <xf numFmtId="1" fontId="31" fillId="4" borderId="0" xfId="0" applyNumberFormat="1" applyFont="1" applyFill="1" applyBorder="1"/>
    <xf numFmtId="0" fontId="27" fillId="0" borderId="0" xfId="0" applyFont="1" applyFill="1" applyBorder="1" applyAlignment="1">
      <alignment horizontal="center"/>
    </xf>
    <xf numFmtId="4" fontId="27" fillId="4" borderId="0" xfId="0" applyNumberFormat="1" applyFont="1" applyFill="1" applyBorder="1" applyAlignment="1">
      <alignment horizontal="right"/>
    </xf>
    <xf numFmtId="0" fontId="27" fillId="0" borderId="14" xfId="0" applyFont="1" applyFill="1" applyBorder="1"/>
    <xf numFmtId="165" fontId="27" fillId="4" borderId="14" xfId="0" applyNumberFormat="1" applyFont="1" applyFill="1" applyBorder="1"/>
    <xf numFmtId="3" fontId="27" fillId="4" borderId="14" xfId="0" applyNumberFormat="1" applyFont="1" applyFill="1" applyBorder="1"/>
    <xf numFmtId="164" fontId="31" fillId="4" borderId="14" xfId="0" applyNumberFormat="1" applyFont="1" applyFill="1" applyBorder="1"/>
    <xf numFmtId="165" fontId="27" fillId="4" borderId="14" xfId="0" applyNumberFormat="1" applyFont="1" applyFill="1" applyBorder="1" applyAlignment="1">
      <alignment horizontal="right"/>
    </xf>
    <xf numFmtId="165" fontId="31" fillId="4" borderId="14" xfId="0" applyNumberFormat="1" applyFont="1" applyFill="1" applyBorder="1"/>
    <xf numFmtId="3" fontId="31" fillId="4" borderId="14" xfId="0" applyNumberFormat="1" applyFont="1" applyFill="1" applyBorder="1"/>
    <xf numFmtId="164" fontId="27" fillId="4" borderId="14" xfId="0" applyNumberFormat="1" applyFont="1" applyFill="1" applyBorder="1"/>
    <xf numFmtId="164" fontId="27" fillId="4" borderId="14" xfId="0" applyNumberFormat="1" applyFont="1" applyFill="1" applyBorder="1" applyAlignment="1">
      <alignment vertical="center"/>
    </xf>
    <xf numFmtId="165" fontId="27" fillId="0" borderId="14" xfId="0" applyNumberFormat="1" applyFont="1" applyFill="1" applyBorder="1"/>
    <xf numFmtId="0" fontId="27" fillId="0" borderId="14" xfId="0" applyFont="1" applyFill="1" applyBorder="1" applyAlignment="1">
      <alignment horizontal="center"/>
    </xf>
    <xf numFmtId="165" fontId="32" fillId="4" borderId="14" xfId="0" applyNumberFormat="1" applyFont="1" applyFill="1" applyBorder="1"/>
    <xf numFmtId="164" fontId="32" fillId="4" borderId="14" xfId="0" applyNumberFormat="1" applyFont="1" applyFill="1" applyBorder="1"/>
    <xf numFmtId="3" fontId="27" fillId="4" borderId="14" xfId="0" applyNumberFormat="1" applyFont="1" applyFill="1" applyBorder="1" applyAlignment="1">
      <alignment vertical="center"/>
    </xf>
    <xf numFmtId="164" fontId="31" fillId="4" borderId="14" xfId="0" applyNumberFormat="1" applyFont="1" applyFill="1" applyBorder="1" applyAlignment="1">
      <alignment vertical="center"/>
    </xf>
    <xf numFmtId="1" fontId="27" fillId="4" borderId="14" xfId="0" applyNumberFormat="1" applyFont="1" applyFill="1" applyBorder="1" applyAlignment="1">
      <alignment vertical="center"/>
    </xf>
    <xf numFmtId="164" fontId="27" fillId="0" borderId="14" xfId="0" applyNumberFormat="1" applyFont="1" applyFill="1" applyBorder="1" applyAlignment="1">
      <alignment vertical="center"/>
    </xf>
    <xf numFmtId="3" fontId="28" fillId="10" borderId="0" xfId="0" applyNumberFormat="1" applyFont="1" applyFill="1" applyBorder="1"/>
    <xf numFmtId="3" fontId="27" fillId="10" borderId="0" xfId="0" applyNumberFormat="1" applyFont="1" applyFill="1" applyBorder="1"/>
    <xf numFmtId="0" fontId="31" fillId="0" borderId="0" xfId="0" applyFont="1" applyFill="1" applyBorder="1" applyAlignment="1">
      <alignment horizontal="left" indent="1"/>
    </xf>
    <xf numFmtId="3" fontId="31" fillId="10" borderId="0" xfId="0" applyNumberFormat="1" applyFont="1" applyFill="1" applyBorder="1"/>
    <xf numFmtId="0" fontId="28" fillId="0" borderId="0" xfId="0" applyFont="1" applyFill="1" applyBorder="1" applyAlignment="1">
      <alignment horizontal="left" indent="3"/>
    </xf>
    <xf numFmtId="0" fontId="31" fillId="0" borderId="0" xfId="0" applyFont="1" applyFill="1" applyBorder="1" applyAlignment="1">
      <alignment horizontal="left" indent="3"/>
    </xf>
    <xf numFmtId="0" fontId="31" fillId="0" borderId="0" xfId="0" applyFont="1" applyFill="1" applyBorder="1" applyAlignment="1">
      <alignment horizontal="left" indent="4"/>
    </xf>
    <xf numFmtId="3" fontId="34" fillId="0" borderId="0" xfId="0" applyNumberFormat="1" applyFont="1" applyFill="1" applyBorder="1"/>
    <xf numFmtId="0" fontId="31" fillId="0" borderId="0" xfId="0" applyFont="1" applyFill="1" applyBorder="1" applyAlignment="1">
      <alignment horizontal="left" indent="6"/>
    </xf>
    <xf numFmtId="0" fontId="27" fillId="0" borderId="0" xfId="0" applyFont="1" applyFill="1" applyBorder="1" applyAlignment="1">
      <alignment horizontal="left" indent="6"/>
    </xf>
    <xf numFmtId="167" fontId="8" fillId="0" borderId="0" xfId="2" applyNumberFormat="1" applyFont="1" applyFill="1"/>
    <xf numFmtId="3" fontId="0" fillId="0" borderId="0" xfId="0" applyNumberFormat="1" applyFont="1" applyFill="1"/>
    <xf numFmtId="0" fontId="27" fillId="0" borderId="0" xfId="0" applyFont="1" applyFill="1" applyBorder="1" applyAlignment="1">
      <alignment horizontal="left" indent="1"/>
    </xf>
    <xf numFmtId="0" fontId="29" fillId="4" borderId="12" xfId="0" applyFont="1" applyFill="1" applyBorder="1" applyAlignment="1"/>
    <xf numFmtId="0" fontId="29" fillId="4" borderId="12" xfId="0" applyFont="1" applyFill="1" applyBorder="1"/>
    <xf numFmtId="164" fontId="29" fillId="4" borderId="12" xfId="0" applyNumberFormat="1" applyFont="1" applyFill="1" applyBorder="1" applyAlignment="1"/>
    <xf numFmtId="3" fontId="29" fillId="4" borderId="12" xfId="0" applyNumberFormat="1" applyFont="1" applyFill="1" applyBorder="1" applyAlignment="1"/>
    <xf numFmtId="1" fontId="29" fillId="4" borderId="12" xfId="0" applyNumberFormat="1" applyFont="1" applyFill="1" applyBorder="1" applyAlignment="1"/>
    <xf numFmtId="165" fontId="29" fillId="4" borderId="12" xfId="0" applyNumberFormat="1" applyFont="1" applyFill="1" applyBorder="1" applyAlignment="1"/>
    <xf numFmtId="0" fontId="31" fillId="4" borderId="12" xfId="0" applyFont="1" applyFill="1" applyBorder="1" applyAlignment="1">
      <alignment horizontal="center"/>
    </xf>
    <xf numFmtId="0" fontId="35" fillId="0" borderId="0" xfId="0" applyFont="1" applyFill="1" applyBorder="1"/>
    <xf numFmtId="0" fontId="5" fillId="0" borderId="0" xfId="0" applyFont="1" applyFill="1" applyBorder="1" applyAlignment="1"/>
    <xf numFmtId="3" fontId="36" fillId="4" borderId="0" xfId="0" applyNumberFormat="1" applyFont="1" applyFill="1"/>
    <xf numFmtId="0" fontId="0" fillId="4" borderId="0" xfId="0" applyFont="1" applyFill="1" applyBorder="1"/>
    <xf numFmtId="3" fontId="37" fillId="4" borderId="0" xfId="0" applyNumberFormat="1" applyFont="1" applyFill="1"/>
    <xf numFmtId="3" fontId="38" fillId="4" borderId="0" xfId="0" applyNumberFormat="1" applyFont="1" applyFill="1"/>
    <xf numFmtId="3" fontId="39" fillId="4" borderId="0" xfId="0" applyNumberFormat="1" applyFont="1" applyFill="1" applyAlignment="1">
      <alignment vertical="center"/>
    </xf>
    <xf numFmtId="3" fontId="39" fillId="4" borderId="0" xfId="0" applyNumberFormat="1" applyFont="1" applyFill="1" applyBorder="1" applyAlignment="1">
      <alignment vertical="center"/>
    </xf>
    <xf numFmtId="0" fontId="39" fillId="4" borderId="0" xfId="0" applyFont="1" applyFill="1" applyAlignment="1">
      <alignment vertical="center"/>
    </xf>
    <xf numFmtId="1" fontId="0" fillId="4" borderId="0" xfId="0" applyNumberFormat="1" applyFont="1" applyFill="1"/>
    <xf numFmtId="1" fontId="0" fillId="4" borderId="0" xfId="0" applyNumberFormat="1" applyFont="1" applyFill="1" applyBorder="1"/>
    <xf numFmtId="0" fontId="36" fillId="4" borderId="0" xfId="0" applyFont="1" applyFill="1"/>
    <xf numFmtId="0" fontId="4" fillId="0" borderId="0" xfId="0" applyFont="1"/>
    <xf numFmtId="0" fontId="4" fillId="0" borderId="0" xfId="0" applyFont="1" applyAlignment="1">
      <alignment wrapText="1"/>
    </xf>
    <xf numFmtId="3" fontId="0" fillId="0" borderId="0" xfId="0" applyNumberFormat="1"/>
    <xf numFmtId="3" fontId="3" fillId="0" borderId="0" xfId="0" applyNumberFormat="1" applyFont="1"/>
    <xf numFmtId="0" fontId="36" fillId="0" borderId="0" xfId="0" applyFont="1"/>
    <xf numFmtId="0" fontId="36" fillId="0" borderId="0" xfId="0" applyFont="1" applyAlignment="1">
      <alignment wrapText="1"/>
    </xf>
    <xf numFmtId="3" fontId="36" fillId="0" borderId="0" xfId="0" applyNumberFormat="1" applyFont="1"/>
    <xf numFmtId="3" fontId="36" fillId="0" borderId="15" xfId="0" applyNumberFormat="1" applyFont="1" applyBorder="1"/>
    <xf numFmtId="3" fontId="36" fillId="0" borderId="0" xfId="0" applyNumberFormat="1" applyFont="1" applyAlignment="1">
      <alignment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40" fillId="5" borderId="16" xfId="0" applyFont="1" applyFill="1" applyBorder="1" applyAlignment="1">
      <alignment horizontal="center"/>
    </xf>
    <xf numFmtId="3" fontId="2" fillId="5" borderId="17" xfId="0" applyNumberFormat="1" applyFont="1" applyFill="1" applyBorder="1" applyAlignment="1">
      <alignment horizontal="center"/>
    </xf>
    <xf numFmtId="3" fontId="2" fillId="5" borderId="18" xfId="0" applyNumberFormat="1" applyFont="1" applyFill="1" applyBorder="1" applyAlignment="1">
      <alignment horizontal="center"/>
    </xf>
    <xf numFmtId="3" fontId="2" fillId="5" borderId="19" xfId="0" applyNumberFormat="1" applyFont="1" applyFill="1" applyBorder="1" applyAlignment="1">
      <alignment horizontal="center"/>
    </xf>
    <xf numFmtId="168" fontId="36" fillId="0" borderId="0" xfId="1" applyNumberFormat="1" applyFont="1"/>
    <xf numFmtId="0" fontId="22" fillId="0" borderId="20" xfId="0" applyFont="1" applyBorder="1" applyAlignment="1">
      <alignment vertical="top" wrapText="1"/>
    </xf>
    <xf numFmtId="3" fontId="19" fillId="0" borderId="20" xfId="0" applyNumberFormat="1" applyFont="1" applyFill="1" applyBorder="1"/>
    <xf numFmtId="0" fontId="42" fillId="4" borderId="21" xfId="0" applyFont="1" applyFill="1" applyBorder="1" applyAlignment="1">
      <alignment horizontal="left" wrapText="1"/>
    </xf>
    <xf numFmtId="3" fontId="42" fillId="4" borderId="21" xfId="0" applyNumberFormat="1" applyFont="1" applyFill="1" applyBorder="1" applyAlignment="1">
      <alignment horizontal="left" indent="1"/>
    </xf>
    <xf numFmtId="0" fontId="36" fillId="0" borderId="0" xfId="0" applyFont="1" applyFill="1"/>
    <xf numFmtId="0" fontId="36" fillId="11" borderId="22" xfId="0" applyFont="1" applyFill="1" applyBorder="1" applyAlignment="1">
      <alignment horizontal="left" wrapText="1"/>
    </xf>
    <xf numFmtId="3" fontId="36" fillId="12" borderId="22" xfId="0" applyNumberFormat="1" applyFont="1" applyFill="1" applyBorder="1" applyAlignment="1">
      <alignment horizontal="left" indent="1"/>
    </xf>
    <xf numFmtId="3" fontId="36" fillId="11" borderId="22" xfId="0" applyNumberFormat="1" applyFont="1" applyFill="1" applyBorder="1" applyAlignment="1">
      <alignment horizontal="left" indent="1"/>
    </xf>
    <xf numFmtId="3" fontId="42" fillId="11" borderId="22" xfId="0" applyNumberFormat="1" applyFont="1" applyFill="1" applyBorder="1" applyAlignment="1">
      <alignment horizontal="left" indent="1"/>
    </xf>
    <xf numFmtId="3" fontId="36" fillId="0" borderId="0" xfId="0" applyNumberFormat="1" applyFont="1" applyFill="1"/>
    <xf numFmtId="0" fontId="42" fillId="4" borderId="22" xfId="0" applyFont="1" applyFill="1" applyBorder="1" applyAlignment="1">
      <alignment horizontal="left" wrapText="1"/>
    </xf>
    <xf numFmtId="3" fontId="42" fillId="4" borderId="22" xfId="0" applyNumberFormat="1" applyFont="1" applyFill="1" applyBorder="1" applyAlignment="1">
      <alignment horizontal="left" indent="1"/>
    </xf>
    <xf numFmtId="0" fontId="3" fillId="4" borderId="22" xfId="0" applyFont="1" applyFill="1" applyBorder="1" applyAlignment="1">
      <alignment horizontal="left" wrapText="1"/>
    </xf>
    <xf numFmtId="3" fontId="3" fillId="0" borderId="0" xfId="0" applyNumberFormat="1" applyFont="1" applyFill="1"/>
    <xf numFmtId="0" fontId="3" fillId="0" borderId="0" xfId="0" applyFont="1"/>
    <xf numFmtId="0" fontId="43" fillId="0" borderId="0" xfId="0" applyFont="1"/>
    <xf numFmtId="0" fontId="36" fillId="4" borderId="22" xfId="0" applyFont="1" applyFill="1" applyBorder="1" applyAlignment="1">
      <alignment horizontal="left" wrapText="1"/>
    </xf>
    <xf numFmtId="0" fontId="36" fillId="13" borderId="22" xfId="0" applyFont="1" applyFill="1" applyBorder="1" applyAlignment="1">
      <alignment horizontal="left" wrapText="1"/>
    </xf>
    <xf numFmtId="3" fontId="42" fillId="13" borderId="22" xfId="0" applyNumberFormat="1" applyFont="1" applyFill="1" applyBorder="1" applyAlignment="1">
      <alignment horizontal="left" indent="1"/>
    </xf>
    <xf numFmtId="0" fontId="36" fillId="4" borderId="22" xfId="0" applyFont="1" applyFill="1" applyBorder="1" applyAlignment="1">
      <alignment horizontal="center"/>
    </xf>
    <xf numFmtId="0" fontId="36" fillId="4" borderId="22" xfId="0" applyFont="1" applyFill="1" applyBorder="1" applyAlignment="1">
      <alignment horizontal="center" wrapText="1"/>
    </xf>
    <xf numFmtId="3" fontId="36" fillId="4" borderId="22" xfId="0" applyNumberFormat="1" applyFont="1" applyFill="1" applyBorder="1" applyAlignment="1">
      <alignment horizontal="center"/>
    </xf>
    <xf numFmtId="3" fontId="36" fillId="4" borderId="22" xfId="0" applyNumberFormat="1" applyFont="1" applyFill="1" applyBorder="1" applyAlignment="1">
      <alignment horizontal="center" wrapText="1"/>
    </xf>
    <xf numFmtId="0" fontId="36" fillId="11" borderId="22" xfId="0" applyFont="1" applyFill="1" applyBorder="1" applyAlignment="1">
      <alignment wrapText="1"/>
    </xf>
    <xf numFmtId="3" fontId="36" fillId="11" borderId="22" xfId="0" applyNumberFormat="1" applyFont="1" applyFill="1" applyBorder="1" applyAlignment="1">
      <alignment horizontal="center" wrapText="1"/>
    </xf>
    <xf numFmtId="3" fontId="36" fillId="13" borderId="22" xfId="0" applyNumberFormat="1" applyFont="1" applyFill="1" applyBorder="1" applyAlignment="1">
      <alignment horizontal="left" indent="2"/>
    </xf>
    <xf numFmtId="3" fontId="3" fillId="4" borderId="22" xfId="0" applyNumberFormat="1" applyFont="1" applyFill="1" applyBorder="1" applyAlignment="1">
      <alignment horizontal="left" indent="2"/>
    </xf>
    <xf numFmtId="3" fontId="36" fillId="4" borderId="22" xfId="0" applyNumberFormat="1" applyFont="1" applyFill="1" applyBorder="1" applyAlignment="1">
      <alignment horizontal="left" indent="2"/>
    </xf>
    <xf numFmtId="3" fontId="36" fillId="11" borderId="22" xfId="0" applyNumberFormat="1" applyFont="1" applyFill="1" applyBorder="1" applyAlignment="1">
      <alignment horizontal="left" indent="2"/>
    </xf>
    <xf numFmtId="0" fontId="43" fillId="0" borderId="0" xfId="0" applyFont="1" applyFill="1" applyAlignment="1">
      <alignment horizontal="center"/>
    </xf>
    <xf numFmtId="0" fontId="3" fillId="0" borderId="0" xfId="0" applyFont="1" applyFill="1"/>
    <xf numFmtId="3" fontId="42" fillId="4" borderId="22" xfId="0" applyNumberFormat="1" applyFont="1" applyFill="1" applyBorder="1" applyAlignment="1">
      <alignment horizontal="left" indent="2"/>
    </xf>
    <xf numFmtId="3" fontId="42" fillId="0" borderId="0" xfId="0" applyNumberFormat="1" applyFont="1" applyFill="1"/>
    <xf numFmtId="0" fontId="3" fillId="11" borderId="22" xfId="0" applyFont="1" applyFill="1" applyBorder="1" applyAlignment="1">
      <alignment horizontal="left" wrapText="1"/>
    </xf>
    <xf numFmtId="3" fontId="3" fillId="11" borderId="22" xfId="0" applyNumberFormat="1" applyFont="1" applyFill="1" applyBorder="1" applyAlignment="1">
      <alignment horizontal="left" indent="2"/>
    </xf>
    <xf numFmtId="0" fontId="3" fillId="10" borderId="22" xfId="0" applyFont="1" applyFill="1" applyBorder="1" applyAlignment="1">
      <alignment horizontal="left" wrapText="1"/>
    </xf>
    <xf numFmtId="3" fontId="3" fillId="10" borderId="22" xfId="0" applyNumberFormat="1" applyFont="1" applyFill="1" applyBorder="1" applyAlignment="1">
      <alignment horizontal="left" indent="2"/>
    </xf>
    <xf numFmtId="3" fontId="36" fillId="11" borderId="23" xfId="0" applyNumberFormat="1" applyFont="1" applyFill="1" applyBorder="1" applyAlignment="1">
      <alignment horizontal="left" indent="2"/>
    </xf>
    <xf numFmtId="3" fontId="36" fillId="11" borderId="23" xfId="0" applyNumberFormat="1" applyFont="1" applyFill="1" applyBorder="1" applyAlignment="1"/>
    <xf numFmtId="0" fontId="36" fillId="14" borderId="0" xfId="0" applyFont="1" applyFill="1"/>
    <xf numFmtId="3" fontId="36" fillId="14" borderId="0" xfId="0" applyNumberFormat="1" applyFont="1" applyFill="1"/>
    <xf numFmtId="0" fontId="44" fillId="4" borderId="16" xfId="0" applyFont="1" applyFill="1" applyBorder="1" applyAlignment="1">
      <alignment horizontal="center" vertical="center"/>
    </xf>
    <xf numFmtId="0" fontId="44" fillId="4" borderId="18" xfId="0" applyFont="1" applyFill="1" applyBorder="1" applyAlignment="1">
      <alignment horizontal="center" vertical="center" wrapText="1"/>
    </xf>
    <xf numFmtId="3" fontId="44" fillId="4" borderId="18" xfId="0" applyNumberFormat="1" applyFont="1" applyFill="1" applyBorder="1" applyAlignment="1">
      <alignment horizontal="center" vertical="center"/>
    </xf>
    <xf numFmtId="3" fontId="44" fillId="4" borderId="19" xfId="0" applyNumberFormat="1" applyFont="1" applyFill="1" applyBorder="1" applyAlignment="1">
      <alignment horizontal="center" vertical="center"/>
    </xf>
    <xf numFmtId="3" fontId="44" fillId="0" borderId="0" xfId="0" applyNumberFormat="1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2" fillId="4" borderId="20" xfId="0" applyFont="1" applyFill="1" applyBorder="1" applyAlignment="1">
      <alignment horizontal="left" wrapText="1"/>
    </xf>
    <xf numFmtId="3" fontId="42" fillId="4" borderId="20" xfId="0" applyNumberFormat="1" applyFont="1" applyFill="1" applyBorder="1" applyAlignment="1">
      <alignment horizontal="left" indent="2"/>
    </xf>
    <xf numFmtId="3" fontId="43" fillId="0" borderId="0" xfId="0" applyNumberFormat="1" applyFont="1" applyFill="1"/>
    <xf numFmtId="0" fontId="36" fillId="11" borderId="23" xfId="0" applyFont="1" applyFill="1" applyBorder="1" applyAlignment="1">
      <alignment horizontal="left" wrapText="1"/>
    </xf>
    <xf numFmtId="0" fontId="44" fillId="4" borderId="16" xfId="0" applyFont="1" applyFill="1" applyBorder="1" applyAlignment="1">
      <alignment horizontal="center"/>
    </xf>
    <xf numFmtId="0" fontId="44" fillId="4" borderId="18" xfId="0" applyFont="1" applyFill="1" applyBorder="1" applyAlignment="1">
      <alignment horizontal="center" wrapText="1"/>
    </xf>
    <xf numFmtId="3" fontId="44" fillId="4" borderId="18" xfId="0" applyNumberFormat="1" applyFont="1" applyFill="1" applyBorder="1" applyAlignment="1">
      <alignment horizontal="center"/>
    </xf>
    <xf numFmtId="3" fontId="44" fillId="4" borderId="19" xfId="0" applyNumberFormat="1" applyFont="1" applyFill="1" applyBorder="1" applyAlignment="1">
      <alignment horizontal="center"/>
    </xf>
    <xf numFmtId="0" fontId="42" fillId="0" borderId="22" xfId="0" applyFont="1" applyFill="1" applyBorder="1" applyAlignment="1">
      <alignment horizontal="left" wrapText="1"/>
    </xf>
    <xf numFmtId="3" fontId="42" fillId="0" borderId="22" xfId="0" applyNumberFormat="1" applyFont="1" applyFill="1" applyBorder="1" applyAlignment="1">
      <alignment horizontal="left" indent="2"/>
    </xf>
    <xf numFmtId="0" fontId="42" fillId="0" borderId="0" xfId="0" applyFont="1" applyFill="1"/>
    <xf numFmtId="0" fontId="3" fillId="4" borderId="23" xfId="0" applyFont="1" applyFill="1" applyBorder="1" applyAlignment="1">
      <alignment horizontal="left" wrapText="1"/>
    </xf>
    <xf numFmtId="3" fontId="3" fillId="4" borderId="23" xfId="0" applyNumberFormat="1" applyFont="1" applyFill="1" applyBorder="1" applyAlignment="1">
      <alignment horizontal="left" indent="2"/>
    </xf>
    <xf numFmtId="0" fontId="42" fillId="0" borderId="0" xfId="0" applyFont="1"/>
    <xf numFmtId="3" fontId="21" fillId="11" borderId="6" xfId="0" applyNumberFormat="1" applyFont="1" applyFill="1" applyBorder="1"/>
    <xf numFmtId="3" fontId="21" fillId="11" borderId="24" xfId="0" applyNumberFormat="1" applyFont="1" applyFill="1" applyBorder="1"/>
    <xf numFmtId="3" fontId="21" fillId="11" borderId="22" xfId="0" applyNumberFormat="1" applyFont="1" applyFill="1" applyBorder="1"/>
    <xf numFmtId="0" fontId="36" fillId="0" borderId="0" xfId="0" applyFont="1" applyBorder="1"/>
    <xf numFmtId="0" fontId="36" fillId="12" borderId="22" xfId="0" applyFont="1" applyFill="1" applyBorder="1" applyAlignment="1">
      <alignment horizontal="left" wrapText="1"/>
    </xf>
    <xf numFmtId="3" fontId="36" fillId="12" borderId="22" xfId="0" applyNumberFormat="1" applyFont="1" applyFill="1" applyBorder="1" applyAlignment="1">
      <alignment horizontal="left" indent="2"/>
    </xf>
    <xf numFmtId="3" fontId="0" fillId="13" borderId="0" xfId="0" applyNumberFormat="1" applyFill="1"/>
    <xf numFmtId="3" fontId="19" fillId="0" borderId="0" xfId="0" applyNumberFormat="1" applyFont="1" applyFill="1" applyBorder="1"/>
    <xf numFmtId="0" fontId="36" fillId="0" borderId="0" xfId="0" applyFont="1" applyFill="1" applyBorder="1"/>
    <xf numFmtId="3" fontId="3" fillId="11" borderId="22" xfId="0" applyNumberFormat="1" applyFont="1" applyFill="1" applyBorder="1" applyAlignment="1">
      <alignment horizontal="left" wrapText="1"/>
    </xf>
    <xf numFmtId="3" fontId="36" fillId="11" borderId="22" xfId="0" applyNumberFormat="1" applyFont="1" applyFill="1" applyBorder="1" applyAlignment="1">
      <alignment horizontal="left" wrapText="1"/>
    </xf>
    <xf numFmtId="3" fontId="42" fillId="4" borderId="22" xfId="0" applyNumberFormat="1" applyFont="1" applyFill="1" applyBorder="1" applyAlignment="1">
      <alignment horizontal="left" wrapText="1"/>
    </xf>
    <xf numFmtId="3" fontId="3" fillId="4" borderId="22" xfId="0" applyNumberFormat="1" applyFont="1" applyFill="1" applyBorder="1" applyAlignment="1">
      <alignment horizontal="left" wrapText="1"/>
    </xf>
    <xf numFmtId="3" fontId="36" fillId="4" borderId="22" xfId="0" applyNumberFormat="1" applyFont="1" applyFill="1" applyBorder="1" applyAlignment="1">
      <alignment horizontal="left" wrapText="1"/>
    </xf>
    <xf numFmtId="3" fontId="36" fillId="0" borderId="0" xfId="0" applyNumberFormat="1" applyFont="1" applyBorder="1"/>
    <xf numFmtId="3" fontId="36" fillId="11" borderId="23" xfId="0" applyNumberFormat="1" applyFont="1" applyFill="1" applyBorder="1" applyAlignment="1">
      <alignment horizontal="left" wrapText="1"/>
    </xf>
    <xf numFmtId="0" fontId="44" fillId="4" borderId="25" xfId="0" applyFont="1" applyFill="1" applyBorder="1" applyAlignment="1">
      <alignment horizontal="center" vertical="center"/>
    </xf>
    <xf numFmtId="0" fontId="44" fillId="4" borderId="17" xfId="0" applyFont="1" applyFill="1" applyBorder="1" applyAlignment="1">
      <alignment horizontal="center" vertical="center" wrapText="1"/>
    </xf>
    <xf numFmtId="3" fontId="44" fillId="4" borderId="17" xfId="0" applyNumberFormat="1" applyFont="1" applyFill="1" applyBorder="1" applyAlignment="1">
      <alignment horizontal="center" vertical="center"/>
    </xf>
    <xf numFmtId="3" fontId="44" fillId="15" borderId="26" xfId="0" applyNumberFormat="1" applyFont="1" applyFill="1" applyBorder="1" applyAlignment="1">
      <alignment horizontal="center" vertical="center"/>
    </xf>
    <xf numFmtId="3" fontId="45" fillId="0" borderId="0" xfId="0" applyNumberFormat="1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3" fontId="42" fillId="4" borderId="21" xfId="0" applyNumberFormat="1" applyFont="1" applyFill="1" applyBorder="1" applyAlignment="1">
      <alignment horizontal="left" indent="2"/>
    </xf>
    <xf numFmtId="3" fontId="42" fillId="4" borderId="21" xfId="0" applyNumberFormat="1" applyFont="1" applyFill="1" applyBorder="1" applyAlignment="1">
      <alignment horizontal="left" wrapText="1"/>
    </xf>
    <xf numFmtId="3" fontId="44" fillId="4" borderId="18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3" fontId="42" fillId="4" borderId="20" xfId="0" applyNumberFormat="1" applyFont="1" applyFill="1" applyBorder="1" applyAlignment="1">
      <alignment horizontal="left" wrapText="1"/>
    </xf>
    <xf numFmtId="3" fontId="36" fillId="10" borderId="22" xfId="0" applyNumberFormat="1" applyFont="1" applyFill="1" applyBorder="1" applyAlignment="1">
      <alignment horizontal="left" wrapText="1"/>
    </xf>
    <xf numFmtId="3" fontId="36" fillId="12" borderId="22" xfId="0" applyNumberFormat="1" applyFont="1" applyFill="1" applyBorder="1" applyAlignment="1">
      <alignment horizontal="left" wrapText="1"/>
    </xf>
    <xf numFmtId="3" fontId="4" fillId="5" borderId="0" xfId="0" applyNumberFormat="1" applyFont="1" applyFill="1"/>
    <xf numFmtId="3" fontId="42" fillId="5" borderId="23" xfId="0" applyNumberFormat="1" applyFont="1" applyFill="1" applyBorder="1"/>
    <xf numFmtId="0" fontId="0" fillId="0" borderId="0" xfId="0" applyAlignment="1">
      <alignment wrapText="1"/>
    </xf>
    <xf numFmtId="3" fontId="7" fillId="0" borderId="0" xfId="0" applyNumberFormat="1" applyFont="1" applyFill="1" applyBorder="1"/>
    <xf numFmtId="3" fontId="0" fillId="0" borderId="0" xfId="0" applyNumberFormat="1" applyBorder="1"/>
    <xf numFmtId="0" fontId="0" fillId="0" borderId="0" xfId="0" applyBorder="1"/>
    <xf numFmtId="0" fontId="0" fillId="0" borderId="22" xfId="0" applyBorder="1" applyAlignment="1">
      <alignment wrapText="1"/>
    </xf>
    <xf numFmtId="3" fontId="0" fillId="0" borderId="22" xfId="0" applyNumberFormat="1" applyBorder="1"/>
    <xf numFmtId="3" fontId="46" fillId="0" borderId="22" xfId="0" applyNumberFormat="1" applyFont="1" applyBorder="1"/>
    <xf numFmtId="3" fontId="7" fillId="0" borderId="22" xfId="0" applyNumberFormat="1" applyFont="1" applyFill="1" applyBorder="1"/>
    <xf numFmtId="3" fontId="0" fillId="0" borderId="22" xfId="0" applyNumberFormat="1" applyFill="1" applyBorder="1"/>
    <xf numFmtId="0" fontId="0" fillId="16" borderId="22" xfId="0" applyFill="1" applyBorder="1" applyAlignment="1">
      <alignment wrapText="1"/>
    </xf>
    <xf numFmtId="3" fontId="0" fillId="16" borderId="0" xfId="0" applyNumberFormat="1" applyFill="1"/>
    <xf numFmtId="3" fontId="0" fillId="17" borderId="22" xfId="0" applyNumberFormat="1" applyFill="1" applyBorder="1"/>
    <xf numFmtId="3" fontId="36" fillId="0" borderId="0" xfId="0" applyNumberFormat="1" applyFont="1" applyFill="1" applyBorder="1"/>
    <xf numFmtId="3" fontId="0" fillId="10" borderId="0" xfId="0" applyNumberFormat="1" applyFill="1"/>
    <xf numFmtId="3" fontId="4" fillId="0" borderId="0" xfId="0" applyNumberFormat="1" applyFont="1"/>
    <xf numFmtId="0" fontId="22" fillId="0" borderId="22" xfId="5" applyFont="1" applyBorder="1" applyAlignment="1">
      <alignment horizontal="center"/>
    </xf>
    <xf numFmtId="3" fontId="22" fillId="0" borderId="23" xfId="5" applyNumberFormat="1" applyFont="1" applyBorder="1" applyAlignment="1">
      <alignment horizontal="center"/>
    </xf>
    <xf numFmtId="3" fontId="22" fillId="0" borderId="23" xfId="5" applyNumberFormat="1" applyFont="1" applyFill="1" applyBorder="1" applyAlignment="1">
      <alignment horizontal="center"/>
    </xf>
    <xf numFmtId="3" fontId="22" fillId="0" borderId="22" xfId="5" applyNumberFormat="1" applyFont="1" applyFill="1" applyBorder="1" applyAlignment="1">
      <alignment horizontal="center"/>
    </xf>
    <xf numFmtId="3" fontId="22" fillId="0" borderId="22" xfId="5" applyNumberFormat="1" applyFont="1" applyBorder="1" applyAlignment="1">
      <alignment horizontal="center"/>
    </xf>
    <xf numFmtId="3" fontId="41" fillId="0" borderId="22" xfId="5" applyNumberFormat="1" applyFont="1" applyFill="1" applyBorder="1" applyAlignment="1">
      <alignment horizontal="center"/>
    </xf>
    <xf numFmtId="0" fontId="47" fillId="4" borderId="22" xfId="0" applyFont="1" applyFill="1" applyBorder="1"/>
    <xf numFmtId="0" fontId="47" fillId="4" borderId="22" xfId="0" applyFont="1" applyFill="1" applyBorder="1" applyAlignment="1">
      <alignment vertical="top" wrapText="1"/>
    </xf>
    <xf numFmtId="3" fontId="7" fillId="4" borderId="22" xfId="0" applyNumberFormat="1" applyFont="1" applyFill="1" applyBorder="1"/>
    <xf numFmtId="0" fontId="41" fillId="0" borderId="22" xfId="0" applyFont="1" applyFill="1" applyBorder="1" applyAlignment="1">
      <alignment horizontal="left"/>
    </xf>
    <xf numFmtId="0" fontId="41" fillId="4" borderId="22" xfId="0" applyFont="1" applyFill="1" applyBorder="1" applyAlignment="1">
      <alignment horizontal="left" vertical="top" wrapText="1" indent="3"/>
    </xf>
    <xf numFmtId="3" fontId="17" fillId="0" borderId="22" xfId="6" applyNumberFormat="1" applyBorder="1"/>
    <xf numFmtId="3" fontId="8" fillId="0" borderId="22" xfId="0" applyNumberFormat="1" applyFont="1" applyFill="1" applyBorder="1"/>
    <xf numFmtId="3" fontId="8" fillId="4" borderId="22" xfId="0" applyNumberFormat="1" applyFont="1" applyFill="1" applyBorder="1"/>
    <xf numFmtId="3" fontId="19" fillId="0" borderId="22" xfId="0" applyNumberFormat="1" applyFont="1" applyFill="1" applyBorder="1"/>
    <xf numFmtId="0" fontId="41" fillId="4" borderId="22" xfId="0" applyFont="1" applyFill="1" applyBorder="1" applyAlignment="1">
      <alignment horizontal="left" vertical="top" wrapText="1" indent="1"/>
    </xf>
    <xf numFmtId="3" fontId="19" fillId="4" borderId="22" xfId="0" applyNumberFormat="1" applyFont="1" applyFill="1" applyBorder="1"/>
    <xf numFmtId="0" fontId="22" fillId="0" borderId="22" xfId="0" applyFont="1" applyFill="1" applyBorder="1" applyAlignment="1">
      <alignment horizontal="left"/>
    </xf>
    <xf numFmtId="0" fontId="22" fillId="4" borderId="22" xfId="0" applyFont="1" applyFill="1" applyBorder="1" applyAlignment="1">
      <alignment vertical="top" wrapText="1"/>
    </xf>
    <xf numFmtId="3" fontId="35" fillId="4" borderId="22" xfId="0" applyNumberFormat="1" applyFont="1" applyFill="1" applyBorder="1"/>
    <xf numFmtId="3" fontId="35" fillId="0" borderId="22" xfId="0" applyNumberFormat="1" applyFont="1" applyFill="1" applyBorder="1"/>
    <xf numFmtId="0" fontId="48" fillId="0" borderId="22" xfId="0" applyFont="1" applyFill="1" applyBorder="1"/>
    <xf numFmtId="0" fontId="48" fillId="4" borderId="22" xfId="0" applyFont="1" applyFill="1" applyBorder="1" applyAlignment="1">
      <alignment vertical="top" wrapText="1"/>
    </xf>
    <xf numFmtId="3" fontId="35" fillId="4" borderId="6" xfId="0" applyNumberFormat="1" applyFont="1" applyFill="1" applyBorder="1"/>
    <xf numFmtId="3" fontId="35" fillId="0" borderId="6" xfId="0" applyNumberFormat="1" applyFont="1" applyFill="1" applyBorder="1"/>
    <xf numFmtId="0" fontId="41" fillId="0" borderId="22" xfId="0" applyFont="1" applyFill="1" applyBorder="1"/>
    <xf numFmtId="3" fontId="8" fillId="4" borderId="24" xfId="0" applyNumberFormat="1" applyFont="1" applyFill="1" applyBorder="1"/>
    <xf numFmtId="0" fontId="41" fillId="0" borderId="22" xfId="0" applyFont="1" applyFill="1" applyBorder="1" applyAlignment="1">
      <alignment horizontal="left" vertical="top" wrapText="1" indent="1"/>
    </xf>
    <xf numFmtId="3" fontId="8" fillId="0" borderId="24" xfId="0" applyNumberFormat="1" applyFont="1" applyFill="1" applyBorder="1"/>
    <xf numFmtId="3" fontId="8" fillId="18" borderId="22" xfId="0" applyNumberFormat="1" applyFont="1" applyFill="1" applyBorder="1"/>
    <xf numFmtId="3" fontId="8" fillId="0" borderId="23" xfId="0" applyNumberFormat="1" applyFont="1" applyFill="1" applyBorder="1"/>
    <xf numFmtId="3" fontId="8" fillId="4" borderId="23" xfId="0" applyNumberFormat="1" applyFont="1" applyFill="1" applyBorder="1"/>
    <xf numFmtId="3" fontId="19" fillId="0" borderId="23" xfId="0" applyNumberFormat="1" applyFont="1" applyFill="1" applyBorder="1"/>
    <xf numFmtId="0" fontId="22" fillId="0" borderId="22" xfId="0" applyFont="1" applyFill="1" applyBorder="1"/>
    <xf numFmtId="3" fontId="4" fillId="0" borderId="0" xfId="0" applyNumberFormat="1" applyFont="1" applyAlignment="1"/>
    <xf numFmtId="0" fontId="4" fillId="0" borderId="0" xfId="0" applyFont="1" applyAlignment="1"/>
    <xf numFmtId="3" fontId="4" fillId="0" borderId="22" xfId="0" applyNumberFormat="1" applyFont="1" applyBorder="1" applyAlignment="1"/>
    <xf numFmtId="0" fontId="4" fillId="0" borderId="0" xfId="0" applyFont="1" applyAlignment="1">
      <alignment horizontal="center"/>
    </xf>
    <xf numFmtId="0" fontId="48" fillId="0" borderId="22" xfId="0" applyFont="1" applyFill="1" applyBorder="1" applyAlignment="1">
      <alignment vertical="top" wrapText="1"/>
    </xf>
    <xf numFmtId="0" fontId="4" fillId="19" borderId="0" xfId="0" applyFont="1" applyFill="1"/>
    <xf numFmtId="0" fontId="4" fillId="19" borderId="27" xfId="0" applyFont="1" applyFill="1" applyBorder="1"/>
    <xf numFmtId="0" fontId="4" fillId="0" borderId="27" xfId="0" applyFont="1" applyBorder="1"/>
    <xf numFmtId="0" fontId="4" fillId="0" borderId="28" xfId="0" applyFont="1" applyBorder="1"/>
    <xf numFmtId="3" fontId="4" fillId="0" borderId="28" xfId="0" applyNumberFormat="1" applyFont="1" applyBorder="1"/>
    <xf numFmtId="3" fontId="4" fillId="0" borderId="28" xfId="0" applyNumberFormat="1" applyFont="1" applyFill="1" applyBorder="1"/>
    <xf numFmtId="3" fontId="0" fillId="0" borderId="29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0" fontId="4" fillId="19" borderId="32" xfId="0" applyFont="1" applyFill="1" applyBorder="1"/>
    <xf numFmtId="3" fontId="4" fillId="19" borderId="32" xfId="0" applyNumberFormat="1" applyFont="1" applyFill="1" applyBorder="1"/>
    <xf numFmtId="3" fontId="0" fillId="0" borderId="33" xfId="0" applyNumberFormat="1" applyBorder="1"/>
    <xf numFmtId="169" fontId="49" fillId="0" borderId="0" xfId="7" applyFont="1" applyBorder="1" applyAlignment="1">
      <alignment horizontal="center" vertical="center" wrapText="1"/>
    </xf>
    <xf numFmtId="169" fontId="17" fillId="0" borderId="0" xfId="7"/>
    <xf numFmtId="169" fontId="49" fillId="0" borderId="34" xfId="7" applyFont="1" applyBorder="1"/>
    <xf numFmtId="169" fontId="49" fillId="0" borderId="35" xfId="7" applyFont="1" applyFill="1" applyBorder="1" applyAlignment="1">
      <alignment horizontal="center" vertical="center"/>
    </xf>
    <xf numFmtId="169" fontId="49" fillId="0" borderId="35" xfId="7" applyFont="1" applyBorder="1" applyAlignment="1">
      <alignment horizontal="center" vertical="center"/>
    </xf>
    <xf numFmtId="169" fontId="50" fillId="0" borderId="36" xfId="7" applyFont="1" applyBorder="1"/>
    <xf numFmtId="169" fontId="49" fillId="0" borderId="35" xfId="7" applyFont="1" applyBorder="1"/>
    <xf numFmtId="169" fontId="51" fillId="0" borderId="23" xfId="7" applyFont="1" applyBorder="1"/>
    <xf numFmtId="169" fontId="51" fillId="0" borderId="11" xfId="7" applyFont="1" applyBorder="1"/>
    <xf numFmtId="169" fontId="49" fillId="0" borderId="37" xfId="7" applyFont="1" applyBorder="1" applyAlignment="1"/>
    <xf numFmtId="169" fontId="49" fillId="0" borderId="38" xfId="7" applyFont="1" applyBorder="1" applyAlignment="1"/>
    <xf numFmtId="169" fontId="49" fillId="0" borderId="38" xfId="7" applyFont="1" applyFill="1" applyBorder="1" applyAlignment="1"/>
    <xf numFmtId="169" fontId="49" fillId="0" borderId="39" xfId="7" applyFont="1" applyBorder="1" applyAlignment="1"/>
    <xf numFmtId="169" fontId="51" fillId="0" borderId="40" xfId="7" applyFont="1" applyBorder="1"/>
    <xf numFmtId="169" fontId="51" fillId="0" borderId="41" xfId="7" applyFont="1" applyBorder="1"/>
    <xf numFmtId="169" fontId="49" fillId="0" borderId="34" xfId="7" applyFont="1" applyBorder="1" applyAlignment="1"/>
    <xf numFmtId="14" fontId="52" fillId="0" borderId="35" xfId="7" applyNumberFormat="1" applyFont="1" applyBorder="1"/>
    <xf numFmtId="0" fontId="52" fillId="0" borderId="35" xfId="7" applyNumberFormat="1" applyFont="1" applyBorder="1"/>
    <xf numFmtId="169" fontId="52" fillId="0" borderId="35" xfId="8" applyFont="1" applyFill="1" applyBorder="1"/>
    <xf numFmtId="3" fontId="52" fillId="0" borderId="35" xfId="7" applyNumberFormat="1" applyFont="1" applyBorder="1"/>
    <xf numFmtId="169" fontId="49" fillId="0" borderId="35" xfId="7" applyFont="1" applyBorder="1" applyAlignment="1"/>
    <xf numFmtId="0" fontId="3" fillId="0" borderId="35" xfId="9" applyNumberFormat="1" applyFont="1" applyFill="1" applyBorder="1"/>
    <xf numFmtId="169" fontId="53" fillId="0" borderId="35" xfId="7" applyFont="1" applyBorder="1"/>
    <xf numFmtId="170" fontId="54" fillId="0" borderId="35" xfId="7" applyNumberFormat="1" applyFont="1" applyBorder="1" applyAlignment="1"/>
    <xf numFmtId="0" fontId="54" fillId="0" borderId="35" xfId="7" applyNumberFormat="1" applyFont="1" applyBorder="1" applyAlignment="1">
      <alignment horizontal="center"/>
    </xf>
    <xf numFmtId="3" fontId="54" fillId="0" borderId="35" xfId="7" applyNumberFormat="1" applyFont="1" applyBorder="1"/>
    <xf numFmtId="3" fontId="55" fillId="0" borderId="35" xfId="7" applyNumberFormat="1" applyFont="1" applyBorder="1"/>
    <xf numFmtId="0" fontId="49" fillId="0" borderId="0" xfId="9" applyFont="1" applyFill="1" applyBorder="1"/>
    <xf numFmtId="14" fontId="54" fillId="0" borderId="35" xfId="7" applyNumberFormat="1" applyFont="1" applyBorder="1"/>
    <xf numFmtId="0" fontId="54" fillId="0" borderId="35" xfId="7" applyNumberFormat="1" applyFont="1" applyBorder="1"/>
    <xf numFmtId="169" fontId="54" fillId="0" borderId="0" xfId="7" applyFont="1" applyFill="1" applyBorder="1"/>
    <xf numFmtId="3" fontId="55" fillId="13" borderId="35" xfId="7" applyNumberFormat="1" applyFont="1" applyFill="1" applyBorder="1"/>
    <xf numFmtId="14" fontId="54" fillId="0" borderId="42" xfId="7" applyNumberFormat="1" applyFont="1" applyBorder="1"/>
    <xf numFmtId="3" fontId="54" fillId="0" borderId="35" xfId="9" applyNumberFormat="1" applyFont="1" applyBorder="1"/>
    <xf numFmtId="0" fontId="56" fillId="0" borderId="43" xfId="9" applyFont="1" applyBorder="1"/>
    <xf numFmtId="169" fontId="56" fillId="0" borderId="44" xfId="7" applyFont="1" applyBorder="1"/>
    <xf numFmtId="169" fontId="57" fillId="0" borderId="44" xfId="7" applyFont="1" applyFill="1" applyBorder="1"/>
    <xf numFmtId="3" fontId="57" fillId="0" borderId="44" xfId="7" applyNumberFormat="1" applyFont="1" applyBorder="1"/>
    <xf numFmtId="3" fontId="17" fillId="16" borderId="44" xfId="7" applyNumberFormat="1" applyFill="1" applyBorder="1"/>
    <xf numFmtId="170" fontId="52" fillId="0" borderId="35" xfId="7" applyNumberFormat="1" applyFont="1" applyBorder="1" applyAlignment="1"/>
    <xf numFmtId="169" fontId="52" fillId="0" borderId="0" xfId="7" applyFont="1" applyFill="1" applyBorder="1"/>
    <xf numFmtId="3" fontId="54" fillId="0" borderId="42" xfId="7" applyNumberFormat="1" applyFont="1" applyBorder="1"/>
    <xf numFmtId="3" fontId="53" fillId="0" borderId="35" xfId="7" applyNumberFormat="1" applyFont="1" applyFill="1" applyBorder="1"/>
    <xf numFmtId="3" fontId="53" fillId="0" borderId="42" xfId="7" applyNumberFormat="1" applyFont="1" applyFill="1" applyBorder="1"/>
    <xf numFmtId="3" fontId="52" fillId="0" borderId="42" xfId="7" applyNumberFormat="1" applyFont="1" applyBorder="1"/>
    <xf numFmtId="0" fontId="49" fillId="0" borderId="7" xfId="9" applyFont="1" applyFill="1" applyBorder="1"/>
    <xf numFmtId="169" fontId="49" fillId="0" borderId="44" xfId="7" applyFont="1" applyBorder="1"/>
    <xf numFmtId="169" fontId="49" fillId="0" borderId="44" xfId="7" applyFont="1" applyFill="1" applyBorder="1"/>
    <xf numFmtId="3" fontId="49" fillId="0" borderId="44" xfId="7" applyNumberFormat="1" applyFont="1" applyBorder="1"/>
    <xf numFmtId="3" fontId="57" fillId="0" borderId="35" xfId="7" applyNumberFormat="1" applyFont="1" applyBorder="1"/>
    <xf numFmtId="3" fontId="57" fillId="0" borderId="42" xfId="7" applyNumberFormat="1" applyFont="1" applyBorder="1"/>
    <xf numFmtId="169" fontId="17" fillId="0" borderId="0" xfId="7" applyFill="1"/>
    <xf numFmtId="3" fontId="52" fillId="0" borderId="35" xfId="7" applyNumberFormat="1" applyFont="1" applyFill="1" applyBorder="1"/>
    <xf numFmtId="169" fontId="56" fillId="0" borderId="35" xfId="7" applyFont="1" applyBorder="1"/>
    <xf numFmtId="169" fontId="57" fillId="0" borderId="0" xfId="7" applyFont="1" applyFill="1" applyBorder="1"/>
    <xf numFmtId="3" fontId="54" fillId="10" borderId="35" xfId="9" applyNumberFormat="1" applyFont="1" applyFill="1" applyBorder="1"/>
    <xf numFmtId="0" fontId="56" fillId="7" borderId="43" xfId="9" applyFont="1" applyFill="1" applyBorder="1"/>
    <xf numFmtId="169" fontId="56" fillId="7" borderId="44" xfId="7" applyFont="1" applyFill="1" applyBorder="1"/>
    <xf numFmtId="169" fontId="57" fillId="7" borderId="44" xfId="7" applyFont="1" applyFill="1" applyBorder="1"/>
    <xf numFmtId="3" fontId="57" fillId="7" borderId="44" xfId="7" applyNumberFormat="1" applyFont="1" applyFill="1" applyBorder="1"/>
    <xf numFmtId="3" fontId="17" fillId="7" borderId="44" xfId="7" applyNumberFormat="1" applyFill="1" applyBorder="1"/>
    <xf numFmtId="169" fontId="17" fillId="7" borderId="0" xfId="7" applyFill="1"/>
    <xf numFmtId="3" fontId="17" fillId="0" borderId="42" xfId="7" applyNumberFormat="1" applyFill="1" applyBorder="1"/>
    <xf numFmtId="3" fontId="17" fillId="0" borderId="35" xfId="7" applyNumberFormat="1" applyFill="1" applyBorder="1"/>
    <xf numFmtId="169" fontId="49" fillId="0" borderId="0" xfId="7" applyFont="1" applyBorder="1"/>
    <xf numFmtId="169" fontId="49" fillId="0" borderId="0" xfId="7" applyFont="1" applyFill="1" applyBorder="1"/>
    <xf numFmtId="3" fontId="49" fillId="0" borderId="0" xfId="7" applyNumberFormat="1" applyFont="1" applyBorder="1"/>
    <xf numFmtId="169" fontId="51" fillId="0" borderId="22" xfId="7" applyFont="1" applyBorder="1"/>
    <xf numFmtId="3" fontId="58" fillId="0" borderId="22" xfId="10" applyNumberFormat="1" applyFont="1" applyFill="1" applyBorder="1"/>
    <xf numFmtId="169" fontId="17" fillId="0" borderId="22" xfId="7" applyBorder="1"/>
    <xf numFmtId="164" fontId="58" fillId="0" borderId="22" xfId="10" applyNumberFormat="1" applyFont="1" applyFill="1" applyBorder="1"/>
    <xf numFmtId="169" fontId="17" fillId="0" borderId="0" xfId="7" applyBorder="1"/>
    <xf numFmtId="3" fontId="59" fillId="0" borderId="0" xfId="7" applyNumberFormat="1" applyFont="1"/>
    <xf numFmtId="171" fontId="17" fillId="0" borderId="0" xfId="1" applyNumberFormat="1" applyFont="1"/>
    <xf numFmtId="168" fontId="17" fillId="0" borderId="0" xfId="11" applyNumberFormat="1" applyFont="1"/>
    <xf numFmtId="0" fontId="56" fillId="0" borderId="4" xfId="9" applyFont="1" applyBorder="1"/>
    <xf numFmtId="0" fontId="50" fillId="0" borderId="0" xfId="9" applyFont="1"/>
    <xf numFmtId="0" fontId="50" fillId="0" borderId="0" xfId="9" applyFont="1" applyFill="1"/>
    <xf numFmtId="3" fontId="50" fillId="20" borderId="0" xfId="9" applyNumberFormat="1" applyFont="1" applyFill="1"/>
    <xf numFmtId="3" fontId="50" fillId="0" borderId="0" xfId="9" applyNumberFormat="1" applyFont="1" applyFill="1"/>
    <xf numFmtId="3" fontId="49" fillId="0" borderId="0" xfId="9" applyNumberFormat="1" applyFont="1" applyFill="1" applyBorder="1"/>
    <xf numFmtId="3" fontId="50" fillId="0" borderId="0" xfId="9" applyNumberFormat="1" applyFont="1" applyFill="1" applyBorder="1"/>
    <xf numFmtId="0" fontId="49" fillId="0" borderId="0" xfId="9" applyFont="1" applyBorder="1"/>
    <xf numFmtId="3" fontId="50" fillId="0" borderId="0" xfId="9" applyNumberFormat="1" applyFont="1"/>
    <xf numFmtId="0" fontId="50" fillId="0" borderId="0" xfId="9" applyFont="1" applyFill="1" applyBorder="1"/>
    <xf numFmtId="0" fontId="82" fillId="0" borderId="0" xfId="9" applyFill="1"/>
    <xf numFmtId="0" fontId="82" fillId="0" borderId="0" xfId="9"/>
    <xf numFmtId="3" fontId="82" fillId="15" borderId="0" xfId="9" applyNumberFormat="1" applyFill="1"/>
    <xf numFmtId="3" fontId="82" fillId="0" borderId="0" xfId="9" applyNumberFormat="1" applyFill="1"/>
    <xf numFmtId="3" fontId="82" fillId="0" borderId="0" xfId="9" applyNumberFormat="1"/>
    <xf numFmtId="0" fontId="82" fillId="0" borderId="0" xfId="9" applyBorder="1"/>
    <xf numFmtId="3" fontId="60" fillId="0" borderId="0" xfId="9" applyNumberFormat="1" applyFont="1" applyFill="1" applyBorder="1" applyAlignment="1">
      <alignment horizontal="center" vertical="center"/>
    </xf>
    <xf numFmtId="168" fontId="17" fillId="0" borderId="0" xfId="1" applyNumberFormat="1" applyFont="1"/>
    <xf numFmtId="172" fontId="17" fillId="0" borderId="0" xfId="7" applyNumberFormat="1"/>
    <xf numFmtId="168" fontId="60" fillId="0" borderId="0" xfId="1" applyNumberFormat="1" applyFont="1" applyFill="1" applyBorder="1" applyAlignment="1">
      <alignment horizontal="center" vertical="center"/>
    </xf>
    <xf numFmtId="169" fontId="82" fillId="0" borderId="0" xfId="8"/>
    <xf numFmtId="43" fontId="60" fillId="0" borderId="0" xfId="1" applyFont="1" applyFill="1" applyBorder="1" applyAlignment="1">
      <alignment horizontal="center" vertical="center"/>
    </xf>
    <xf numFmtId="2" fontId="17" fillId="0" borderId="0" xfId="7" applyNumberFormat="1"/>
    <xf numFmtId="169" fontId="51" fillId="0" borderId="0" xfId="7" applyFont="1" applyBorder="1" applyAlignment="1">
      <alignment horizontal="center" vertical="center"/>
    </xf>
    <xf numFmtId="169" fontId="49" fillId="0" borderId="22" xfId="12" applyFont="1" applyFill="1" applyBorder="1" applyAlignment="1">
      <alignment horizontal="center"/>
    </xf>
    <xf numFmtId="169" fontId="51" fillId="0" borderId="22" xfId="7" applyFont="1" applyBorder="1" applyAlignment="1">
      <alignment horizontal="center"/>
    </xf>
    <xf numFmtId="169" fontId="51" fillId="0" borderId="6" xfId="7" applyFont="1" applyBorder="1" applyAlignment="1">
      <alignment horizontal="center"/>
    </xf>
    <xf numFmtId="169" fontId="50" fillId="0" borderId="22" xfId="12" applyFont="1" applyFill="1" applyBorder="1"/>
    <xf numFmtId="173" fontId="17" fillId="0" borderId="22" xfId="7" applyNumberFormat="1" applyFill="1" applyBorder="1"/>
    <xf numFmtId="173" fontId="17" fillId="10" borderId="22" xfId="7" applyNumberFormat="1" applyFill="1" applyBorder="1"/>
    <xf numFmtId="173" fontId="17" fillId="0" borderId="22" xfId="7" applyNumberFormat="1" applyBorder="1"/>
    <xf numFmtId="169" fontId="17" fillId="4" borderId="0" xfId="7" applyFill="1"/>
    <xf numFmtId="174" fontId="17" fillId="0" borderId="0" xfId="7" applyNumberFormat="1"/>
    <xf numFmtId="169" fontId="61" fillId="0" borderId="0" xfId="7" applyFont="1"/>
    <xf numFmtId="169" fontId="17" fillId="10" borderId="0" xfId="7" applyFill="1"/>
    <xf numFmtId="17" fontId="60" fillId="16" borderId="0" xfId="9" applyNumberFormat="1" applyFont="1" applyFill="1" applyBorder="1" applyAlignment="1" applyProtection="1">
      <alignment vertical="center"/>
    </xf>
    <xf numFmtId="164" fontId="60" fillId="0" borderId="0" xfId="9" applyNumberFormat="1" applyFont="1" applyFill="1" applyBorder="1" applyAlignment="1">
      <alignment horizontal="center" vertical="center"/>
    </xf>
    <xf numFmtId="164" fontId="60" fillId="7" borderId="0" xfId="9" applyNumberFormat="1" applyFont="1" applyFill="1" applyBorder="1" applyAlignment="1">
      <alignment horizontal="center" vertical="center"/>
    </xf>
    <xf numFmtId="164" fontId="60" fillId="4" borderId="0" xfId="9" applyNumberFormat="1" applyFont="1" applyFill="1" applyBorder="1" applyAlignment="1">
      <alignment horizontal="center" vertical="center"/>
    </xf>
    <xf numFmtId="164" fontId="60" fillId="10" borderId="0" xfId="9" applyNumberFormat="1" applyFont="1" applyFill="1" applyBorder="1" applyAlignment="1">
      <alignment horizontal="center" vertical="center"/>
    </xf>
    <xf numFmtId="0" fontId="82" fillId="10" borderId="0" xfId="9" applyFill="1"/>
    <xf numFmtId="175" fontId="60" fillId="21" borderId="0" xfId="9" applyNumberFormat="1" applyFont="1" applyFill="1" applyBorder="1" applyAlignment="1" applyProtection="1">
      <alignment vertical="center"/>
    </xf>
    <xf numFmtId="164" fontId="60" fillId="21" borderId="0" xfId="9" applyNumberFormat="1" applyFont="1" applyFill="1" applyBorder="1" applyAlignment="1">
      <alignment horizontal="center" vertical="center"/>
    </xf>
    <xf numFmtId="164" fontId="60" fillId="21" borderId="0" xfId="8" applyNumberFormat="1" applyFont="1" applyFill="1" applyBorder="1" applyAlignment="1">
      <alignment horizontal="center" vertical="center"/>
    </xf>
    <xf numFmtId="169" fontId="17" fillId="21" borderId="0" xfId="7" applyFill="1"/>
    <xf numFmtId="175" fontId="60" fillId="16" borderId="0" xfId="9" applyNumberFormat="1" applyFont="1" applyFill="1" applyBorder="1" applyAlignment="1" applyProtection="1">
      <alignment vertical="center"/>
    </xf>
    <xf numFmtId="164" fontId="60" fillId="0" borderId="0" xfId="8" applyNumberFormat="1" applyFont="1" applyFill="1" applyBorder="1" applyAlignment="1">
      <alignment horizontal="center" vertical="center"/>
    </xf>
    <xf numFmtId="169" fontId="82" fillId="0" borderId="0" xfId="8" applyFill="1"/>
    <xf numFmtId="0" fontId="62" fillId="0" borderId="22" xfId="9" applyFont="1" applyBorder="1"/>
    <xf numFmtId="164" fontId="63" fillId="0" borderId="22" xfId="9" applyNumberFormat="1" applyFont="1" applyFill="1" applyBorder="1"/>
    <xf numFmtId="164" fontId="63" fillId="10" borderId="22" xfId="9" applyNumberFormat="1" applyFont="1" applyFill="1" applyBorder="1"/>
    <xf numFmtId="169" fontId="17" fillId="16" borderId="0" xfId="7" applyFill="1"/>
    <xf numFmtId="169" fontId="17" fillId="16" borderId="0" xfId="7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50" fillId="0" borderId="0" xfId="0" applyFont="1" applyFill="1" applyBorder="1" applyAlignment="1">
      <alignment horizontal="center"/>
    </xf>
    <xf numFmtId="4" fontId="0" fillId="0" borderId="0" xfId="0" applyNumberFormat="1"/>
    <xf numFmtId="4" fontId="50" fillId="0" borderId="0" xfId="0" applyNumberFormat="1" applyFont="1" applyFill="1" applyBorder="1" applyAlignment="1">
      <alignment horizontal="center"/>
    </xf>
    <xf numFmtId="4" fontId="4" fillId="0" borderId="0" xfId="0" applyNumberFormat="1" applyFont="1"/>
    <xf numFmtId="4" fontId="43" fillId="0" borderId="0" xfId="0" applyNumberFormat="1" applyFont="1"/>
    <xf numFmtId="4" fontId="3" fillId="0" borderId="0" xfId="0" applyNumberFormat="1" applyFont="1"/>
    <xf numFmtId="0" fontId="36" fillId="0" borderId="22" xfId="0" applyFont="1" applyBorder="1"/>
    <xf numFmtId="4" fontId="55" fillId="11" borderId="22" xfId="13" applyNumberFormat="1" applyFont="1" applyFill="1" applyBorder="1" applyAlignment="1">
      <alignment horizontal="center"/>
    </xf>
    <xf numFmtId="4" fontId="55" fillId="22" borderId="22" xfId="13" applyNumberFormat="1" applyFont="1" applyFill="1" applyBorder="1" applyAlignment="1">
      <alignment horizontal="center"/>
    </xf>
    <xf numFmtId="0" fontId="55" fillId="17" borderId="22" xfId="13" applyFont="1" applyFill="1" applyBorder="1" applyAlignment="1">
      <alignment horizontal="center"/>
    </xf>
    <xf numFmtId="3" fontId="36" fillId="0" borderId="22" xfId="0" applyNumberFormat="1" applyFont="1" applyBorder="1"/>
    <xf numFmtId="3" fontId="36" fillId="0" borderId="20" xfId="0" applyNumberFormat="1" applyFont="1" applyBorder="1"/>
    <xf numFmtId="3" fontId="36" fillId="10" borderId="22" xfId="0" applyNumberFormat="1" applyFont="1" applyFill="1" applyBorder="1"/>
    <xf numFmtId="3" fontId="42" fillId="0" borderId="22" xfId="0" applyNumberFormat="1" applyFont="1" applyBorder="1"/>
    <xf numFmtId="0" fontId="65" fillId="0" borderId="0" xfId="0" applyFont="1"/>
    <xf numFmtId="3" fontId="0" fillId="0" borderId="0" xfId="0" applyNumberFormat="1" applyFont="1" applyFill="1" applyBorder="1"/>
    <xf numFmtId="3" fontId="4" fillId="14" borderId="32" xfId="0" applyNumberFormat="1" applyFont="1" applyFill="1" applyBorder="1"/>
    <xf numFmtId="1" fontId="0" fillId="0" borderId="0" xfId="0" applyNumberFormat="1"/>
    <xf numFmtId="0" fontId="4" fillId="5" borderId="0" xfId="0" applyFont="1" applyFill="1" applyBorder="1"/>
    <xf numFmtId="0" fontId="0" fillId="0" borderId="45" xfId="0" applyBorder="1"/>
    <xf numFmtId="0" fontId="0" fillId="19" borderId="46" xfId="0" applyFill="1" applyBorder="1"/>
    <xf numFmtId="3" fontId="0" fillId="19" borderId="29" xfId="0" applyNumberFormat="1" applyFill="1" applyBorder="1"/>
    <xf numFmtId="3" fontId="0" fillId="21" borderId="30" xfId="0" applyNumberFormat="1" applyFill="1" applyBorder="1"/>
    <xf numFmtId="3" fontId="42" fillId="19" borderId="29" xfId="0" applyNumberFormat="1" applyFont="1" applyFill="1" applyBorder="1"/>
    <xf numFmtId="0" fontId="0" fillId="0" borderId="47" xfId="0" applyBorder="1"/>
    <xf numFmtId="0" fontId="0" fillId="23" borderId="46" xfId="0" applyFill="1" applyBorder="1"/>
    <xf numFmtId="3" fontId="0" fillId="23" borderId="29" xfId="0" applyNumberFormat="1" applyFill="1" applyBorder="1"/>
    <xf numFmtId="3" fontId="36" fillId="23" borderId="29" xfId="0" applyNumberFormat="1" applyFont="1" applyFill="1" applyBorder="1"/>
    <xf numFmtId="3" fontId="4" fillId="19" borderId="29" xfId="0" applyNumberFormat="1" applyFont="1" applyFill="1" applyBorder="1"/>
    <xf numFmtId="3" fontId="0" fillId="19" borderId="45" xfId="0" applyNumberFormat="1" applyFill="1" applyBorder="1"/>
    <xf numFmtId="0" fontId="4" fillId="0" borderId="45" xfId="0" applyFont="1" applyFill="1" applyBorder="1"/>
    <xf numFmtId="0" fontId="4" fillId="0" borderId="29" xfId="0" applyFont="1" applyFill="1" applyBorder="1"/>
    <xf numFmtId="0" fontId="4" fillId="0" borderId="48" xfId="0" applyFont="1" applyFill="1" applyBorder="1"/>
    <xf numFmtId="3" fontId="4" fillId="0" borderId="29" xfId="0" applyNumberFormat="1" applyFont="1" applyFill="1" applyBorder="1"/>
    <xf numFmtId="3" fontId="0" fillId="19" borderId="30" xfId="0" applyNumberFormat="1" applyFill="1" applyBorder="1"/>
    <xf numFmtId="0" fontId="0" fillId="19" borderId="49" xfId="0" applyFill="1" applyBorder="1"/>
    <xf numFmtId="3" fontId="0" fillId="19" borderId="0" xfId="0" applyNumberFormat="1" applyFill="1" applyBorder="1"/>
    <xf numFmtId="3" fontId="0" fillId="19" borderId="0" xfId="0" applyNumberFormat="1" applyFill="1"/>
    <xf numFmtId="3" fontId="0" fillId="19" borderId="31" xfId="0" applyNumberFormat="1" applyFill="1" applyBorder="1"/>
    <xf numFmtId="0" fontId="0" fillId="19" borderId="2" xfId="0" applyFill="1" applyBorder="1"/>
    <xf numFmtId="0" fontId="4" fillId="0" borderId="45" xfId="0" applyFont="1" applyBorder="1"/>
    <xf numFmtId="0" fontId="4" fillId="0" borderId="29" xfId="0" applyFont="1" applyBorder="1"/>
    <xf numFmtId="0" fontId="4" fillId="0" borderId="48" xfId="0" applyFont="1" applyBorder="1"/>
    <xf numFmtId="3" fontId="4" fillId="0" borderId="29" xfId="0" applyNumberFormat="1" applyFont="1" applyBorder="1"/>
    <xf numFmtId="3" fontId="0" fillId="23" borderId="30" xfId="0" applyNumberFormat="1" applyFill="1" applyBorder="1"/>
    <xf numFmtId="3" fontId="0" fillId="21" borderId="31" xfId="0" applyNumberFormat="1" applyFill="1" applyBorder="1"/>
    <xf numFmtId="0" fontId="0" fillId="0" borderId="50" xfId="0" applyBorder="1"/>
    <xf numFmtId="0" fontId="0" fillId="19" borderId="51" xfId="0" applyFill="1" applyBorder="1"/>
    <xf numFmtId="3" fontId="0" fillId="19" borderId="4" xfId="0" applyNumberFormat="1" applyFill="1" applyBorder="1"/>
    <xf numFmtId="0" fontId="0" fillId="19" borderId="52" xfId="0" applyFill="1" applyBorder="1"/>
    <xf numFmtId="3" fontId="4" fillId="0" borderId="45" xfId="0" applyNumberFormat="1" applyFont="1" applyBorder="1"/>
    <xf numFmtId="0" fontId="0" fillId="24" borderId="33" xfId="0" applyFill="1" applyBorder="1"/>
    <xf numFmtId="0" fontId="0" fillId="24" borderId="53" xfId="0" applyFill="1" applyBorder="1"/>
    <xf numFmtId="3" fontId="4" fillId="24" borderId="33" xfId="0" applyNumberFormat="1" applyFont="1" applyFill="1" applyBorder="1"/>
    <xf numFmtId="3" fontId="4" fillId="24" borderId="53" xfId="0" applyNumberFormat="1" applyFont="1" applyFill="1" applyBorder="1"/>
    <xf numFmtId="0" fontId="42" fillId="19" borderId="32" xfId="0" applyFont="1" applyFill="1" applyBorder="1"/>
    <xf numFmtId="0" fontId="36" fillId="19" borderId="22" xfId="0" applyFont="1" applyFill="1" applyBorder="1"/>
    <xf numFmtId="3" fontId="36" fillId="19" borderId="22" xfId="0" applyNumberFormat="1" applyFont="1" applyFill="1" applyBorder="1"/>
    <xf numFmtId="0" fontId="42" fillId="24" borderId="22" xfId="0" applyFont="1" applyFill="1" applyBorder="1"/>
    <xf numFmtId="3" fontId="42" fillId="24" borderId="22" xfId="0" applyNumberFormat="1" applyFont="1" applyFill="1" applyBorder="1"/>
    <xf numFmtId="0" fontId="0" fillId="0" borderId="28" xfId="0" applyFont="1" applyBorder="1"/>
    <xf numFmtId="3" fontId="0" fillId="0" borderId="28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0" fontId="4" fillId="24" borderId="32" xfId="0" applyFont="1" applyFill="1" applyBorder="1"/>
    <xf numFmtId="3" fontId="4" fillId="24" borderId="32" xfId="0" applyNumberFormat="1" applyFont="1" applyFill="1" applyBorder="1"/>
    <xf numFmtId="0" fontId="0" fillId="0" borderId="0" xfId="0" applyFont="1" applyBorder="1"/>
    <xf numFmtId="3" fontId="0" fillId="0" borderId="0" xfId="0" applyNumberFormat="1" applyFont="1" applyBorder="1"/>
    <xf numFmtId="0" fontId="0" fillId="10" borderId="0" xfId="0" applyFill="1"/>
    <xf numFmtId="0" fontId="0" fillId="0" borderId="22" xfId="0" applyBorder="1"/>
    <xf numFmtId="0" fontId="0" fillId="0" borderId="22" xfId="0" applyBorder="1" applyAlignment="1">
      <alignment horizontal="center"/>
    </xf>
    <xf numFmtId="3" fontId="0" fillId="0" borderId="22" xfId="0" applyNumberFormat="1" applyBorder="1"/>
    <xf numFmtId="0" fontId="70" fillId="2" borderId="0" xfId="3" applyFont="1"/>
    <xf numFmtId="0" fontId="3" fillId="0" borderId="0" xfId="0" applyFont="1" applyAlignment="1">
      <alignment vertical="center" wrapText="1"/>
    </xf>
    <xf numFmtId="0" fontId="69" fillId="25" borderId="22" xfId="0" applyFont="1" applyFill="1" applyBorder="1" applyAlignment="1">
      <alignment vertical="center" wrapText="1"/>
    </xf>
    <xf numFmtId="0" fontId="71" fillId="25" borderId="22" xfId="0" applyFont="1" applyFill="1" applyBorder="1" applyAlignment="1">
      <alignment wrapText="1"/>
    </xf>
    <xf numFmtId="0" fontId="68" fillId="25" borderId="22" xfId="0" applyFont="1" applyFill="1" applyBorder="1" applyAlignment="1">
      <alignment vertical="center" wrapText="1"/>
    </xf>
    <xf numFmtId="3" fontId="42" fillId="0" borderId="0" xfId="0" applyNumberFormat="1" applyFont="1"/>
    <xf numFmtId="0" fontId="0" fillId="0" borderId="0" xfId="0" applyAlignment="1">
      <alignment vertical="center" wrapText="1"/>
    </xf>
    <xf numFmtId="0" fontId="39" fillId="0" borderId="0" xfId="0" applyFont="1" applyAlignment="1">
      <alignment vertical="center" wrapText="1"/>
    </xf>
    <xf numFmtId="0" fontId="0" fillId="0" borderId="0" xfId="0" applyBorder="1" applyAlignment="1"/>
    <xf numFmtId="0" fontId="72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62" fillId="0" borderId="24" xfId="0" applyFont="1" applyFill="1" applyBorder="1"/>
    <xf numFmtId="0" fontId="62" fillId="0" borderId="15" xfId="0" applyFont="1" applyFill="1" applyBorder="1"/>
    <xf numFmtId="0" fontId="62" fillId="0" borderId="0" xfId="0" applyFont="1" applyFill="1" applyBorder="1"/>
    <xf numFmtId="0" fontId="62" fillId="4" borderId="0" xfId="0" applyFont="1" applyFill="1" applyBorder="1"/>
    <xf numFmtId="0" fontId="62" fillId="0" borderId="0" xfId="0" applyFont="1" applyFill="1"/>
    <xf numFmtId="0" fontId="62" fillId="0" borderId="24" xfId="0" applyFont="1" applyFill="1" applyBorder="1"/>
    <xf numFmtId="0" fontId="62" fillId="4" borderId="24" xfId="0" applyFont="1" applyFill="1" applyBorder="1"/>
    <xf numFmtId="0" fontId="62" fillId="4" borderId="15" xfId="0" applyFont="1" applyFill="1" applyBorder="1"/>
    <xf numFmtId="0" fontId="62" fillId="0" borderId="55" xfId="0" applyFont="1" applyFill="1" applyBorder="1"/>
    <xf numFmtId="0" fontId="74" fillId="0" borderId="56" xfId="0" applyFont="1" applyFill="1" applyBorder="1"/>
    <xf numFmtId="0" fontId="74" fillId="0" borderId="57" xfId="0" applyFont="1" applyFill="1" applyBorder="1"/>
    <xf numFmtId="0" fontId="74" fillId="0" borderId="58" xfId="0" applyFont="1" applyFill="1" applyBorder="1"/>
    <xf numFmtId="0" fontId="74" fillId="4" borderId="58" xfId="0" applyFont="1" applyFill="1" applyBorder="1"/>
    <xf numFmtId="0" fontId="74" fillId="0" borderId="59" xfId="0" applyFont="1" applyFill="1" applyBorder="1"/>
    <xf numFmtId="0" fontId="74" fillId="0" borderId="2" xfId="0" applyFont="1" applyFill="1" applyBorder="1"/>
    <xf numFmtId="0" fontId="74" fillId="0" borderId="21" xfId="0" applyFont="1" applyFill="1" applyBorder="1"/>
    <xf numFmtId="0" fontId="74" fillId="4" borderId="60" xfId="5" applyFont="1" applyFill="1" applyBorder="1"/>
    <xf numFmtId="0" fontId="62" fillId="0" borderId="22" xfId="0" applyFont="1" applyFill="1" applyBorder="1"/>
    <xf numFmtId="3" fontId="62" fillId="0" borderId="22" xfId="0" applyNumberFormat="1" applyFont="1" applyFill="1" applyBorder="1"/>
    <xf numFmtId="176" fontId="62" fillId="0" borderId="22" xfId="0" applyNumberFormat="1" applyFont="1" applyFill="1" applyBorder="1"/>
    <xf numFmtId="0" fontId="62" fillId="0" borderId="22" xfId="5" applyFont="1" applyFill="1" applyBorder="1"/>
    <xf numFmtId="0" fontId="62" fillId="0" borderId="61" xfId="5" applyFont="1" applyFill="1" applyBorder="1"/>
    <xf numFmtId="10" fontId="62" fillId="0" borderId="0" xfId="2" applyNumberFormat="1" applyFont="1" applyFill="1"/>
    <xf numFmtId="3" fontId="62" fillId="0" borderId="0" xfId="0" applyNumberFormat="1" applyFont="1" applyFill="1" applyBorder="1"/>
    <xf numFmtId="0" fontId="62" fillId="4" borderId="22" xfId="5" applyFont="1" applyFill="1" applyBorder="1"/>
    <xf numFmtId="3" fontId="63" fillId="0" borderId="22" xfId="0" applyNumberFormat="1" applyFont="1" applyFill="1" applyBorder="1"/>
    <xf numFmtId="0" fontId="74" fillId="0" borderId="22" xfId="0" applyFont="1" applyFill="1" applyBorder="1"/>
    <xf numFmtId="3" fontId="74" fillId="0" borderId="22" xfId="0" applyNumberFormat="1" applyFont="1" applyFill="1" applyBorder="1"/>
    <xf numFmtId="0" fontId="62" fillId="0" borderId="61" xfId="0" applyFont="1" applyFill="1" applyBorder="1"/>
    <xf numFmtId="3" fontId="74" fillId="4" borderId="22" xfId="0" applyNumberFormat="1" applyFont="1" applyFill="1" applyBorder="1"/>
    <xf numFmtId="0" fontId="74" fillId="0" borderId="61" xfId="0" applyFont="1" applyFill="1" applyBorder="1"/>
    <xf numFmtId="10" fontId="74" fillId="0" borderId="0" xfId="2" applyNumberFormat="1" applyFont="1" applyFill="1"/>
    <xf numFmtId="0" fontId="74" fillId="0" borderId="0" xfId="0" applyFont="1" applyFill="1" applyBorder="1"/>
    <xf numFmtId="0" fontId="74" fillId="0" borderId="62" xfId="0" applyFont="1" applyFill="1" applyBorder="1"/>
    <xf numFmtId="0" fontId="74" fillId="0" borderId="54" xfId="0" applyFont="1" applyFill="1" applyBorder="1"/>
    <xf numFmtId="3" fontId="74" fillId="4" borderId="63" xfId="0" applyNumberFormat="1" applyFont="1" applyFill="1" applyBorder="1"/>
    <xf numFmtId="0" fontId="74" fillId="0" borderId="40" xfId="0" applyFont="1" applyFill="1" applyBorder="1"/>
    <xf numFmtId="0" fontId="74" fillId="0" borderId="64" xfId="0" applyFont="1" applyFill="1" applyBorder="1"/>
    <xf numFmtId="3" fontId="74" fillId="0" borderId="0" xfId="0" applyNumberFormat="1" applyFont="1" applyFill="1" applyBorder="1"/>
    <xf numFmtId="3" fontId="62" fillId="0" borderId="0" xfId="0" applyNumberFormat="1" applyFont="1" applyFill="1"/>
    <xf numFmtId="0" fontId="62" fillId="26" borderId="0" xfId="0" applyFont="1" applyFill="1"/>
    <xf numFmtId="0" fontId="62" fillId="26" borderId="0" xfId="0" applyFont="1" applyFill="1" applyAlignment="1">
      <alignment horizontal="center"/>
    </xf>
    <xf numFmtId="0" fontId="62" fillId="26" borderId="0" xfId="0" applyFont="1" applyFill="1" applyBorder="1"/>
    <xf numFmtId="0" fontId="4" fillId="27" borderId="0" xfId="0" applyFont="1" applyFill="1"/>
    <xf numFmtId="0" fontId="4" fillId="27" borderId="27" xfId="0" applyFont="1" applyFill="1" applyBorder="1"/>
    <xf numFmtId="0" fontId="4" fillId="27" borderId="0" xfId="0" applyFont="1" applyFill="1" applyBorder="1"/>
    <xf numFmtId="0" fontId="0" fillId="0" borderId="22" xfId="0" applyBorder="1"/>
    <xf numFmtId="3" fontId="0" fillId="4" borderId="22" xfId="0" applyNumberFormat="1" applyFill="1" applyBorder="1"/>
    <xf numFmtId="3" fontId="0" fillId="0" borderId="6" xfId="0" applyNumberFormat="1" applyBorder="1"/>
    <xf numFmtId="3" fontId="0" fillId="17" borderId="6" xfId="0" applyNumberFormat="1" applyFill="1" applyBorder="1"/>
    <xf numFmtId="0" fontId="1" fillId="2" borderId="23" xfId="3" applyBorder="1"/>
    <xf numFmtId="3" fontId="1" fillId="2" borderId="22" xfId="3" applyNumberFormat="1" applyBorder="1"/>
    <xf numFmtId="3" fontId="1" fillId="2" borderId="6" xfId="3" applyNumberFormat="1" applyBorder="1"/>
    <xf numFmtId="0" fontId="0" fillId="28" borderId="22" xfId="0" applyFill="1" applyBorder="1"/>
    <xf numFmtId="0" fontId="75" fillId="0" borderId="0" xfId="0" applyFont="1"/>
    <xf numFmtId="0" fontId="36" fillId="0" borderId="23" xfId="0" applyFont="1" applyBorder="1"/>
    <xf numFmtId="0" fontId="4" fillId="4" borderId="22" xfId="0" applyFont="1" applyFill="1" applyBorder="1"/>
    <xf numFmtId="3" fontId="4" fillId="4" borderId="22" xfId="0" applyNumberFormat="1" applyFont="1" applyFill="1" applyBorder="1"/>
    <xf numFmtId="3" fontId="4" fillId="0" borderId="6" xfId="0" applyNumberFormat="1" applyFont="1" applyFill="1" applyBorder="1"/>
    <xf numFmtId="0" fontId="0" fillId="0" borderId="6" xfId="0" applyBorder="1"/>
    <xf numFmtId="3" fontId="1" fillId="0" borderId="22" xfId="3" applyNumberFormat="1" applyFill="1" applyBorder="1"/>
    <xf numFmtId="3" fontId="4" fillId="4" borderId="21" xfId="0" applyNumberFormat="1" applyFont="1" applyFill="1" applyBorder="1"/>
    <xf numFmtId="0" fontId="62" fillId="4" borderId="0" xfId="0" applyFont="1" applyFill="1"/>
    <xf numFmtId="3" fontId="62" fillId="4" borderId="22" xfId="0" applyNumberFormat="1" applyFont="1" applyFill="1" applyBorder="1"/>
    <xf numFmtId="0" fontId="62" fillId="0" borderId="22" xfId="0" applyFont="1" applyFill="1" applyBorder="1" applyAlignment="1">
      <alignment horizontal="left" indent="1"/>
    </xf>
    <xf numFmtId="3" fontId="62" fillId="4" borderId="0" xfId="0" applyNumberFormat="1" applyFont="1" applyFill="1"/>
    <xf numFmtId="3" fontId="76" fillId="4" borderId="8" xfId="0" applyNumberFormat="1" applyFont="1" applyFill="1" applyBorder="1"/>
    <xf numFmtId="3" fontId="62" fillId="10" borderId="22" xfId="0" applyNumberFormat="1" applyFont="1" applyFill="1" applyBorder="1"/>
    <xf numFmtId="0" fontId="0" fillId="29" borderId="22" xfId="0" applyFill="1" applyBorder="1"/>
    <xf numFmtId="0" fontId="0" fillId="30" borderId="22" xfId="0" applyFill="1" applyBorder="1"/>
    <xf numFmtId="0" fontId="0" fillId="0" borderId="65" xfId="0" applyBorder="1" applyAlignment="1">
      <alignment horizontal="left" wrapText="1"/>
    </xf>
    <xf numFmtId="0" fontId="0" fillId="0" borderId="65" xfId="0" applyFill="1" applyBorder="1" applyAlignment="1">
      <alignment wrapText="1"/>
    </xf>
    <xf numFmtId="0" fontId="0" fillId="0" borderId="65" xfId="0" applyBorder="1" applyAlignment="1">
      <alignment wrapText="1"/>
    </xf>
    <xf numFmtId="0" fontId="0" fillId="0" borderId="65" xfId="0" applyBorder="1"/>
    <xf numFmtId="0" fontId="78" fillId="0" borderId="67" xfId="0" applyFont="1" applyFill="1" applyBorder="1" applyAlignment="1">
      <alignment wrapText="1"/>
    </xf>
    <xf numFmtId="0" fontId="78" fillId="0" borderId="66" xfId="0" applyFont="1" applyFill="1" applyBorder="1" applyAlignment="1">
      <alignment wrapText="1"/>
    </xf>
    <xf numFmtId="0" fontId="78" fillId="0" borderId="28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wrapText="1"/>
    </xf>
    <xf numFmtId="0" fontId="80" fillId="31" borderId="0" xfId="0" applyFont="1" applyFill="1" applyAlignment="1">
      <alignment horizontal="center" wrapText="1"/>
    </xf>
    <xf numFmtId="0" fontId="80" fillId="31" borderId="0" xfId="0" applyFont="1" applyFill="1" applyAlignment="1">
      <alignment horizontal="left" wrapText="1"/>
    </xf>
    <xf numFmtId="0" fontId="2" fillId="31" borderId="0" xfId="0" applyFont="1" applyFill="1" applyBorder="1"/>
    <xf numFmtId="0" fontId="3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3" fontId="19" fillId="17" borderId="22" xfId="0" applyNumberFormat="1" applyFont="1" applyFill="1" applyBorder="1"/>
    <xf numFmtId="0" fontId="0" fillId="0" borderId="0" xfId="0" applyAlignment="1">
      <alignment horizontal="right" wrapText="1"/>
    </xf>
    <xf numFmtId="3" fontId="36" fillId="33" borderId="0" xfId="0" applyNumberFormat="1" applyFont="1" applyFill="1"/>
    <xf numFmtId="3" fontId="36" fillId="0" borderId="0" xfId="0" applyNumberFormat="1" applyFont="1" applyAlignment="1">
      <alignment horizontal="center" vertical="center"/>
    </xf>
    <xf numFmtId="3" fontId="42" fillId="4" borderId="20" xfId="0" applyNumberFormat="1" applyFont="1" applyFill="1" applyBorder="1" applyAlignment="1">
      <alignment horizontal="left" indent="1"/>
    </xf>
    <xf numFmtId="0" fontId="36" fillId="4" borderId="70" xfId="0" applyFont="1" applyFill="1" applyBorder="1" applyAlignment="1">
      <alignment horizontal="left" wrapText="1"/>
    </xf>
    <xf numFmtId="3" fontId="42" fillId="4" borderId="70" xfId="0" applyNumberFormat="1" applyFont="1" applyFill="1" applyBorder="1" applyAlignment="1">
      <alignment horizontal="left" indent="1"/>
    </xf>
    <xf numFmtId="0" fontId="42" fillId="4" borderId="70" xfId="0" applyFont="1" applyFill="1" applyBorder="1" applyAlignment="1">
      <alignment horizontal="left" wrapText="1"/>
    </xf>
    <xf numFmtId="0" fontId="36" fillId="34" borderId="22" xfId="0" applyFont="1" applyFill="1" applyBorder="1" applyAlignment="1">
      <alignment horizontal="left" wrapText="1"/>
    </xf>
    <xf numFmtId="3" fontId="1" fillId="0" borderId="0" xfId="3" applyNumberFormat="1" applyFill="1"/>
    <xf numFmtId="3" fontId="0" fillId="0" borderId="29" xfId="0" applyNumberFormat="1" applyFill="1" applyBorder="1"/>
    <xf numFmtId="164" fontId="63" fillId="10" borderId="70" xfId="9" applyNumberFormat="1" applyFont="1" applyFill="1" applyBorder="1"/>
    <xf numFmtId="164" fontId="63" fillId="0" borderId="70" xfId="9" applyNumberFormat="1" applyFont="1" applyFill="1" applyBorder="1"/>
    <xf numFmtId="0" fontId="62" fillId="0" borderId="70" xfId="9" applyFont="1" applyBorder="1"/>
    <xf numFmtId="164" fontId="60" fillId="36" borderId="0" xfId="9" applyNumberFormat="1" applyFont="1" applyFill="1" applyBorder="1" applyAlignment="1">
      <alignment horizontal="center" vertical="center"/>
    </xf>
    <xf numFmtId="173" fontId="17" fillId="10" borderId="70" xfId="7" applyNumberFormat="1" applyFill="1" applyBorder="1"/>
    <xf numFmtId="173" fontId="17" fillId="0" borderId="70" xfId="7" applyNumberFormat="1" applyFill="1" applyBorder="1"/>
    <xf numFmtId="169" fontId="50" fillId="0" borderId="70" xfId="12" applyFont="1" applyFill="1" applyBorder="1"/>
    <xf numFmtId="173" fontId="17" fillId="0" borderId="70" xfId="7" applyNumberFormat="1" applyBorder="1"/>
    <xf numFmtId="169" fontId="51" fillId="0" borderId="70" xfId="7" applyFont="1" applyBorder="1" applyAlignment="1">
      <alignment horizontal="center"/>
    </xf>
    <xf numFmtId="169" fontId="49" fillId="0" borderId="70" xfId="12" applyFont="1" applyFill="1" applyBorder="1" applyAlignment="1">
      <alignment horizontal="center"/>
    </xf>
    <xf numFmtId="164" fontId="58" fillId="0" borderId="70" xfId="10" applyNumberFormat="1" applyFont="1" applyFill="1" applyBorder="1"/>
    <xf numFmtId="3" fontId="58" fillId="0" borderId="70" xfId="10" applyNumberFormat="1" applyFont="1" applyFill="1" applyBorder="1"/>
    <xf numFmtId="169" fontId="17" fillId="0" borderId="70" xfId="7" applyBorder="1"/>
    <xf numFmtId="169" fontId="51" fillId="0" borderId="70" xfId="7" applyFont="1" applyBorder="1"/>
    <xf numFmtId="3" fontId="17" fillId="16" borderId="71" xfId="7" applyNumberFormat="1" applyFill="1" applyBorder="1"/>
    <xf numFmtId="3" fontId="49" fillId="0" borderId="71" xfId="7" applyNumberFormat="1" applyFont="1" applyBorder="1"/>
    <xf numFmtId="169" fontId="49" fillId="0" borderId="71" xfId="7" applyFont="1" applyFill="1" applyBorder="1"/>
    <xf numFmtId="169" fontId="49" fillId="0" borderId="71" xfId="7" applyFont="1" applyBorder="1"/>
    <xf numFmtId="0" fontId="49" fillId="0" borderId="72" xfId="9" applyFont="1" applyFill="1" applyBorder="1"/>
    <xf numFmtId="3" fontId="57" fillId="0" borderId="71" xfId="7" applyNumberFormat="1" applyFont="1" applyBorder="1"/>
    <xf numFmtId="169" fontId="57" fillId="0" borderId="71" xfId="7" applyFont="1" applyFill="1" applyBorder="1"/>
    <xf numFmtId="169" fontId="56" fillId="0" borderId="71" xfId="7" applyFont="1" applyBorder="1"/>
    <xf numFmtId="0" fontId="56" fillId="0" borderId="73" xfId="9" applyFont="1" applyBorder="1"/>
    <xf numFmtId="3" fontId="85" fillId="0" borderId="35" xfId="7" applyNumberFormat="1" applyFont="1" applyBorder="1"/>
    <xf numFmtId="169" fontId="51" fillId="0" borderId="74" xfId="7" applyFont="1" applyBorder="1"/>
    <xf numFmtId="169" fontId="51" fillId="0" borderId="75" xfId="7" applyFont="1" applyBorder="1"/>
    <xf numFmtId="169" fontId="50" fillId="0" borderId="76" xfId="7" applyFont="1" applyBorder="1"/>
    <xf numFmtId="0" fontId="50" fillId="0" borderId="77" xfId="0" applyFont="1" applyFill="1" applyBorder="1" applyAlignment="1">
      <alignment horizontal="center"/>
    </xf>
    <xf numFmtId="1" fontId="50" fillId="0" borderId="77" xfId="0" applyNumberFormat="1" applyFont="1" applyFill="1" applyBorder="1" applyAlignment="1">
      <alignment horizontal="center"/>
    </xf>
    <xf numFmtId="1" fontId="50" fillId="0" borderId="77" xfId="0" applyNumberFormat="1" applyFont="1" applyFill="1" applyBorder="1" applyAlignment="1">
      <alignment horizontal="left"/>
    </xf>
    <xf numFmtId="4" fontId="52" fillId="0" borderId="77" xfId="0" applyNumberFormat="1" applyFont="1" applyFill="1" applyBorder="1" applyAlignment="1">
      <alignment horizontal="center"/>
    </xf>
    <xf numFmtId="166" fontId="50" fillId="0" borderId="77" xfId="0" applyNumberFormat="1" applyFont="1" applyFill="1" applyBorder="1" applyAlignment="1">
      <alignment horizontal="center"/>
    </xf>
    <xf numFmtId="1" fontId="50" fillId="4" borderId="77" xfId="0" applyNumberFormat="1" applyFont="1" applyFill="1" applyBorder="1" applyAlignment="1">
      <alignment horizontal="center"/>
    </xf>
    <xf numFmtId="1" fontId="50" fillId="4" borderId="77" xfId="0" applyNumberFormat="1" applyFont="1" applyFill="1" applyBorder="1" applyAlignment="1">
      <alignment horizontal="left"/>
    </xf>
    <xf numFmtId="4" fontId="52" fillId="4" borderId="77" xfId="0" applyNumberFormat="1" applyFont="1" applyFill="1" applyBorder="1" applyAlignment="1">
      <alignment horizontal="center"/>
    </xf>
    <xf numFmtId="0" fontId="50" fillId="4" borderId="77" xfId="0" applyFont="1" applyFill="1" applyBorder="1" applyAlignment="1">
      <alignment horizontal="center"/>
    </xf>
    <xf numFmtId="166" fontId="50" fillId="4" borderId="77" xfId="0" applyNumberFormat="1" applyFont="1" applyFill="1" applyBorder="1" applyAlignment="1">
      <alignment horizontal="center"/>
    </xf>
    <xf numFmtId="3" fontId="0" fillId="35" borderId="29" xfId="0" applyNumberFormat="1" applyFill="1" applyBorder="1"/>
    <xf numFmtId="0" fontId="0" fillId="0" borderId="0" xfId="0" applyAlignment="1">
      <alignment horizontal="center"/>
    </xf>
    <xf numFmtId="0" fontId="36" fillId="0" borderId="0" xfId="0" applyFont="1" applyAlignment="1">
      <alignment horizontal="center"/>
    </xf>
    <xf numFmtId="0" fontId="41" fillId="0" borderId="20" xfId="0" applyFont="1" applyBorder="1" applyAlignment="1">
      <alignment horizontal="center"/>
    </xf>
    <xf numFmtId="0" fontId="42" fillId="4" borderId="21" xfId="0" applyFont="1" applyFill="1" applyBorder="1" applyAlignment="1">
      <alignment horizontal="center"/>
    </xf>
    <xf numFmtId="0" fontId="42" fillId="11" borderId="22" xfId="0" applyFont="1" applyFill="1" applyBorder="1" applyAlignment="1">
      <alignment horizontal="center"/>
    </xf>
    <xf numFmtId="0" fontId="42" fillId="4" borderId="22" xfId="0" applyFont="1" applyFill="1" applyBorder="1" applyAlignment="1">
      <alignment horizontal="center"/>
    </xf>
    <xf numFmtId="0" fontId="42" fillId="4" borderId="70" xfId="0" applyFont="1" applyFill="1" applyBorder="1" applyAlignment="1">
      <alignment horizontal="center"/>
    </xf>
    <xf numFmtId="0" fontId="36" fillId="13" borderId="22" xfId="0" applyFont="1" applyFill="1" applyBorder="1" applyAlignment="1">
      <alignment horizontal="center"/>
    </xf>
    <xf numFmtId="0" fontId="36" fillId="11" borderId="22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11" borderId="22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3" fontId="36" fillId="11" borderId="23" xfId="0" applyNumberFormat="1" applyFont="1" applyFill="1" applyBorder="1" applyAlignment="1">
      <alignment horizontal="center"/>
    </xf>
    <xf numFmtId="0" fontId="42" fillId="4" borderId="20" xfId="0" applyFont="1" applyFill="1" applyBorder="1" applyAlignment="1">
      <alignment horizontal="center"/>
    </xf>
    <xf numFmtId="0" fontId="36" fillId="11" borderId="23" xfId="0" applyFont="1" applyFill="1" applyBorder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6" fillId="12" borderId="22" xfId="0" applyFont="1" applyFill="1" applyBorder="1" applyAlignment="1">
      <alignment horizontal="center"/>
    </xf>
    <xf numFmtId="0" fontId="42" fillId="5" borderId="23" xfId="0" applyFont="1" applyFill="1" applyBorder="1" applyAlignment="1">
      <alignment horizontal="center"/>
    </xf>
    <xf numFmtId="3" fontId="31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3" fontId="0" fillId="0" borderId="0" xfId="0" applyNumberFormat="1" applyFill="1" applyBorder="1"/>
    <xf numFmtId="0" fontId="72" fillId="0" borderId="0" xfId="0" applyFont="1" applyFill="1" applyBorder="1" applyAlignment="1">
      <alignment vertical="center"/>
    </xf>
    <xf numFmtId="17" fontId="66" fillId="0" borderId="0" xfId="0" applyNumberFormat="1" applyFont="1" applyFill="1" applyBorder="1" applyAlignment="1">
      <alignment horizontal="right" vertical="center" wrapText="1"/>
    </xf>
    <xf numFmtId="0" fontId="67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68" fillId="0" borderId="0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horizontal="right" vertical="center" wrapText="1"/>
    </xf>
    <xf numFmtId="3" fontId="69" fillId="0" borderId="0" xfId="0" applyNumberFormat="1" applyFont="1" applyFill="1" applyBorder="1" applyAlignment="1">
      <alignment vertical="center" wrapText="1"/>
    </xf>
    <xf numFmtId="3" fontId="68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0" fontId="19" fillId="0" borderId="0" xfId="0" applyFont="1" applyFill="1"/>
    <xf numFmtId="0" fontId="79" fillId="0" borderId="28" xfId="0" applyFont="1" applyFill="1" applyBorder="1" applyAlignment="1">
      <alignment horizontal="left" wrapText="1"/>
    </xf>
    <xf numFmtId="0" fontId="79" fillId="0" borderId="28" xfId="0" applyFont="1" applyFill="1" applyBorder="1" applyAlignment="1">
      <alignment horizontal="left"/>
    </xf>
    <xf numFmtId="0" fontId="78" fillId="0" borderId="66" xfId="0" applyFont="1" applyFill="1" applyBorder="1" applyAlignment="1">
      <alignment horizontal="center" wrapText="1"/>
    </xf>
    <xf numFmtId="0" fontId="78" fillId="0" borderId="66" xfId="0" applyFont="1" applyFill="1" applyBorder="1" applyAlignment="1">
      <alignment horizontal="left" wrapText="1"/>
    </xf>
    <xf numFmtId="3" fontId="1" fillId="2" borderId="63" xfId="3" applyNumberFormat="1" applyBorder="1"/>
    <xf numFmtId="0" fontId="0" fillId="10" borderId="23" xfId="0" applyFill="1" applyBorder="1"/>
    <xf numFmtId="0" fontId="0" fillId="10" borderId="22" xfId="0" applyFill="1" applyBorder="1"/>
    <xf numFmtId="0" fontId="36" fillId="10" borderId="23" xfId="0" applyFont="1" applyFill="1" applyBorder="1"/>
    <xf numFmtId="3" fontId="0" fillId="37" borderId="0" xfId="0" applyNumberFormat="1" applyFill="1"/>
    <xf numFmtId="0" fontId="1" fillId="0" borderId="0" xfId="3" applyFill="1"/>
    <xf numFmtId="3" fontId="0" fillId="0" borderId="47" xfId="0" applyNumberFormat="1" applyBorder="1"/>
    <xf numFmtId="0" fontId="77" fillId="0" borderId="0" xfId="0" applyNumberFormat="1" applyFont="1" applyFill="1" applyBorder="1" applyAlignment="1">
      <alignment horizontal="left" wrapText="1"/>
    </xf>
    <xf numFmtId="0" fontId="77" fillId="0" borderId="0" xfId="0" applyNumberFormat="1" applyFont="1" applyFill="1" applyBorder="1" applyAlignment="1">
      <alignment wrapText="1"/>
    </xf>
    <xf numFmtId="3" fontId="77" fillId="0" borderId="2" xfId="0" applyNumberFormat="1" applyFont="1" applyFill="1" applyBorder="1" applyAlignment="1">
      <alignment wrapText="1"/>
    </xf>
    <xf numFmtId="3" fontId="77" fillId="0" borderId="21" xfId="0" applyNumberFormat="1" applyFont="1" applyFill="1" applyBorder="1" applyAlignment="1">
      <alignment wrapText="1"/>
    </xf>
    <xf numFmtId="164" fontId="77" fillId="0" borderId="21" xfId="0" applyNumberFormat="1" applyFont="1" applyFill="1" applyBorder="1" applyAlignment="1">
      <alignment wrapText="1"/>
    </xf>
    <xf numFmtId="1" fontId="0" fillId="0" borderId="79" xfId="0" applyNumberFormat="1" applyBorder="1"/>
    <xf numFmtId="0" fontId="78" fillId="0" borderId="83" xfId="0" applyFont="1" applyBorder="1" applyAlignment="1">
      <alignment wrapText="1"/>
    </xf>
    <xf numFmtId="0" fontId="78" fillId="0" borderId="84" xfId="0" applyFont="1" applyBorder="1" applyAlignment="1">
      <alignment wrapText="1"/>
    </xf>
    <xf numFmtId="0" fontId="78" fillId="0" borderId="83" xfId="0" applyFont="1" applyFill="1" applyBorder="1" applyAlignment="1">
      <alignment wrapText="1"/>
    </xf>
    <xf numFmtId="167" fontId="78" fillId="0" borderId="89" xfId="2" applyNumberFormat="1" applyFont="1" applyBorder="1"/>
    <xf numFmtId="167" fontId="79" fillId="0" borderId="89" xfId="2" applyNumberFormat="1" applyFont="1" applyFill="1" applyBorder="1"/>
    <xf numFmtId="0" fontId="78" fillId="0" borderId="93" xfId="0" applyFont="1" applyBorder="1" applyAlignment="1">
      <alignment wrapText="1"/>
    </xf>
    <xf numFmtId="167" fontId="78" fillId="0" borderId="94" xfId="2" applyNumberFormat="1" applyFont="1" applyBorder="1"/>
    <xf numFmtId="0" fontId="78" fillId="0" borderId="93" xfId="0" applyFont="1" applyFill="1" applyBorder="1" applyAlignment="1">
      <alignment wrapText="1"/>
    </xf>
    <xf numFmtId="167" fontId="79" fillId="0" borderId="96" xfId="2" applyNumberFormat="1" applyFont="1" applyFill="1" applyBorder="1"/>
    <xf numFmtId="0" fontId="78" fillId="0" borderId="92" xfId="0" applyFont="1" applyFill="1" applyBorder="1" applyAlignment="1">
      <alignment wrapText="1"/>
    </xf>
    <xf numFmtId="0" fontId="78" fillId="0" borderId="88" xfId="0" applyFont="1" applyBorder="1" applyAlignment="1">
      <alignment wrapText="1"/>
    </xf>
    <xf numFmtId="0" fontId="78" fillId="0" borderId="90" xfId="0" applyFont="1" applyBorder="1" applyAlignment="1">
      <alignment wrapText="1"/>
    </xf>
    <xf numFmtId="0" fontId="78" fillId="0" borderId="91" xfId="0" applyFont="1" applyBorder="1" applyAlignment="1">
      <alignment wrapText="1"/>
    </xf>
    <xf numFmtId="0" fontId="79" fillId="0" borderId="92" xfId="0" applyFont="1" applyFill="1" applyBorder="1" applyAlignment="1">
      <alignment horizontal="left" wrapText="1"/>
    </xf>
    <xf numFmtId="0" fontId="78" fillId="0" borderId="91" xfId="0" applyFont="1" applyFill="1" applyBorder="1" applyAlignment="1">
      <alignment wrapText="1"/>
    </xf>
    <xf numFmtId="0" fontId="79" fillId="0" borderId="92" xfId="0" applyFont="1" applyFill="1" applyBorder="1" applyAlignment="1">
      <alignment horizontal="left"/>
    </xf>
    <xf numFmtId="0" fontId="77" fillId="9" borderId="98" xfId="0" applyNumberFormat="1" applyFont="1" applyFill="1" applyBorder="1" applyAlignment="1">
      <alignment horizontal="left" wrapText="1"/>
    </xf>
    <xf numFmtId="0" fontId="77" fillId="9" borderId="99" xfId="0" applyNumberFormat="1" applyFont="1" applyFill="1" applyBorder="1" applyAlignment="1">
      <alignment wrapText="1"/>
    </xf>
    <xf numFmtId="0" fontId="77" fillId="9" borderId="100" xfId="0" applyNumberFormat="1" applyFont="1" applyFill="1" applyBorder="1" applyAlignment="1">
      <alignment wrapText="1"/>
    </xf>
    <xf numFmtId="3" fontId="77" fillId="9" borderId="101" xfId="0" applyNumberFormat="1" applyFont="1" applyFill="1" applyBorder="1" applyAlignment="1">
      <alignment wrapText="1"/>
    </xf>
    <xf numFmtId="3" fontId="77" fillId="9" borderId="102" xfId="0" applyNumberFormat="1" applyFont="1" applyFill="1" applyBorder="1" applyAlignment="1">
      <alignment wrapText="1"/>
    </xf>
    <xf numFmtId="164" fontId="77" fillId="9" borderId="102" xfId="0" applyNumberFormat="1" applyFont="1" applyFill="1" applyBorder="1" applyAlignment="1">
      <alignment wrapText="1"/>
    </xf>
    <xf numFmtId="167" fontId="77" fillId="9" borderId="103" xfId="2" applyNumberFormat="1" applyFont="1" applyFill="1" applyBorder="1" applyAlignment="1">
      <alignment wrapText="1"/>
    </xf>
    <xf numFmtId="167" fontId="77" fillId="0" borderId="1" xfId="2" applyNumberFormat="1" applyFont="1" applyFill="1" applyBorder="1" applyAlignment="1">
      <alignment wrapText="1"/>
    </xf>
    <xf numFmtId="3" fontId="68" fillId="0" borderId="22" xfId="0" applyNumberFormat="1" applyFont="1" applyFill="1" applyBorder="1" applyAlignment="1">
      <alignment vertical="center" wrapText="1"/>
    </xf>
    <xf numFmtId="0" fontId="0" fillId="4" borderId="78" xfId="0" applyFill="1" applyBorder="1"/>
    <xf numFmtId="0" fontId="0" fillId="4" borderId="0" xfId="0" applyFill="1" applyBorder="1"/>
    <xf numFmtId="0" fontId="36" fillId="4" borderId="0" xfId="0" applyFont="1" applyFill="1" applyBorder="1"/>
    <xf numFmtId="0" fontId="2" fillId="31" borderId="0" xfId="0" applyFont="1" applyFill="1" applyBorder="1" applyAlignment="1">
      <alignment wrapText="1"/>
    </xf>
    <xf numFmtId="167" fontId="2" fillId="31" borderId="0" xfId="2" applyNumberFormat="1" applyFont="1" applyFill="1" applyBorder="1" applyAlignment="1">
      <alignment horizontal="center"/>
    </xf>
    <xf numFmtId="167" fontId="36" fillId="4" borderId="0" xfId="2" applyNumberFormat="1" applyFont="1" applyFill="1" applyBorder="1" applyAlignment="1">
      <alignment horizontal="center"/>
    </xf>
    <xf numFmtId="0" fontId="80" fillId="31" borderId="0" xfId="0" applyFont="1" applyFill="1" applyAlignment="1">
      <alignment horizontal="center" vertical="center" wrapText="1"/>
    </xf>
    <xf numFmtId="0" fontId="77" fillId="9" borderId="85" xfId="0" applyNumberFormat="1" applyFont="1" applyFill="1" applyBorder="1" applyAlignment="1">
      <alignment horizontal="center" vertical="center" wrapText="1"/>
    </xf>
    <xf numFmtId="0" fontId="77" fillId="9" borderId="86" xfId="0" applyNumberFormat="1" applyFont="1" applyFill="1" applyBorder="1" applyAlignment="1">
      <alignment horizontal="center" vertical="center" wrapText="1"/>
    </xf>
    <xf numFmtId="0" fontId="77" fillId="9" borderId="86" xfId="0" applyNumberFormat="1" applyFont="1" applyFill="1" applyBorder="1" applyAlignment="1">
      <alignment horizontal="center" vertical="center"/>
    </xf>
    <xf numFmtId="0" fontId="77" fillId="9" borderId="87" xfId="0" applyNumberFormat="1" applyFont="1" applyFill="1" applyBorder="1" applyAlignment="1">
      <alignment horizontal="center" vertical="center"/>
    </xf>
    <xf numFmtId="0" fontId="78" fillId="0" borderId="66" xfId="0" applyFont="1" applyFill="1" applyBorder="1" applyAlignment="1">
      <alignment vertical="center" wrapText="1"/>
    </xf>
    <xf numFmtId="0" fontId="78" fillId="0" borderId="66" xfId="0" applyFont="1" applyFill="1" applyBorder="1" applyAlignment="1">
      <alignment horizontal="left" vertical="center" wrapText="1"/>
    </xf>
    <xf numFmtId="0" fontId="78" fillId="0" borderId="93" xfId="0" applyFont="1" applyFill="1" applyBorder="1" applyAlignment="1">
      <alignment horizontal="center" vertical="center" wrapText="1"/>
    </xf>
    <xf numFmtId="0" fontId="78" fillId="0" borderId="93" xfId="0" applyFont="1" applyBorder="1" applyAlignment="1">
      <alignment horizontal="center" vertical="center" wrapText="1"/>
    </xf>
    <xf numFmtId="0" fontId="89" fillId="0" borderId="95" xfId="0" applyFont="1" applyFill="1" applyBorder="1" applyAlignment="1">
      <alignment horizontal="center" vertical="center" wrapText="1"/>
    </xf>
    <xf numFmtId="0" fontId="89" fillId="0" borderId="95" xfId="0" applyFont="1" applyFill="1" applyBorder="1" applyAlignment="1">
      <alignment wrapText="1"/>
    </xf>
    <xf numFmtId="0" fontId="82" fillId="4" borderId="0" xfId="9" applyFill="1"/>
    <xf numFmtId="164" fontId="19" fillId="0" borderId="0" xfId="0" applyNumberFormat="1" applyFont="1" applyFill="1" applyBorder="1" applyAlignment="1">
      <alignment horizontal="right"/>
    </xf>
    <xf numFmtId="173" fontId="17" fillId="4" borderId="70" xfId="7" applyNumberFormat="1" applyFill="1" applyBorder="1"/>
    <xf numFmtId="4" fontId="17" fillId="4" borderId="0" xfId="0" applyNumberFormat="1" applyFont="1" applyFill="1"/>
    <xf numFmtId="0" fontId="31" fillId="4" borderId="0" xfId="0" applyFont="1" applyFill="1" applyBorder="1" applyAlignment="1">
      <alignment horizontal="center"/>
    </xf>
    <xf numFmtId="0" fontId="0" fillId="0" borderId="0" xfId="0"/>
    <xf numFmtId="0" fontId="26" fillId="4" borderId="69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left" indent="4"/>
    </xf>
    <xf numFmtId="165" fontId="27" fillId="39" borderId="14" xfId="0" applyNumberFormat="1" applyFont="1" applyFill="1" applyBorder="1"/>
    <xf numFmtId="3" fontId="29" fillId="0" borderId="12" xfId="0" applyNumberFormat="1" applyFont="1" applyFill="1" applyBorder="1" applyAlignment="1"/>
    <xf numFmtId="3" fontId="0" fillId="0" borderId="104" xfId="0" applyNumberFormat="1" applyBorder="1"/>
    <xf numFmtId="0" fontId="36" fillId="34" borderId="70" xfId="0" applyFont="1" applyFill="1" applyBorder="1" applyAlignment="1">
      <alignment horizontal="left" wrapText="1"/>
    </xf>
    <xf numFmtId="3" fontId="36" fillId="34" borderId="70" xfId="0" applyNumberFormat="1" applyFont="1" applyFill="1" applyBorder="1" applyAlignment="1">
      <alignment horizontal="left" indent="1"/>
    </xf>
    <xf numFmtId="3" fontId="42" fillId="34" borderId="70" xfId="0" applyNumberFormat="1" applyFont="1" applyFill="1" applyBorder="1" applyAlignment="1">
      <alignment horizontal="left" indent="1"/>
    </xf>
    <xf numFmtId="0" fontId="42" fillId="34" borderId="70" xfId="0" applyFont="1" applyFill="1" applyBorder="1" applyAlignment="1">
      <alignment horizontal="center"/>
    </xf>
    <xf numFmtId="3" fontId="0" fillId="13" borderId="45" xfId="0" applyNumberFormat="1" applyFill="1" applyBorder="1"/>
    <xf numFmtId="3" fontId="0" fillId="13" borderId="29" xfId="0" applyNumberFormat="1" applyFill="1" applyBorder="1"/>
    <xf numFmtId="0" fontId="36" fillId="13" borderId="105" xfId="0" applyFont="1" applyFill="1" applyBorder="1" applyAlignment="1">
      <alignment horizontal="center"/>
    </xf>
    <xf numFmtId="0" fontId="36" fillId="13" borderId="105" xfId="0" applyFont="1" applyFill="1" applyBorder="1" applyAlignment="1">
      <alignment horizontal="left" wrapText="1"/>
    </xf>
    <xf numFmtId="3" fontId="36" fillId="13" borderId="105" xfId="0" applyNumberFormat="1" applyFont="1" applyFill="1" applyBorder="1" applyAlignment="1">
      <alignment horizontal="left" indent="2"/>
    </xf>
    <xf numFmtId="3" fontId="0" fillId="13" borderId="105" xfId="0" applyNumberFormat="1" applyFill="1" applyBorder="1" applyAlignment="1">
      <alignment horizontal="center"/>
    </xf>
    <xf numFmtId="3" fontId="36" fillId="13" borderId="105" xfId="0" applyNumberFormat="1" applyFont="1" applyFill="1" applyBorder="1" applyAlignment="1">
      <alignment horizontal="center"/>
    </xf>
    <xf numFmtId="3" fontId="0" fillId="13" borderId="105" xfId="0" applyNumberFormat="1" applyFill="1" applyBorder="1"/>
    <xf numFmtId="3" fontId="0" fillId="33" borderId="0" xfId="0" applyNumberFormat="1" applyFill="1"/>
    <xf numFmtId="0" fontId="64" fillId="6" borderId="106" xfId="0" applyFont="1" applyFill="1" applyBorder="1" applyAlignment="1" applyProtection="1">
      <alignment horizontal="center"/>
    </xf>
    <xf numFmtId="0" fontId="64" fillId="6" borderId="106" xfId="0" applyFont="1" applyFill="1" applyBorder="1" applyAlignment="1" applyProtection="1">
      <alignment horizontal="left"/>
    </xf>
    <xf numFmtId="0" fontId="64" fillId="6" borderId="106" xfId="0" applyFont="1" applyFill="1" applyBorder="1" applyAlignment="1" applyProtection="1">
      <alignment horizontal="center" vertical="center"/>
    </xf>
    <xf numFmtId="4" fontId="0" fillId="33" borderId="0" xfId="0" applyNumberFormat="1" applyFill="1"/>
    <xf numFmtId="0" fontId="68" fillId="25" borderId="22" xfId="0" applyFont="1" applyFill="1" applyBorder="1" applyAlignment="1">
      <alignment vertical="center" wrapText="1"/>
    </xf>
    <xf numFmtId="3" fontId="36" fillId="41" borderId="22" xfId="0" applyNumberFormat="1" applyFont="1" applyFill="1" applyBorder="1" applyAlignment="1">
      <alignment horizontal="left" indent="1"/>
    </xf>
    <xf numFmtId="3" fontId="42" fillId="41" borderId="22" xfId="0" applyNumberFormat="1" applyFont="1" applyFill="1" applyBorder="1" applyAlignment="1">
      <alignment horizontal="left" indent="1"/>
    </xf>
    <xf numFmtId="0" fontId="0" fillId="0" borderId="0" xfId="0" applyAlignment="1">
      <alignment vertical="center"/>
    </xf>
    <xf numFmtId="0" fontId="91" fillId="42" borderId="107" xfId="0" applyFont="1" applyFill="1" applyBorder="1" applyAlignment="1">
      <alignment horizontal="center" vertical="center" wrapText="1"/>
    </xf>
    <xf numFmtId="0" fontId="91" fillId="42" borderId="108" xfId="0" applyFont="1" applyFill="1" applyBorder="1" applyAlignment="1">
      <alignment horizontal="center" vertical="center" wrapText="1"/>
    </xf>
    <xf numFmtId="0" fontId="91" fillId="43" borderId="109" xfId="0" applyFont="1" applyFill="1" applyBorder="1" applyAlignment="1">
      <alignment vertical="center" wrapText="1"/>
    </xf>
    <xf numFmtId="0" fontId="72" fillId="43" borderId="110" xfId="0" applyFont="1" applyFill="1" applyBorder="1" applyAlignment="1">
      <alignment horizontal="right" vertical="center" wrapText="1"/>
    </xf>
    <xf numFmtId="0" fontId="91" fillId="0" borderId="109" xfId="0" applyFont="1" applyBorder="1" applyAlignment="1">
      <alignment vertical="center" wrapText="1"/>
    </xf>
    <xf numFmtId="0" fontId="72" fillId="0" borderId="110" xfId="0" applyFont="1" applyBorder="1" applyAlignment="1">
      <alignment horizontal="right" vertical="center" wrapText="1"/>
    </xf>
    <xf numFmtId="0" fontId="72" fillId="43" borderId="109" xfId="0" applyFont="1" applyFill="1" applyBorder="1" applyAlignment="1">
      <alignment vertical="center" wrapText="1"/>
    </xf>
    <xf numFmtId="0" fontId="91" fillId="43" borderId="110" xfId="0" applyFont="1" applyFill="1" applyBorder="1" applyAlignment="1">
      <alignment horizontal="right" vertical="center" wrapText="1"/>
    </xf>
    <xf numFmtId="0" fontId="42" fillId="19" borderId="32" xfId="0" applyFont="1" applyFill="1" applyBorder="1" applyAlignment="1">
      <alignment wrapText="1"/>
    </xf>
    <xf numFmtId="0" fontId="42" fillId="17" borderId="32" xfId="0" applyFont="1" applyFill="1" applyBorder="1"/>
    <xf numFmtId="0" fontId="36" fillId="17" borderId="0" xfId="0" applyFont="1" applyFill="1"/>
    <xf numFmtId="3" fontId="88" fillId="0" borderId="22" xfId="14" applyNumberFormat="1" applyFill="1" applyBorder="1"/>
    <xf numFmtId="3" fontId="69" fillId="25" borderId="22" xfId="0" applyNumberFormat="1" applyFont="1" applyFill="1" applyBorder="1" applyAlignment="1">
      <alignment vertical="center" wrapText="1"/>
    </xf>
    <xf numFmtId="3" fontId="36" fillId="0" borderId="22" xfId="3" applyNumberFormat="1" applyFont="1" applyFill="1" applyBorder="1"/>
    <xf numFmtId="0" fontId="62" fillId="4" borderId="105" xfId="5" applyFont="1" applyFill="1" applyBorder="1"/>
    <xf numFmtId="0" fontId="62" fillId="0" borderId="105" xfId="0" applyFont="1" applyFill="1" applyBorder="1"/>
    <xf numFmtId="3" fontId="62" fillId="0" borderId="105" xfId="0" applyNumberFormat="1" applyFont="1" applyFill="1" applyBorder="1"/>
    <xf numFmtId="3" fontId="0" fillId="4" borderId="105" xfId="0" applyNumberFormat="1" applyFill="1" applyBorder="1"/>
    <xf numFmtId="0" fontId="0" fillId="0" borderId="105" xfId="0" applyBorder="1"/>
    <xf numFmtId="0" fontId="0" fillId="17" borderId="0" xfId="0" applyFill="1"/>
    <xf numFmtId="3" fontId="3" fillId="19" borderId="29" xfId="0" applyNumberFormat="1" applyFont="1" applyFill="1" applyBorder="1"/>
    <xf numFmtId="169" fontId="50" fillId="0" borderId="111" xfId="7" applyFont="1" applyBorder="1"/>
    <xf numFmtId="169" fontId="51" fillId="0" borderId="112" xfId="7" applyFont="1" applyBorder="1"/>
    <xf numFmtId="169" fontId="51" fillId="0" borderId="113" xfId="7" applyFont="1" applyBorder="1"/>
    <xf numFmtId="169" fontId="51" fillId="0" borderId="114" xfId="7" applyFont="1" applyBorder="1"/>
    <xf numFmtId="0" fontId="56" fillId="0" borderId="115" xfId="9" applyFont="1" applyBorder="1"/>
    <xf numFmtId="169" fontId="56" fillId="0" borderId="116" xfId="7" applyFont="1" applyBorder="1"/>
    <xf numFmtId="169" fontId="57" fillId="0" borderId="116" xfId="7" applyFont="1" applyFill="1" applyBorder="1"/>
    <xf numFmtId="3" fontId="57" fillId="0" borderId="116" xfId="7" applyNumberFormat="1" applyFont="1" applyBorder="1"/>
    <xf numFmtId="3" fontId="17" fillId="16" borderId="116" xfId="7" applyNumberFormat="1" applyFill="1" applyBorder="1"/>
    <xf numFmtId="0" fontId="49" fillId="0" borderId="117" xfId="9" applyFont="1" applyFill="1" applyBorder="1"/>
    <xf numFmtId="169" fontId="49" fillId="0" borderId="116" xfId="7" applyFont="1" applyBorder="1"/>
    <xf numFmtId="169" fontId="49" fillId="0" borderId="116" xfId="7" applyFont="1" applyFill="1" applyBorder="1"/>
    <xf numFmtId="3" fontId="49" fillId="0" borderId="116" xfId="7" applyNumberFormat="1" applyFont="1" applyBorder="1"/>
    <xf numFmtId="169" fontId="51" fillId="0" borderId="118" xfId="7" applyFont="1" applyBorder="1"/>
    <xf numFmtId="3" fontId="58" fillId="0" borderId="118" xfId="10" applyNumberFormat="1" applyFont="1" applyFill="1" applyBorder="1"/>
    <xf numFmtId="169" fontId="17" fillId="0" borderId="118" xfId="7" applyBorder="1"/>
    <xf numFmtId="164" fontId="58" fillId="0" borderId="118" xfId="10" applyNumberFormat="1" applyFont="1" applyFill="1" applyBorder="1"/>
    <xf numFmtId="169" fontId="49" fillId="0" borderId="118" xfId="12" applyFont="1" applyFill="1" applyBorder="1" applyAlignment="1">
      <alignment horizontal="center"/>
    </xf>
    <xf numFmtId="169" fontId="51" fillId="0" borderId="118" xfId="7" applyFont="1" applyBorder="1" applyAlignment="1">
      <alignment horizontal="center"/>
    </xf>
    <xf numFmtId="169" fontId="51" fillId="0" borderId="119" xfId="7" applyFont="1" applyBorder="1" applyAlignment="1">
      <alignment horizontal="center"/>
    </xf>
    <xf numFmtId="169" fontId="50" fillId="0" borderId="118" xfId="12" applyFont="1" applyFill="1" applyBorder="1"/>
    <xf numFmtId="173" fontId="17" fillId="0" borderId="118" xfId="7" applyNumberFormat="1" applyFill="1" applyBorder="1"/>
    <xf numFmtId="173" fontId="17" fillId="10" borderId="118" xfId="7" applyNumberFormat="1" applyFill="1" applyBorder="1"/>
    <xf numFmtId="173" fontId="17" fillId="0" borderId="118" xfId="7" applyNumberFormat="1" applyBorder="1"/>
    <xf numFmtId="164" fontId="93" fillId="44" borderId="0" xfId="9" applyNumberFormat="1" applyFont="1" applyFill="1" applyBorder="1" applyAlignment="1">
      <alignment horizontal="center" vertical="center"/>
    </xf>
    <xf numFmtId="0" fontId="62" fillId="0" borderId="118" xfId="9" applyFont="1" applyBorder="1"/>
    <xf numFmtId="164" fontId="63" fillId="0" borderId="118" xfId="9" applyNumberFormat="1" applyFont="1" applyFill="1" applyBorder="1"/>
    <xf numFmtId="164" fontId="63" fillId="10" borderId="118" xfId="9" applyNumberFormat="1" applyFont="1" applyFill="1" applyBorder="1"/>
    <xf numFmtId="164" fontId="94" fillId="0" borderId="0" xfId="0" applyNumberFormat="1" applyFont="1"/>
    <xf numFmtId="165" fontId="16" fillId="0" borderId="0" xfId="0" applyNumberFormat="1" applyFont="1" applyFill="1"/>
    <xf numFmtId="0" fontId="3" fillId="4" borderId="0" xfId="0" applyFont="1" applyFill="1"/>
    <xf numFmtId="3" fontId="3" fillId="4" borderId="0" xfId="0" applyNumberFormat="1" applyFont="1" applyFill="1"/>
    <xf numFmtId="0" fontId="6" fillId="32" borderId="0" xfId="0" applyFont="1" applyFill="1" applyAlignment="1">
      <alignment horizontal="center"/>
    </xf>
    <xf numFmtId="164" fontId="95" fillId="4" borderId="0" xfId="0" applyNumberFormat="1" applyFont="1" applyFill="1" applyBorder="1" applyAlignment="1">
      <alignment horizontal="center"/>
    </xf>
    <xf numFmtId="0" fontId="96" fillId="0" borderId="0" xfId="0" applyFont="1"/>
    <xf numFmtId="1" fontId="16" fillId="4" borderId="0" xfId="0" applyNumberFormat="1" applyFont="1" applyFill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3" fontId="9" fillId="3" borderId="0" xfId="0" applyNumberFormat="1" applyFont="1" applyFill="1" applyBorder="1" applyAlignment="1">
      <alignment horizontal="center" vertical="center" wrapText="1"/>
    </xf>
    <xf numFmtId="164" fontId="97" fillId="0" borderId="0" xfId="0" applyNumberFormat="1" applyFont="1" applyFill="1" applyBorder="1" applyAlignment="1">
      <alignment horizontal="center"/>
    </xf>
    <xf numFmtId="165" fontId="97" fillId="0" borderId="0" xfId="0" applyNumberFormat="1" applyFont="1" applyFill="1" applyBorder="1" applyAlignment="1">
      <alignment horizontal="center"/>
    </xf>
    <xf numFmtId="3" fontId="14" fillId="4" borderId="12" xfId="0" applyNumberFormat="1" applyFont="1" applyFill="1" applyBorder="1" applyAlignment="1">
      <alignment horizontal="center"/>
    </xf>
    <xf numFmtId="0" fontId="0" fillId="0" borderId="120" xfId="0" applyBorder="1" applyAlignment="1">
      <alignment vertical="center"/>
    </xf>
    <xf numFmtId="164" fontId="81" fillId="0" borderId="120" xfId="0" applyNumberFormat="1" applyFont="1" applyBorder="1" applyAlignment="1">
      <alignment vertical="center"/>
    </xf>
    <xf numFmtId="164" fontId="92" fillId="0" borderId="120" xfId="0" applyNumberFormat="1" applyFont="1" applyBorder="1" applyAlignment="1">
      <alignment vertical="center"/>
    </xf>
    <xf numFmtId="164" fontId="81" fillId="0" borderId="120" xfId="0" applyNumberFormat="1" applyFont="1" applyBorder="1" applyAlignment="1">
      <alignment horizontal="right" vertical="center"/>
    </xf>
    <xf numFmtId="0" fontId="4" fillId="0" borderId="120" xfId="0" applyFont="1" applyBorder="1" applyAlignment="1">
      <alignment vertical="center"/>
    </xf>
    <xf numFmtId="0" fontId="0" fillId="0" borderId="120" xfId="0" applyFont="1" applyBorder="1" applyAlignment="1">
      <alignment vertical="center"/>
    </xf>
    <xf numFmtId="0" fontId="4" fillId="0" borderId="120" xfId="0" applyFont="1" applyBorder="1"/>
    <xf numFmtId="164" fontId="4" fillId="0" borderId="120" xfId="0" applyNumberFormat="1" applyFont="1" applyBorder="1"/>
    <xf numFmtId="164" fontId="80" fillId="31" borderId="0" xfId="0" applyNumberFormat="1" applyFont="1" applyFill="1" applyAlignment="1">
      <alignment horizontal="right" wrapText="1"/>
    </xf>
    <xf numFmtId="0" fontId="0" fillId="0" borderId="120" xfId="0" applyBorder="1" applyAlignment="1">
      <alignment vertical="center" wrapText="1"/>
    </xf>
    <xf numFmtId="164" fontId="0" fillId="0" borderId="120" xfId="0" applyNumberFormat="1" applyBorder="1"/>
    <xf numFmtId="164" fontId="0" fillId="0" borderId="120" xfId="0" applyNumberFormat="1" applyBorder="1" applyAlignment="1">
      <alignment vertical="center"/>
    </xf>
    <xf numFmtId="164" fontId="0" fillId="0" borderId="120" xfId="0" applyNumberFormat="1" applyFont="1" applyBorder="1"/>
    <xf numFmtId="164" fontId="3" fillId="4" borderId="0" xfId="0" applyNumberFormat="1" applyFont="1" applyFill="1"/>
    <xf numFmtId="0" fontId="9" fillId="3" borderId="4" xfId="0" applyFont="1" applyFill="1" applyBorder="1"/>
    <xf numFmtId="164" fontId="15" fillId="4" borderId="0" xfId="0" applyNumberFormat="1" applyFont="1" applyFill="1"/>
    <xf numFmtId="164" fontId="0" fillId="4" borderId="0" xfId="0" applyNumberFormat="1" applyFill="1" applyAlignment="1">
      <alignment horizontal="center"/>
    </xf>
    <xf numFmtId="164" fontId="2" fillId="31" borderId="0" xfId="0" applyNumberFormat="1" applyFont="1" applyFill="1" applyBorder="1" applyAlignment="1">
      <alignment horizontal="center"/>
    </xf>
    <xf numFmtId="165" fontId="0" fillId="0" borderId="0" xfId="0" applyNumberFormat="1"/>
    <xf numFmtId="0" fontId="5" fillId="40" borderId="0" xfId="0" applyFont="1" applyFill="1"/>
    <xf numFmtId="0" fontId="2" fillId="40" borderId="0" xfId="0" applyFont="1" applyFill="1"/>
    <xf numFmtId="0" fontId="2" fillId="45" borderId="0" xfId="0" applyFont="1" applyFill="1" applyBorder="1"/>
    <xf numFmtId="0" fontId="0" fillId="0" borderId="120" xfId="0" applyBorder="1"/>
    <xf numFmtId="0" fontId="36" fillId="0" borderId="120" xfId="0" applyFont="1" applyBorder="1"/>
    <xf numFmtId="0" fontId="0" fillId="0" borderId="120" xfId="0" applyFont="1" applyBorder="1"/>
    <xf numFmtId="167" fontId="0" fillId="0" borderId="0" xfId="2" applyNumberFormat="1" applyFont="1"/>
    <xf numFmtId="167" fontId="2" fillId="40" borderId="0" xfId="2" applyNumberFormat="1" applyFont="1" applyFill="1"/>
    <xf numFmtId="164" fontId="2" fillId="45" borderId="0" xfId="0" applyNumberFormat="1" applyFont="1" applyFill="1" applyBorder="1"/>
    <xf numFmtId="167" fontId="0" fillId="0" borderId="120" xfId="2" applyNumberFormat="1" applyFont="1" applyBorder="1"/>
    <xf numFmtId="167" fontId="4" fillId="0" borderId="120" xfId="2" applyNumberFormat="1" applyFont="1" applyBorder="1"/>
    <xf numFmtId="0" fontId="6" fillId="32" borderId="0" xfId="0" applyFont="1" applyFill="1" applyAlignment="1">
      <alignment horizontal="center"/>
    </xf>
    <xf numFmtId="3" fontId="9" fillId="3" borderId="0" xfId="0" applyNumberFormat="1" applyFont="1" applyFill="1" applyBorder="1" applyAlignment="1">
      <alignment horizontal="center" wrapText="1"/>
    </xf>
    <xf numFmtId="3" fontId="9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/>
    </xf>
    <xf numFmtId="49" fontId="9" fillId="3" borderId="0" xfId="0" applyNumberFormat="1" applyFont="1" applyFill="1" applyBorder="1" applyAlignment="1">
      <alignment horizontal="center"/>
    </xf>
    <xf numFmtId="164" fontId="10" fillId="7" borderId="9" xfId="0" applyNumberFormat="1" applyFont="1" applyFill="1" applyBorder="1" applyAlignment="1">
      <alignment horizontal="center"/>
    </xf>
    <xf numFmtId="164" fontId="10" fillId="7" borderId="10" xfId="0" applyNumberFormat="1" applyFont="1" applyFill="1" applyBorder="1" applyAlignment="1">
      <alignment horizontal="center"/>
    </xf>
    <xf numFmtId="164" fontId="10" fillId="7" borderId="11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left" vertical="center"/>
    </xf>
    <xf numFmtId="0" fontId="9" fillId="3" borderId="0" xfId="0" applyNumberFormat="1" applyFont="1" applyFill="1" applyBorder="1" applyAlignment="1">
      <alignment horizontal="center" wrapText="1"/>
    </xf>
    <xf numFmtId="0" fontId="9" fillId="3" borderId="0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/>
    </xf>
    <xf numFmtId="0" fontId="9" fillId="3" borderId="7" xfId="0" applyNumberFormat="1" applyFont="1" applyFill="1" applyBorder="1" applyAlignment="1">
      <alignment horizontal="center"/>
    </xf>
    <xf numFmtId="0" fontId="9" fillId="3" borderId="8" xfId="0" applyNumberFormat="1" applyFont="1" applyFill="1" applyBorder="1" applyAlignment="1">
      <alignment horizontal="center"/>
    </xf>
    <xf numFmtId="0" fontId="9" fillId="3" borderId="69" xfId="0" applyFont="1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center" wrapText="1"/>
    </xf>
    <xf numFmtId="0" fontId="9" fillId="3" borderId="7" xfId="0" applyNumberFormat="1" applyFont="1" applyFill="1" applyBorder="1" applyAlignment="1">
      <alignment horizontal="center" wrapText="1"/>
    </xf>
    <xf numFmtId="0" fontId="9" fillId="3" borderId="8" xfId="0" applyNumberFormat="1" applyFont="1" applyFill="1" applyBorder="1" applyAlignment="1">
      <alignment horizont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68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top" wrapText="1"/>
    </xf>
    <xf numFmtId="0" fontId="26" fillId="3" borderId="13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6" fillId="3" borderId="13" xfId="0" applyFont="1" applyFill="1" applyBorder="1" applyAlignment="1">
      <alignment horizontal="center" wrapText="1"/>
    </xf>
    <xf numFmtId="0" fontId="26" fillId="3" borderId="69" xfId="0" applyFont="1" applyFill="1" applyBorder="1" applyAlignment="1">
      <alignment horizontal="center"/>
    </xf>
    <xf numFmtId="0" fontId="26" fillId="3" borderId="69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3" fontId="26" fillId="3" borderId="0" xfId="0" applyNumberFormat="1" applyFont="1" applyFill="1" applyBorder="1" applyAlignment="1">
      <alignment horizontal="center" vertical="center"/>
    </xf>
    <xf numFmtId="3" fontId="26" fillId="3" borderId="13" xfId="0" applyNumberFormat="1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9" fontId="49" fillId="0" borderId="4" xfId="7" applyFont="1" applyBorder="1" applyAlignment="1">
      <alignment horizontal="center"/>
    </xf>
    <xf numFmtId="0" fontId="66" fillId="0" borderId="0" xfId="0" applyFont="1" applyFill="1" applyBorder="1" applyAlignment="1">
      <alignment horizontal="center" vertical="center" wrapText="1"/>
    </xf>
    <xf numFmtId="17" fontId="42" fillId="19" borderId="6" xfId="0" applyNumberFormat="1" applyFont="1" applyFill="1" applyBorder="1" applyAlignment="1">
      <alignment horizontal="center"/>
    </xf>
    <xf numFmtId="17" fontId="42" fillId="19" borderId="72" xfId="0" applyNumberFormat="1" applyFont="1" applyFill="1" applyBorder="1" applyAlignment="1">
      <alignment horizontal="center"/>
    </xf>
    <xf numFmtId="17" fontId="42" fillId="19" borderId="8" xfId="0" applyNumberFormat="1" applyFont="1" applyFill="1" applyBorder="1" applyAlignment="1">
      <alignment horizontal="center"/>
    </xf>
    <xf numFmtId="0" fontId="4" fillId="17" borderId="27" xfId="0" applyFont="1" applyFill="1" applyBorder="1" applyAlignment="1">
      <alignment horizontal="center"/>
    </xf>
    <xf numFmtId="0" fontId="36" fillId="11" borderId="27" xfId="0" applyFont="1" applyFill="1" applyBorder="1" applyAlignment="1">
      <alignment horizontal="center" wrapText="1"/>
    </xf>
    <xf numFmtId="0" fontId="4" fillId="11" borderId="0" xfId="0" applyFont="1" applyFill="1" applyAlignment="1">
      <alignment horizontal="center" wrapText="1"/>
    </xf>
    <xf numFmtId="0" fontId="42" fillId="11" borderId="6" xfId="0" applyFont="1" applyFill="1" applyBorder="1" applyAlignment="1">
      <alignment horizontal="center" wrapText="1"/>
    </xf>
    <xf numFmtId="0" fontId="42" fillId="11" borderId="72" xfId="0" applyFont="1" applyFill="1" applyBorder="1" applyAlignment="1">
      <alignment horizontal="center" wrapText="1"/>
    </xf>
    <xf numFmtId="0" fontId="42" fillId="11" borderId="8" xfId="0" applyFont="1" applyFill="1" applyBorder="1" applyAlignment="1">
      <alignment horizontal="center" wrapText="1"/>
    </xf>
    <xf numFmtId="0" fontId="0" fillId="26" borderId="0" xfId="0" applyFill="1" applyAlignment="1">
      <alignment horizontal="center"/>
    </xf>
    <xf numFmtId="0" fontId="4" fillId="27" borderId="0" xfId="0" applyFont="1" applyFill="1" applyAlignment="1">
      <alignment horizontal="center"/>
    </xf>
    <xf numFmtId="0" fontId="4" fillId="27" borderId="4" xfId="0" applyFont="1" applyFill="1" applyBorder="1" applyAlignment="1">
      <alignment horizontal="center"/>
    </xf>
    <xf numFmtId="0" fontId="62" fillId="0" borderId="22" xfId="0" applyFont="1" applyFill="1" applyBorder="1" applyAlignment="1">
      <alignment horizontal="center" vertical="center"/>
    </xf>
    <xf numFmtId="0" fontId="79" fillId="0" borderId="92" xfId="0" applyFont="1" applyFill="1" applyBorder="1" applyAlignment="1">
      <alignment horizontal="left" wrapText="1"/>
    </xf>
    <xf numFmtId="0" fontId="79" fillId="0" borderId="28" xfId="0" applyFont="1" applyFill="1" applyBorder="1" applyAlignment="1">
      <alignment horizontal="left" wrapText="1"/>
    </xf>
    <xf numFmtId="0" fontId="79" fillId="0" borderId="97" xfId="0" applyFont="1" applyFill="1" applyBorder="1" applyAlignment="1">
      <alignment horizontal="left" wrapText="1"/>
    </xf>
    <xf numFmtId="0" fontId="79" fillId="0" borderId="82" xfId="0" applyFont="1" applyFill="1" applyBorder="1" applyAlignment="1">
      <alignment horizontal="left" wrapText="1"/>
    </xf>
    <xf numFmtId="0" fontId="78" fillId="0" borderId="67" xfId="0" applyFont="1" applyFill="1" applyBorder="1" applyAlignment="1">
      <alignment horizontal="left" wrapText="1"/>
    </xf>
    <xf numFmtId="0" fontId="78" fillId="0" borderId="80" xfId="0" applyFont="1" applyFill="1" applyBorder="1" applyAlignment="1">
      <alignment horizontal="left" wrapText="1"/>
    </xf>
    <xf numFmtId="0" fontId="78" fillId="0" borderId="95" xfId="0" applyFont="1" applyFill="1" applyBorder="1" applyAlignment="1">
      <alignment horizontal="center" vertical="center" wrapText="1"/>
    </xf>
    <xf numFmtId="0" fontId="78" fillId="0" borderId="90" xfId="0" applyFont="1" applyFill="1" applyBorder="1" applyAlignment="1">
      <alignment horizontal="center" vertical="center" wrapText="1"/>
    </xf>
    <xf numFmtId="0" fontId="78" fillId="0" borderId="91" xfId="0" applyFont="1" applyFill="1" applyBorder="1" applyAlignment="1">
      <alignment horizontal="center" vertical="center" wrapText="1"/>
    </xf>
    <xf numFmtId="0" fontId="78" fillId="0" borderId="67" xfId="0" applyFont="1" applyFill="1" applyBorder="1" applyAlignment="1">
      <alignment horizontal="center" vertical="center" wrapText="1"/>
    </xf>
    <xf numFmtId="0" fontId="78" fillId="0" borderId="81" xfId="0" applyFont="1" applyFill="1" applyBorder="1" applyAlignment="1">
      <alignment horizontal="center" vertical="center" wrapText="1"/>
    </xf>
    <xf numFmtId="0" fontId="78" fillId="0" borderId="80" xfId="0" applyFont="1" applyFill="1" applyBorder="1" applyAlignment="1">
      <alignment horizontal="center" vertical="center" wrapText="1"/>
    </xf>
    <xf numFmtId="0" fontId="79" fillId="0" borderId="92" xfId="0" applyFont="1" applyFill="1" applyBorder="1" applyAlignment="1">
      <alignment horizontal="left"/>
    </xf>
    <xf numFmtId="0" fontId="79" fillId="0" borderId="28" xfId="0" applyFont="1" applyFill="1" applyBorder="1" applyAlignment="1">
      <alignment horizontal="left"/>
    </xf>
    <xf numFmtId="0" fontId="78" fillId="0" borderId="88" xfId="0" applyFont="1" applyBorder="1" applyAlignment="1">
      <alignment horizontal="center" vertical="center" wrapText="1"/>
    </xf>
    <xf numFmtId="0" fontId="78" fillId="0" borderId="90" xfId="0" applyFont="1" applyBorder="1" applyAlignment="1">
      <alignment horizontal="center" vertical="center" wrapText="1"/>
    </xf>
    <xf numFmtId="0" fontId="78" fillId="0" borderId="91" xfId="0" applyFont="1" applyBorder="1" applyAlignment="1">
      <alignment horizontal="center" vertical="center" wrapText="1"/>
    </xf>
    <xf numFmtId="0" fontId="78" fillId="0" borderId="67" xfId="0" applyFont="1" applyFill="1" applyBorder="1" applyAlignment="1">
      <alignment horizontal="left" vertical="center" wrapText="1"/>
    </xf>
    <xf numFmtId="0" fontId="78" fillId="0" borderId="80" xfId="0" applyFont="1" applyFill="1" applyBorder="1" applyAlignment="1">
      <alignment horizontal="left" vertical="center" wrapText="1"/>
    </xf>
    <xf numFmtId="0" fontId="0" fillId="0" borderId="120" xfId="0" applyBorder="1" applyAlignment="1">
      <alignment horizontal="left" vertical="center"/>
    </xf>
    <xf numFmtId="0" fontId="4" fillId="0" borderId="120" xfId="0" applyFont="1" applyBorder="1" applyAlignment="1">
      <alignment horizontal="left" vertical="center"/>
    </xf>
    <xf numFmtId="0" fontId="4" fillId="0" borderId="120" xfId="0" applyFont="1" applyBorder="1" applyAlignment="1">
      <alignment horizontal="center" vertical="center" wrapText="1"/>
    </xf>
    <xf numFmtId="0" fontId="4" fillId="0" borderId="120" xfId="0" applyFont="1" applyBorder="1" applyAlignment="1">
      <alignment horizontal="center" vertical="center"/>
    </xf>
    <xf numFmtId="0" fontId="4" fillId="0" borderId="120" xfId="0" applyFont="1" applyBorder="1" applyAlignment="1">
      <alignment horizontal="center"/>
    </xf>
    <xf numFmtId="0" fontId="42" fillId="0" borderId="120" xfId="0" applyFont="1" applyBorder="1" applyAlignment="1">
      <alignment horizontal="center"/>
    </xf>
    <xf numFmtId="0" fontId="36" fillId="0" borderId="120" xfId="0" applyFont="1" applyBorder="1" applyAlignment="1">
      <alignment horizontal="left" vertical="center"/>
    </xf>
    <xf numFmtId="0" fontId="36" fillId="4" borderId="120" xfId="0" applyFont="1" applyFill="1" applyBorder="1"/>
    <xf numFmtId="0" fontId="0" fillId="4" borderId="120" xfId="0" applyFont="1" applyFill="1" applyBorder="1" applyAlignment="1">
      <alignment horizontal="left" vertical="center"/>
    </xf>
    <xf numFmtId="0" fontId="36" fillId="4" borderId="120" xfId="0" applyFont="1" applyFill="1" applyBorder="1" applyAlignment="1">
      <alignment horizontal="left" vertical="center"/>
    </xf>
    <xf numFmtId="0" fontId="0" fillId="4" borderId="120" xfId="0" applyFont="1" applyFill="1" applyBorder="1"/>
    <xf numFmtId="164" fontId="0" fillId="4" borderId="120" xfId="0" applyNumberFormat="1" applyFill="1" applyBorder="1"/>
    <xf numFmtId="164" fontId="4" fillId="4" borderId="120" xfId="0" applyNumberFormat="1" applyFont="1" applyFill="1" applyBorder="1"/>
  </cellXfs>
  <cellStyles count="16">
    <cellStyle name="Correto" xfId="3" builtinId="26"/>
    <cellStyle name="Neutro" xfId="14" builtinId="28"/>
    <cellStyle name="Normal" xfId="0" builtinId="0"/>
    <cellStyle name="Normal 10 3 2" xfId="9"/>
    <cellStyle name="Normal 11 2 3" xfId="6"/>
    <cellStyle name="Normal 2" xfId="5"/>
    <cellStyle name="normal 2 2" xfId="15"/>
    <cellStyle name="Normal 3" xfId="8"/>
    <cellStyle name="Normal 3 11" xfId="7"/>
    <cellStyle name="Normal 4 2 2 2 2" xfId="12"/>
    <cellStyle name="Normal 45 3" xfId="10"/>
    <cellStyle name="Normal 7_Rec" xfId="4"/>
    <cellStyle name="Normal 95" xfId="13"/>
    <cellStyle name="Percentagem" xfId="2" builtinId="5"/>
    <cellStyle name="Vírgula" xfId="1" builtinId="3"/>
    <cellStyle name="Vírgula 10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000" b="1" i="0" u="none" baseline="0">
                <a:solidFill>
                  <a:srgbClr val="000000"/>
                </a:solidFill>
              </a:rPr>
              <a:t>Saldo Global em % do PIB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GRAFICO!$A$3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numRef>
              <c:f>GRAFICO!$H$2</c:f>
              <c:numCache>
                <c:formatCode>General</c:formatCode>
                <c:ptCount val="1"/>
              </c:numCache>
            </c:numRef>
          </c:cat>
          <c:val>
            <c:numRef>
              <c:f>GRAFICO!$H$3</c:f>
              <c:numCache>
                <c:formatCode>0.0</c:formatCode>
                <c:ptCount val="1"/>
                <c:pt idx="0">
                  <c:v>-3.7050027605965257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1-448E-BDED-476A8FDA5723}"/>
            </c:ext>
          </c:extLst>
        </c:ser>
        <c:ser>
          <c:idx val="1"/>
          <c:order val="1"/>
          <c:tx>
            <c:strRef>
              <c:f>GRAFICO!$A$4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numRef>
              <c:f>GRAFICO!$H$2</c:f>
              <c:numCache>
                <c:formatCode>General</c:formatCode>
                <c:ptCount val="1"/>
              </c:numCache>
            </c:numRef>
          </c:cat>
          <c:val>
            <c:numRef>
              <c:f>GRAFICO!$H$4</c:f>
              <c:numCache>
                <c:formatCode>0.0</c:formatCode>
                <c:ptCount val="1"/>
                <c:pt idx="0">
                  <c:v>-5.349957345445346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1-448E-BDED-476A8FDA57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112200078"/>
        <c:axId val="-1919381068"/>
      </c:barChart>
      <c:catAx>
        <c:axId val="-111220007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1" i="0" u="none" baseline="0">
                <a:solidFill>
                  <a:srgbClr val="000000"/>
                </a:solidFill>
              </a:defRPr>
            </a:pPr>
            <a:endParaRPr lang="pt-PT"/>
          </a:p>
        </c:txPr>
        <c:crossAx val="-1919381068"/>
        <c:crosses val="autoZero"/>
        <c:auto val="1"/>
        <c:lblAlgn val="ctr"/>
        <c:lblOffset val="100"/>
        <c:noMultiLvlLbl val="0"/>
      </c:catAx>
      <c:valAx>
        <c:axId val="-191938106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1" i="0" u="none" baseline="0">
                <a:solidFill>
                  <a:srgbClr val="000000"/>
                </a:solidFill>
              </a:defRPr>
            </a:pPr>
            <a:endParaRPr lang="pt-PT"/>
          </a:p>
        </c:txPr>
        <c:crossAx val="-1112200078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1" i="0" u="none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000" b="1" i="0" u="none" baseline="0">
                <a:solidFill>
                  <a:srgbClr val="000000"/>
                </a:solidFill>
              </a:rPr>
              <a:t>Saldo Global em milhões CVE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24999999999999"/>
          <c:y val="0.20125000000000001"/>
          <c:w val="0.78349999999999997"/>
          <c:h val="0.5737499999999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GRAFICO!$A$8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numRef>
              <c:f>GRAFICO!$H$7</c:f>
              <c:numCache>
                <c:formatCode>General</c:formatCode>
                <c:ptCount val="1"/>
              </c:numCache>
            </c:numRef>
          </c:cat>
          <c:val>
            <c:numRef>
              <c:f>GRAFICO!$H$8</c:f>
              <c:numCache>
                <c:formatCode>#,##0</c:formatCode>
                <c:ptCount val="1"/>
                <c:pt idx="0">
                  <c:v>-6807.8516755403889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C-4EEA-9500-5A3D3FDB5863}"/>
            </c:ext>
          </c:extLst>
        </c:ser>
        <c:ser>
          <c:idx val="1"/>
          <c:order val="1"/>
          <c:tx>
            <c:strRef>
              <c:f>GRAFICO!$A$9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cat>
            <c:numRef>
              <c:f>GRAFICO!$H$7</c:f>
              <c:numCache>
                <c:formatCode>General</c:formatCode>
                <c:ptCount val="1"/>
              </c:numCache>
            </c:numRef>
          </c:cat>
          <c:val>
            <c:numRef>
              <c:f>GRAFICO!$H$9</c:f>
              <c:numCache>
                <c:formatCode>#,##0</c:formatCode>
                <c:ptCount val="1"/>
                <c:pt idx="0">
                  <c:v>-9395.3778680000014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0C-4EEA-9500-5A3D3FDB5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31875896"/>
        <c:axId val="1531385402"/>
      </c:barChart>
      <c:catAx>
        <c:axId val="-33187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1" i="0" u="none" baseline="0">
                <a:solidFill>
                  <a:srgbClr val="000000"/>
                </a:solidFill>
              </a:defRPr>
            </a:pPr>
            <a:endParaRPr lang="pt-PT"/>
          </a:p>
        </c:txPr>
        <c:crossAx val="1531385402"/>
        <c:crosses val="autoZero"/>
        <c:auto val="1"/>
        <c:lblAlgn val="ctr"/>
        <c:lblOffset val="100"/>
        <c:noMultiLvlLbl val="0"/>
      </c:catAx>
      <c:valAx>
        <c:axId val="153138540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1" i="0" u="none" baseline="0">
                <a:solidFill>
                  <a:srgbClr val="000000"/>
                </a:solidFill>
              </a:defRPr>
            </a:pPr>
            <a:endParaRPr lang="pt-PT"/>
          </a:p>
        </c:txPr>
        <c:crossAx val="-331875896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1" i="0" u="none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603250</xdr:colOff>
      <xdr:row>0</xdr:row>
      <xdr:rowOff>165100</xdr:rowOff>
    </xdr:from>
    <xdr:to>
      <xdr:col>16</xdr:col>
      <xdr:colOff>279400</xdr:colOff>
      <xdr:row>11</xdr:row>
      <xdr:rowOff>101600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276225</xdr:colOff>
      <xdr:row>0</xdr:row>
      <xdr:rowOff>158750</xdr:rowOff>
    </xdr:from>
    <xdr:to>
      <xdr:col>21</xdr:col>
      <xdr:colOff>95250</xdr:colOff>
      <xdr:row>11</xdr:row>
      <xdr:rowOff>101600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79</xdr:row>
      <xdr:rowOff>0</xdr:rowOff>
    </xdr:from>
    <xdr:to>
      <xdr:col>3</xdr:col>
      <xdr:colOff>2444750</xdr:colOff>
      <xdr:row>84</xdr:row>
      <xdr:rowOff>151265</xdr:rowOff>
    </xdr:to>
    <xdr:sp macro="" textlink="">
      <xdr:nvSpPr>
        <xdr:cNvPr id="2" name="x_Imagem 2" descr="data:image/png;base64,iVBORw0KGgoAAAANSUhEUgAAAcUAAAB5CAYAAABIvjo+AAAgAElEQVR4Xu19fXRUVZbvKfHNHz3SoOTDZ+c6yzQJdMfX3aSifBntETCFfChr1mtJJWKE7tEJhlac9rWOYjn2RBcNtE3aaNtioyYFvjcjSJQU8tBGBEGqQvc0rIHEFXqo0JIvRGGtXmvW07x17q1z77mnzrn33Lp1K7eSzV+aOmfvfX7n43f2PvvcEzh+/PgIgn+AACAACAACgMA4R6CiomJCAJPi9ddfHxjnWEDzAQFAABAABMYxAsePH/+yoqLivwEpjuNBAE0HBAABQAAQ0BAAUoSRAAgAAoAAIAAIpBAAUoShAAgAAoAAIAAIACnCGAAEAAFAABAABMwIgKfowYiIRBqvGBhAV7e2tn7igXgQCQgAAjYI1AXR1vYEuke57YGfJN/91UaEkCfZ9bnSAx2eOwQsSfHxNeGy08OBqbQ5kyZN6oHF3rqDwkH0ajSBVig1Tf+Y3NOCJ2TG/3Af9HZ3L+4eQtMLCso/Li0tf6e1NXKOFohJuPtw713dQ0M3jlx5Zd+0b83cHt38sx66jIwcXB7L6un5vBr/96SysgOtkciljI2HioCABAJNTctnnDzZs/izzwIlojHuZGw+0bRwxtaWzneTSAncuvru2957vrmL1LebJ7K2YHkiPTJzDeasxMAYpSJCUsSddvjl1p2xPjQv3TZlOLhg2U8Teze/PEp2+1ptNkhRjL8yXFm3qqGrPfI2NTH3JhGaQoNCCFlWDq67Jhy6fUc09pomSxle2NSwoLPl6WO+BhuMy1sE1LG5pXVHLInmmxuhDFfW3ntv17Z/7iB/T43NV5MIFeCxSZMdC0BTjfJwy57kz1FJ6L2V4e8se2X9+osGgeH6xj/iSUYijX8ta4tuU0hZuzmW3ED0XPu1SyMyMrJpixNc8nag5NhwKVK8Nljzm+rpBTtGhoevOXkidl9XEt2g2hkMv4YS0XtybLPv1WWDFB97rP6/72lu+zChVA5XFV92DPX3XxtPJkNq40tC+xp/OOvOIjSA9I1LVejNxhtL/9eFIx3/EE0k1xJSmzHx9Dk7OdgbDIdKnozG+iLUcgGk6PuRlt8GamN8/87B4Lf/MGdO+QtFwx9N2xGNt6jEp60tDTjsyRubIlKkibaydt1STKwm8q0KvXlf8G9+ejG++/5oIvkQQsp5LGvWpDOfythCEOfpSc3ZAwml8jxvzmKCNhFnypZL8d33tWtzlrKlzVIOJvq6hSXr2jvVOZu6X269Wcjv0ZI766VIkQ0DpnZiG1hvItLYeHV378e1ONQ3MlLwRdmcsuj2lhbd08AD6Xx3782HuofuwL8XTit/PxbdvBs3t6m+vvozdCX6+tQpxy7vPqyXmTa36iU2FOhGD/GIuk8N/u1QIPB1bAerw8pOXtfgkEvPoZ7wICpEWBY6+LPHeeFTO7tZ2Y2NjVNJqNrs8QV76x+ruem6i8eu3trSuTeJFES8Op1MESqtrIsswR6lnZy25uZPw0FlY3dhdd/ssv74zpZ9O2iZouHoqM+oEC+WV1A+563S8qs+oMOzhrwvey4c/rj21GDBNTOXzHqKF8KlsUQF5SdvLC3fRoeV6fCUvT5jzKmyZpX/Butk+5Ueh47abjMvZGXZjUvsNYjGdabY8uYxz15Z3OyWNnJGhzd+xMurCyobThVWn02NzTfZsCgt0/DCgl8sf2Re9fb16//MC3PqBIbQNwl5srbxbCFleHrwb2lzTfeEg73YnrK//LGYDe3ybLGTg9vlBBc73OF3A4GMSJFeeAlhpgaJwzCeFqKbOWW4R/N4lO9VViaPdXXR4RRzGC87etJDwoRA+OFGcSgxUle5ONLepYd56MFFbybs7LYblCa7iKfYs+v7qu7U/+OFnC7HO9PkyaFJx7DTIFqebYaczPsMIY3cMSnT8hQlOZxMonJRCBdjvqW9a6s5ZGzIEmEt0pc+5oK9NcHBfXsSZ35ktJ1va/bGKw9Hnk567LLzhz+ul5YN/I7MLzts7cap4SEpM2RxI+QkNcYJiVCeYjoRmc8Kabl66DQYfp14mqk5uosOp9KeHi8Zx+RdcmxZQ0KnlB62fSYZKZK/9uz/vSXS3pW5LdRmwQkudtjD7y5JEVcnIUIc5ogsmbyahPGqwmtq49HN243JFfwcL3xT/zMWZBdwvBP/csr0HlMYECnDVeFlD8yecuLsoZZ9WxMIlZIwLb2gZ6yn48iTaNpc1UNVvYmO1uexV6frICRHEQ2xk/VY6M0Brt84c/LTRvgSId65nshuTAxWA5NerIhc3WOnbGX7hg1v8+Rwdtom79OaFPFCLNdnBKMJE85PPNSy/V9FfYv14ZD9tKu+OlF8ww3/m8aGh/nlF3rLDx0YWjH97tsemvpXFy7qIeVUn9jrU4aD9bf8dNrQyYnRWHwTaW9JKBz5fsGps/vbEs9iAuaf08q1XTheaXtTOM5Bh9COaPxXJp0W41KdPxbjmp6fVthazK93k0jzvKZ/7dIXxrmZM9x44wgnpcQPnvr7ocCA0h9Pzsdtxn0/f953H8YhQr4XyCdFXkgT19cJjDpjxH/XPcEU6T2+JjxVxhaRHrZ99NkhId41IeUh+hyStDFlywpUGW5DXeqRlJ4ty5PD/128WQDSk0cgI0+RXXifmPPZc1oYTyNA884fzcNe2FK0C2kelbaIYOIkZtKTkXhs+DcjTMuGCzPTw13cmcWmiHhfHDsFgz6NQNgzRXaDwMOHJM7YEhBN1lpCAT7oV88YCWnTGxaaFO28RKzbuaeo9S+xX6bPsB7Dw9b6liYzq6xdHpZ8UjfGiJ0+XpSAtoHtz6yOV92LM+PI9qGBV/r8sR/XpfW9L7e24aQ5WWyJd8cSwNJpQ+8TUuSd2dHy9esKFlnY3KQTpfLorUtD95OsUVmPSBTSlCXFJ5oWfk8LbVLJOBxbRHrofuB5iZgAbWxJI0WRHCebBXk6gJIYgYxI0bS4Yk9x+sn/IwohYiVk0dEnuoq9kcEqWmTSFk7ibQr6zk4PWfQ7dx5v1pNWDLdAJxaRnaxa3T4BKemehUWIlcbHlhCpcKNp02CjXyUFUzaxEZaTJfq0tlPyaFIU9hljY1okgfKYaHmymOsbLI5HZSb7VOSCo08UepYlxUzGqxHatCZF3AarcYnxFI9rgxSlsBXNr9p1S7NNirQq7DV27oi2JZLoRhzqZsOuoisQRAYvdIp/syNFXvjUyha70KmJyJh22JGictsDj5B7lVZygBS9I/CMSJEOwZm9wGBvTf23Hi0YGTGFPej7bjgU+dHOgzopYeJYNfvLX5OQl9QCizLT01D+yXuaR6uFaLSM2v03qlmXzKLNs5O9c8gugiTMl7aI6qRobzfb1cZCmH6uydNvt7DbXbVw6ymKicFMxFaeotzCzSd2UZ/I6LPDjhc+dTte6aMDWpbI2+eNS/tx7ZQUxeNUtTd17pcNT1Gw6dmFMyrZBBgrUrRKnNHPFFHwNM8DFl3wN+oZtjhI0FlBsklpj9eJLXpINZWVynrOsh60d/QxNiU7JkX1DODN6Ava/UVxFqQdXHqYjTmTpK956AtDirCmDB8pY7MtHekhHi2dmCLwLJjd5wbe9RMegag7zM3RGD4vS09Csk5ecUKIZu/HkMuzyYpYs+EpZtJn7HmoiBxk7cMZkV9OnXpMNEZk9GVCipm0nW6TKEoiIkXeuNQjNcJxLUeK9NjJ9MqDk/ApbvvAQNEVdNawEX5HyAkp8sjGijRYgr258EI3a4vu1VEEbaUH69PPKQV3KXnEzvubLCFS60Daxwrs1kb4nY+AFCli76KkZORUoK9vmpHxZ1wiN4XmFKW7qqL6xXJ0/ovuoRML4vGiG/REmw8GN+LfphcMn93ftqeVJBLQnqJqpqJ0KyiJtAxEI/zqWk/BwVP6uWao+l/KUTc6EIv/k9omOqNTYGeap2gKSSrDShU6iuLJGwhG3MQMAT5soo05C1DDn+7Colt++AwdelPPaquK/60/Hv87uj0GSWgX8nly8Hkgvgv2wXF0WyDQV0Bwx/1QMjIy9D+W3fsAe4nfHI6V7LOUjQj1T4rHk3eJ+tbSU2Q+KqFUVb2B+uMzksng5ezZJMFEVl9GpOh2vArCxtwzRdH8sR3XcqRoN7/YRBu3nqJOBopyvqq4+Hdf9cdn6HegqSxLq7FZfseKJuxBMZ9b25C28dCvRqTPE3z14xt/+eNU9TzRxharz7qZz0c5c6165bN0+Jk3Z022pD5UkDZnq1c+i+9f4nuK+/+IanhzluACxOccAcvPvJnPMFLCMWEVVb+9ZGb5z9l7YR91vL3JnMZuXDQ3L86aLCUY3rRkSfmTtJcQXLBg3cDevT/WiSUY3pRMRB8mTcMTN1M96iX1oLJRu9yuWjAcXDD9l2jv3oZESeg0TlaxspN3Xw57hrt3RNv1yaxUHq2/JfBSW1viN/Su2c5uVrb4WoFmOSEOHM6Jvd72lq4/lbm5eMnstVimrBxuX6dA55EUvYBm1mfmhBGRx8Qb0rw2k7FErqWkjxF7fZmQYmZt53+AwSp8yutHus3W41qOFDHWVuOUvXzulhRxP3a9vv+5WDL5A7qf2exTw/tKHw3YhtB1vfE9zW0HEkiZLPJw1bDn6207tfNK7R+tB/9+7PX9v+hMaps1URkrPdykIUoWwUtgy8vz5313rdXXd4goIsfwJsnlfUOZ6O6lc4oYfzU8+SA4vniKoeR9IxVfuh5A6Ar6N96CqMooKjpn9e1Np3poYrX7YDfPTqvhoZYvKrok861QK7szHYJaKApdbYdZpvLZeu76rOgS+/3WTOwibbb6Fq+GdXb00eOHPQN3O15l2281LmXwkNWDy3kxTkX63eji3UMU6ZGZJyJbnOiRwVnGFhk5UCa7CHhCik5NdOIlOJUN5b1BYDz32XhuuzejyZ1Uq9CpO8nm2vAiRjbR9K8sIEX/9o2vLRvPxDCe2+63QYn7onvX4YdPBYqu+FZN5Sa7j2Bkaj/W09NxZO1JVDixbN53foE/s5apLKjnbwR8QYoYIl4mmr+hA+vGc5+N57bDyAcExjICviHFsQwytA0QAAQAAUAgPxAwkWJ+mAxWAgKAACAACAAC3iFQUVExIXD8+PGR66+/PvUul3fKQDIgkCsEYEznCmnQI0Lg+PHjX6kLbCCgf+Ab0PI3AhA+9Xf/gHUuEABSdAEeVM0KAkCKWYExp0KAFHMKNyjLJQJAirlEG3TxEABSzL9xAaSYf30GFksiAKQoCRQU8wwBIEXPoPVMMJCiZ9CC4NFGAEhxtHsA9AMp5t8YAFLMvz4DiyURAFKUBAqKeYYAkKJn0HomOO9J0fQh62D4Nfqlec9QEwhWbekPfQN/WFzmG6jZtm+09We7PW7ljRVSJB8DRzVNz7AvtfAw0r7RGfglfjXEqy+8iPqG6GYfCKbLkzcJR+oiD+IXWniycJtfbTmxberq+rDoHUG2ni63dt1D+BUJnlyZMm7HHV0fSDGbaOZGFpcU054F4tkyygSETSKLRWFdpEE0uXIDI/2yffC60ViMcDuBFM29nS+kaGzszA8ni144oV9foVvMf+nEkCnzYsqiq46cJQ9x8+aO6PUFkW6aHOkHemnZtEz6YV+jjDIsev0Cl5GRK1PGi7UCSNELVL2VKeUpagN1cOvCpoYF7Lt63ppnLd2vdo0WJkCK+UeKGlEd315chY6Rt0exd6dvTFEI0ZEHjXyCN/E2XuFQaNXkWbPeIFGKFMF0iEiUoGUlky0j8gDDlZVPXhYKvUQ8U/JYcPqjw8FqIkNto/rOYbAU/6308j+PqE8zBcMHUSLagBAa0cmM+hs7v7QPdYvl4u+UypTxYt4CKXqBqrcys0qKaxYEf9gz/fYETZzqxNxf9KBdSFEd/G2DT81cqb0DSDebLBADt0Seoz3CTEjRSg/WKWMvtudgR89DZUvm/kImTErsP1HR1GkX/nJjH5BifpEiPS7uRDtRy56iRkJ2OikWh8/SRwIa2RjlrJYHmbBrinQ+HKhpahWNTUJMAzVNL9iNX2KP/rZgMLwbE9xjj9VfjQmPlUE8w8radXcsKjjahx/6Laxdt5IOf5I28whZZBstl7y3mNK9CZOtPtfbu3Zh3aJwq9vlF0jRLYK5r++aFNWFeKTymmBXV2kCoVKEgr3hx+eGzm/d/EKsD80zNSn1uj0hkvS6Wml6d5kWlknJuNAReT6aQCvoEIvIk7XTIwwXM/byw09GeIolJbLgaLhQ/5jQc7bsA1LML1KkCe7KxOthluy0sa8sIuNahsBMm0k1wtPVwXskmpTTbECPWkWBSBmrECa7dBFSRDVNz2IiJf/PEh7996WXvT0S4ZBUavP721tX313Dni/KyBWRrahuNpdhIMVsopkbWdkhxQRaYRei4Xl1hPDSSVALD12LzqA9zW0fjtRFfsw7M5T1FO308JIRWNmicNaampofnA8GD2AZLCnxwlIkpMV7ZV2Eg4x9eLgAKeYPKRKCI2Ob5wFyN2sSZ/l0Pat5qW/aguEPRQlqTPjyHtlliSVSEbHRnl5D+SfvYU+RECnRZUWKMnJXFRw8FWkfTCNVxsvUPUjZNsqUA1KUQclfZbJDihIZl7ykGN4iTpPRjImnz2FSTAgmrSNSZGy0q8vaK7NLp9sz+b8+mYhtZ8NSvIXIDgfeOa4snv4abrm1xs+JNmyfi8KiZBOlI2dBilwSZaId6Z6kda4AmSeZeInJVOgUhytlyAt7lOQh3/SRwk+2kZELpJjbeZfv2jwlRV5GWpqHZENWpkWBWRDsiI10jizpWNkrk+lK65kyfKQMZ/GxmbG8s6Js2AeeYvpU9CspkuSa65salpMND48U2dCmHr4vCf3e7oweo6GXD4bfYT1BUeTDRJokEWYkFFgZ/s6yV9avv2i34OmeZUnoT3QdGfIi55VGpqgyGZPxzRdi1/A8PWyLjFwgRbteg99pBDwhRWPHalxPkPVsRERnkKNxhpctUpw5Zbjn8MutO2N9YntHkxRl7ANSzB9SJJmZwqUoGH7tiTmfPcfdVEmcE9JyRZmlvDA+aw+drCKTiMJmk9Kv08uc/Yl0qHidqFjII2YZuXCmCKTnBAFPSJFHIG5Jkd75Eu8rW6RYheKIXYC8Cp/yMgLtPEUZ+4AU84cUeROU9RRFpCWzOZMhxWxcw+B6lanrFTQh4nKiLFG7JB67zFfR72tCytrNMfQoTs6ZNenMp1Tmq352SJeR/UCAk8UVl4UzRaeIjX55T0mRfIGDPutwEj6def6db2wZmjuNhFXSkl8k70/Kko6UvVQ2oLZA9f/6lsdCd4gTbdAK0maeBy0iM7qthBSl7JM43x39YZcbC/waPpUhRf3suSR0Wuaeojgkm9zAJtvIXNVgs0fteoyQrNWXbLTzQmUxOZ9kr22QqxJEl8jzZD1YGbkyZezamMnvQIqZoDa6dTwhRdwkNkSkLFy4saizcxmdSSpLVkmEphCY6AmeLU8Rn+vI2MtLZEjLGGVIKf2c0vzVEhlSlLUPsk/NkymfSZGOjNDjHyFl2PLqkemaEkKIk5iTbS9R9LUYrTeMBBmD5NB8vac0+9SL+tzfUbCXJdq0zFb9IwB8uViXnW6vlmEgRa+Q9U6uFCl6px4kAwLeIZBPpOgdCmNPsur1oXCAkKmfWwik6Ofe4dsGpJh/fQYWSyIApCgJVB4V00KuAy/OfWTeMvbc0o/NAFL0Y69Y2wSkmH99BhZLIgCkKAlUHhXjfUrSz+YDKfq5d8BTzL/eAYtdIQCk6Ao+qJwFBIAUswBijkWAp5hjwEFd7hAAUswd1qBJ6HV8VVFRMSEQCKgfIYd//kfARIr+NxcsBAQAAUAAEAAEvEVA3cjArtpbkEF67hGAMZ17zEGjGQEIn+bfiIDwaf71GVgsiQCQoiRQUMwzBIAUPYPWM8FAip5BC4JHGwEgxdHuAdAPpJh/YwBIMf/6DCyWRABIURIoKOYZAkCKnkHrmWAgRc+gBcGjjQCQ4mj3AOgHUsy/MQCkmH99BhZLIgCkKAkUFPMMASBFz6D1THDek6Lpg9sWr5J7hqALwfABbxfgSVQFUhSDJP9SxvHt9GPIErDbFtE+5B/4pdWLGuQj4yO16x6SecsRK5WpI1PGtgEOCgApOgDLJ0W5pMh7DSLNXh8QkNO35dxgrk6mtsGnZq6cvbY1ErnkRhauK3pGyq1cqG8gMBZIUX9CCqFSVBLaRz8jxfY1mQ/mVzWMUvgJs0VXHTmL3w5ly6S/PtO1CyEUMGobr10I9L6bRKiAN/4qa9ctxcSmPd+E7jGXMb+CIXpxg8jgyZepI1PGi7kDpOgFqt7KlPIUZZ9o8tbUdOm5tCuXunKN41jVl++kSB4axs8/hVEURTN8K5M8FRV+fG7o/NbNL8RQCIneaLwWnUF7mts+TATDH6JEVCUwnVCC4YPkbzJjRiPBYDXxCMOh0KrJs2a9QTaV5F1EpabpJ+TNVLaO6E1FWr9MHZkyMm1yWgZI0Slio18+q6TI+1ivOvD3Fz1otcPVJ57AEyNe1cAtkee62iNvE9icEhWe3LHm/W8VNzXch98odAK/nS5Z2TIfNCbtPVHR1EkWC5GtMvKctHMslc13Unxi+fIZp0tLz/EesJbtJ+JpDtQ0ta6a/eWvD7/cujNWHD5Lk5v2PmFRY/1jNTddd/HY1diTLKyLNNBzjZSxCnnSNhEiHahpekE0htmHjEV12EeFZfTQdULX9cb3NLcdSNmyiTxmbCVXFl+7ckCKdgj573fXpKjuQkcqrwl2dZUmcIgHBXv1HWkfmmdqMhP+Sa+rlU57uJd+ODUl40JH5Pmo6UFV8eOrphCUbpBRnuzI0/Uqi/CDrlceevpBsy7DRjvZWB0PI7wAfbWn+Vl698+Xlf5QrEgeXjz9N8RGz6J8J0UauUzPn8mDvORhYs1r1MY13hjSpInJi8wFNlxJNoW3rr77tveeb+6y61X2IWBeeZaUCEkW1q5bSZ8jiv6OZcrUWVRwtG9rS+e7TuTatU/2dyBFWaT8Uy47pJhAK2hCEU+Awa30q+EkSSadjII3YdIgoZyRusiP6V2rU0+Rt6Cwf6MXj5nn3/lGpL2rA5/BEL0iT1FGNq+dOllSITHei+j6IkXZIpLnn2HlD0vGOynqmywqFMrNF6DyA0QJOE5IkQm3NhDPTJ+3kcYrDm9p3RFLovnpZ5mDv7119d01NPFaeZ0puyzrrCo4eCrSbitX9yCzOXqBFLOJZm5kZYcUJc46eEkxPEKhyWfGxNPn2PMNGha7kCYuSxYGllhJBhwmX+xh6YtFoPLrlagLdRWF/4MOMfF0ycoW7fLpv0/+r08m4rbiMBcdbuItbJl6DbkZUv7RMt5JUTQ/9LNK0lVM0pwpo9vUneJkG868TCMq43wQzdfLl4T2rQx/Z9kr69dflCE4NhQrUwdI0T9zMh8s8ZQUeZOL9r7sSBGHd0wTmJm8MqRonZFnDrkauoK9hCytvFJZ2TKkOGX4SBnvLEcna+ocCEhRbmqNZ1LUxw2TVMOGU/UxXBL6PX3ub2RrKpNxyPTmC7FrIu2DW+3CpzrxjYQChOxEvUVCn8lgeDdKRBsidZWLJDy6jTIETHuXQIpy8wVKaQh4Qoq86waZeIp0MgyPsJyQIps4wBsA2oKR3IB/o8kb/z9Pl+yVECDF0Zlu45oU1buA5iMA0XjlhejZHlPnxomKhXZE5zR5hc4KLfvLH4udnv3BmeLozK2xrNUTUuRNPrekiDuBlSFDimwigc2uVc26m34y8j+jCe1ckySvWIVP2ZAnq0OGFEXhU94ZD3iKclNyPJOi7Pk0b16x6MpkkpI6RK9slipNiqWX/3mEyhLVPUKrpB2RbWtCytrNMfQoPp+cNenMp7zsU7qMTPKQ3Kgzl4IzxUxQG906npIiqml6Rs1owwfrOBW8D81zEj7FCS9bhuZOI+cILDHJkCKGl824Uz0/bNPhC3fFYtEtbIiSd44n2mXbydb1c85dWXIj4WaCkeiCP5Ci3KQZr6QoSpbRx3VJ6LToniKbwSxzT5D0BnvFgu4l/NurLSe2TV1dHyYERCIzdLKNRpLKYhKmZUOsOGmH9UZl6siUkRtVzkoBKTrDyw+lPSFF3DA6FIn/X1m4cGNRZ+cyOuHF7kyxCsUR+/UNTraaKaNVBCo3eSB1Rsmes9D2pxOUds3E8toILkCdf8p4iuRCc7qd6eebQIpyUyffSZGdQ0arxdePjE2gOdLBEBfzRRvqehK1gTX0mb86Yz3HgjeJvETuF220eaJnqHKTcZgyrOcoU0emjNyoclYKSNEZXn4oLUWKfjAUbAAEnCKQ76TotL3jpbxKrigcoMnUr20HUvRrz4jtAlLMvz4DiyURAFKUBCqPimnh1IEX5z4yb9n29ev/7HfTgRT93kPp9gEp5l+fgcWSCAApSgKVR8Xy7bOGQIp5NLhSpgIp5l+fgcWSCAApSgIFxTxDAEjRM2g9E2wiRc+0gGBAABAABAABQCBPEKioqJgQgF21/3oL+sRdnwB+7vCD2u4RAE/RPYa5lgDh01wj7kAfLOoOwOIUBfzc4Qe13SMApOgew1xLAFLMNeIO9MGi7gAsIEV3YEFtTxAAUvQEVk+FAil6Cq874UCKgJ87BKD2aCMApDjaPeBcP5Cic8xyVgNI0R3UgJ87/KC2ewSAFN1jmGsJQIq5RtyBPljUHYAF4VN3YEFtTxAAUvQEVk+FOiJF/M3BgwWrTpHX6Ill8C1Ob/oISNEdrmMFP/ZBbBlUMqnDk0teoRipizzIznteee2LM8e3l62+u1b08gSxTfYlDZn24jK6rbXrHura9s8dlu2xKCOrT6YckKIMSv4qY0uKwod0S0L7yJf2gRS96dSxsqh7g4691HzHj/sRe5T+gXgaCZk6+msZCJUiah7TcshLFAihgP73ktA+0XuK3PJIGaYfJeZ+ELS5128AAA/wSURBVByJPzZulLf+ILnxIDL6Jt2Gytp1Swk5ypSxH1HOSwApOsdstGtYkqLoVW78xfmPXjmyqbC+5kn81AyQojfdmO+LujeoyEvNd/zCodCqybNmvUFeUCGPAdMvtLBohCsrn7wsFHqJPAHFPs+kP9YdDL8WRlEU5TxpZvUElJX3lQiGD6JE9B7aa0v9TX0FQ9CeXUpN00/I83BEPnlqqqhq5PfxeNENVl4l/SYj/h4q77krmTLyI0u+JJCiPFZ+KWlJiry3AnmG06SoPpbbNvjUzJWz15LJTNfBO7ZY8/63ipsa7utsefqYMARz6Mr6ZCL6sBugZHS5ke913Xxf1L3Gx07+WMNP9E6iFQ76xjYYfgcT1hPLl884XVp6zmozS+azyCtk9RESLayL3EuHWDVCLmoUEZqIfAmpnfh2U+xOtBNZyRA9Mky/uRi6rjfOe2SYfZfRbjxl8juQYiaojW4dISnyHtoVmapOogFllpJMTkkiNIWUo3e0ppCNLsj8LhwvVKtUVb2B4v0zrm9qWI5J1O4NRlxGRtfowi6nfawt6nKtzl6psYYf8fLoh7rt0LIiUu5cIu8pFofPEq/PToeIXFKPgP/21tV31/DOF0X1aDIt/MO2WhliLaxdt5I+R9SJunbdykUFR/u2tnS+a1VGdAZp13a734EU7RDy3+9CUnSyKyXnGOkP7xoPnfImIPfleSqcY5CbMmlhU8MCWVKU0eW/rki3aKwt6rnGfKzgp3pOL7fujPWheVahUx6+vAe0STnePCFzbmDhwh34UfAEPndU/5nPB2ldQo+vrnJxpH0wjRTpB3/Z9rDJMnbepoh4aQ9yVcHBUzw7GC9zEw7xZnuMAilmG1Hv5WWPFJmzidRg3YrJbMbE0+f2NLd9OFIX+TEdXqEz5K5FZxAuM1DT1EqfL9ByZEhRRhc5b/EeXncaxsqi7g6FzGvnO340GeooCBJjeCixoVO2jBUpYjIkiSpGkkowIAqF8hN8zGRKkyHdHjpMq5799YdKyN+AFDMf/1AzMwRyQopVKI62tnTupUOrhrlaCJWUKayLNKQT56BKrjKkKKNLdJaZGYTe1cr3Rd07ZOQkjzX87EiORkWPspSETpMscSekyG5OReeGHJ0HEkiZjLNOb74Qu4bnoZE6RGYyGN6NEtGGJ5oWfu/VlhPbpq6uD5NwK5Ci3FiHUtlDQEiK+i4VhZBoUlmFYWgPT0R4nBDM3myRIisne5DlTtJYW9Rzh5ymaSzip3lkxrEED1PDwwxeV/9YzU2iyIhl+JSJ2MiQImuLSmgnKhZaJezQWaHa+WFyg3CcBMOvYfKkw5z02SGcKeZ6ho1NfZbZpySd2+5g3y75hYQ02d0nb2fLlmHPRHi66DIyuvKlK8fiop5L7McifnakKEuIuB8sE21QCNFk5jRTU5QVyvY/e1WCS6wWGawiPWtCytrNMfQoTvKZNenMp7zsU7qM6EMDbscrnCm6RTD39S1Jkc7ipA/EZYiKexaYUBaRMChuqjqBD1+4KxaLbtEnKVWGkDI+5Cf1WKLmleFdJWF15R5q5xrH4qLuHIXMa+QzfuTLMCTrGqPA3jnkIWNHmnQd0f1ifY6lLr/rZ4oloT/JXNPg3RMk9w7TQ6PJDVbJQ7zwKUvQGrEqi8mHAtiwLPYsZcpkPtLENYEUvUDVW5m2X7ThHvYjhGjv0c5TJGd43MN4LSSiXvhN1xXsra9Hz7S1DTxLSJFXJrymsOnA5hO/oBcQO13ewpod6fm8qGcHAXdS8h0/p2OYfxWJYKhtLKd2b72VH6I0X49K0231NRu8ud3SuiOWRPONHkv/Cg33izackCjd6zxSJJtyQoLcBB5GrkwZd6ONXxtI0QtUvZVpS4reqreXznqc9jXGTol8X9RHuycAv9HuAW/0q+SKwgH2fNEbbe6kAim6w280agMpjgbqkjphUZcESlAM8HOHnx9ra6HRgRfnPjJvGf6kmx9tpG0CUvR7D6XbB6To4z6DRd1d5wB+7vDzY+01C4I/7Jl+eyKPrlV9VVFRMSEQCGT9wwB+7J+xYJPvSXEsgJxpG2BRzxQ5rR7g5w4/qO0eAfAU3WOYawlAirlG3IE+WNQdgMUpCvi5ww9qu0cASNE9hrmWYCLFXCsHfYAAIAAIAAKAgN8QUEPesKv2W7dA+M9tj8CYdosg1HeLAHiKbhHMfX0In+Yec2mNsKhLQ8UtCPi5ww9qu0cASNE9hrmWAKSYa8Qd6INF3QFYnKKAnzv8oLZ7BIAU3WOYawlAirlG3IE+WNQdgAWk6A4sqO0JAkCKnsDqqVAgRU/hdSccSBHwc4cA1B5tBIAUR7sHnOvPC1LE3y0cGEBXt7a2fuK8iflbA0jRXd8Bfu7wg9ruEQBSdI9hriUISbGpvr76/MjIFSKDvrzqqnPbW1qOeW0w/QFwuyesvLYl1/JhUXeHuF/xe3xNuOz0cGAq27qRKdd9Et38sx7y96am5TNOnuxZ/NlngZKCgvKPS0vL32ltjZwToSJTPtLYeHV3b++i7qGhG0dGCr4om1MWZeexjBzWBiu5eA739HxeLbJ7UlnZgdZI5BL+PRPduB7W0X249y61XVde2TftWzO301jKlnE34tJrAylmG1Hv5XFJUfQyhsmcktA+u8eH6fL4m4WdHw3eX1A+561YdPNu2aYBKV4fkMUKypkR8Cspcl+/wKanXowRzz9luLJuVUNXe+RtuqWy5VNPLnWkjZMM9RI55CknhJB5rKZeqojUVS6KtHftSvs9JaCydt3SpdOG3k9/aQMXUIYra++9l35AmLVffyoKoQL6N+W2B36SfPdXG/HTUTJlvJg/QIpeoOqtTKGnGA5VPdQ9hKZj9f398e8nk6gcKUp3VXHx71STyue8H49u3i5rnv7uIfVUlExdIEUgRZlxwivjd1JUqqreKEboc2I72TDiJ6BizfvfGgp++/dz5pS/UDT80bQd0fivkghNIcRJt1emPP2sVHDBmh/NLPt/v7v8wsdVm6PxbeS9UvxAtxO92Ab9rUWEvsnIjSKknMfPO82Z8KeL8YOn/n4oEPi6YXf/pHg8eRf+f0yKoet643ua9+8cDH77D1SbW5KY6CyelzI9CVUVevO+4N/89GJ89/3RRPIhov/mwgvdOuEKysAjw5nOsrFXT+pMUd/ZCgiNDl1giPDkLi2/6gM9JFJfX939Hx/cvSdx5keoJLSv7pYpG+nw65pw6PbuU4N/iycNDulMm1v1Egl9ACkCKWY67fxNiuYHt+3aqM9ByQgNW37K8JGyrS2de5Mo+Hn9YzU3tTU3f2oQpTKJfvybtoWWw3tg2PDAgl8sf2ReNX65wiBKZTJ585Btn75JtninUX9/0aKMoV8JEF00UWPCXVRwtG9rS+e7SSQuY+WJ2vWN1e/gKbpBb3TquibF1KDcq+5iTf+CvXjyTf2rCxcPv9y6M9aH5pl/Dr8WWTJ5Nfc36hFjIEUgxUynxlghRVN4VCLSwitPe4pKMLxpyZLyJyd8tOU+9cFhAdGavDCBXpqAeHJ5RGqqU9P0j8k9LTjEafrH0d2Aw6Bp5eoqF6uh2ZLQe0QXXReHUFcVHjppV4aEWTMda6J6QIrZRtR7ea5IkZ18jTMnPz1hwvmJh1q2/2sCoVIS6sGH592HDv0D7SnipILyq85/erjjyJNo2tz38Tmj6nF2tD4fTaAVvPMVSLTxfkCMJQ3+JkW0gsb62mDNbxYvmb2WRFdwMo4WchxQ+uPJ+XjTyZah68uUx2d/W9q7tpo2sErl0fCy2+tIZEZGDo+YeHLvWlpT/8bzz3QLvUQU7CXeJS4j0j1/3ncffmX9+ou8sZnyOH9OkyIup3uZwfBrTQUH/r1lT9KyjFcPFgMp5t+K4ooUDS/RCMlgCIwDfc1bxKEa2TNFvW5q91qEBhDxJoEU82+AjabF/iVFZeMH/SOzMDaBQF+Bel6P/1EeGzcCo1QeXXjnovt4bwnKlNc2nR1PRRPJtXq/MDJl5PC8Op7cW5eG7mfP6qw8QG4yjFJ5lCeH2ACkOJozbGzqdkWKLIGRXS6PLEWkqGal7jzeHE8mQyaIgRThPUCXc86vpMg2a024ajmd8MKSHvagdu+Itncl0Q0IGRtNETy88qZjjJLQvvplBU8N7Wh7UjvWUIZ5Z4qsHNqrI7pNJMeRy54pGpmqWhKOKMEF6+7cEW1LJNGNuM083dgGO1LE4dM7A2+NWHmKdJaqyyGXVh08xWwj6r287JAiM1FlPUV6V4pDQ9XTC3aMDO+/MRrri5BdM3iKcKaY6TTIF1Kk54EoGkJfp5CJmLDll6JdKNLe1UGTKn38oYjO9siZHUIBnLTCJqQYJBc8TYjLdKZHyWUJlHfeSPc1fdWDp5uKSu1CSKCfPlO0KANnipnOsrFXzxUpGpNZQfROk84sI3cZeZ4iz9OE8KkxyPJlUffrtMgX/FhPceaU4Z6BgaIr6Iv6+vyhktBob82u/NyhLdN4STUkuxST4qrZX/7aUg6HFEVZpORMjyZbK5LTvlrFbfPPcZSZkCK571w4e+GL2KPmZZ+yf5t72bERNvuUV8+LcQyeoheoeivTFSmaLw0rw1VVxf+GEHX/qC6yhFw0pneu+H4WGik/u2r6yfe13asyXBWq/pdy1I0OxOL/pCYCQPgUwqcux74fSVHfSCrKML7z+1V/fIYWFjUu71uW4WSKypQ3rmSgKYpSFSsuRmeMuaqFT6tQHKnXNni2Ca5F0OeAPLl0iNTqioUuR1HOp+FC6aYTaHByTCTS+NfGpX9tDeqPx/+OrCHYG732a5dG7MqIEnlcDkE8h79SH6wNBNIyZ93KhvreIOCKFNXwRaTxio863t6kZpbq/5ThqvCyB+jL/Wlf3UileIeDykbj4F8ZDi6Y/ku0d29DoiR0GnuZED6F8GmmQ9+PpKhetH+97S2dCFONI9cZ8Lk8LtP1+v7nYsnkD+i2i7JPZctjj1T/CABnrsrKYftDKLf2zqb4tpZtuLyJPDmhWivddPap7oFqX6vZgGWrVzxeb9upnT9q/zBWdD2ZMpmOM6t6QIpeoOqtTClSlDWhsbFxKkJFl6y+z8gLk4zXD37b4erHRd3OZj/97nf8ZOaLVgYh2Y/hy5TH3ykdQOgKVFR0jiTHsf0mI4etIyNXZnyIdBv3G4MBUdIPfjjAql1krbEqI2OjbBkgRVmk/FMuq6Ton2aNDUv8vqj7HWXAz+895Mw+kmlaWbvuDq++QOPMIvvSQIr2GPmtBJCi33qEsgcWdXedA/i5w89vtfH3mE99OediYu/ml/1mm8geIMV86SnDTiBFH/cZLOruOgfwc4cf1HaPAJCiewxzLQFIMdeIO9AHi7oDsDhFAT93+EFt9wgAKbrHMNcSTKSYa+WgDxAABAABQAAQ8BsC6jUavxkF9gACgAAgAAgAAqOFwP8HBQxAwqYia7kAAAAASUVORK5CYII="/>
        <xdr:cNvSpPr>
          <a:spLocks noChangeAspect="1" noChangeArrowheads="1"/>
        </xdr:cNvSpPr>
      </xdr:nvSpPr>
      <xdr:spPr bwMode="auto">
        <a:xfrm>
          <a:off x="3152775" y="10639425"/>
          <a:ext cx="49053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3</xdr:col>
      <xdr:colOff>2444750</xdr:colOff>
      <xdr:row>84</xdr:row>
      <xdr:rowOff>151265</xdr:rowOff>
    </xdr:to>
    <xdr:sp macro="" textlink="">
      <xdr:nvSpPr>
        <xdr:cNvPr id="3" name="x_Imagem 2" descr="data:image/png;base64,iVBORw0KGgoAAAANSUhEUgAAAcUAAAB5CAYAAABIvjo+AAAgAElEQVR4Xu19fXRUVZbvKfHNHz3SoOTDZ+c6yzQJdMfX3aSifBntETCFfChr1mtJJWKE7tEJhlac9rWOYjn2RBcNtE3aaNtioyYFvjcjSJQU8tBGBEGqQvc0rIHEFXqo0JIvRGGtXmvW07x17q1z77mnzrn33Lp1K7eSzV+aOmfvfX7n43f2PvvcEzh+/PgIgn+AACAACAACgMA4R6CiomJCAJPi9ddfHxjnWEDzAQFAABAABMYxAsePH/+yoqLivwEpjuNBAE0HBAABQAAQ0BAAUoSRAAgAAoAAIAAIpBAAUoShAAgAAoAAIAAIACnCGAAEAAFAABAABMwIgKfowYiIRBqvGBhAV7e2tn7igXgQCQgAAjYI1AXR1vYEuke57YGfJN/91UaEkCfZ9bnSAx2eOwQsSfHxNeGy08OBqbQ5kyZN6oHF3rqDwkH0ajSBVig1Tf+Y3NOCJ2TG/3Af9HZ3L+4eQtMLCso/Li0tf6e1NXKOFohJuPtw713dQ0M3jlx5Zd+0b83cHt38sx66jIwcXB7L6un5vBr/96SysgOtkciljI2HioCABAJNTctnnDzZs/izzwIlojHuZGw+0bRwxtaWzneTSAncuvru2957vrmL1LebJ7K2YHkiPTJzDeasxMAYpSJCUsSddvjl1p2xPjQv3TZlOLhg2U8Teze/PEp2+1ptNkhRjL8yXFm3qqGrPfI2NTH3JhGaQoNCCFlWDq67Jhy6fUc09pomSxle2NSwoLPl6WO+BhuMy1sE1LG5pXVHLInmmxuhDFfW3ntv17Z/7iB/T43NV5MIFeCxSZMdC0BTjfJwy57kz1FJ6L2V4e8se2X9+osGgeH6xj/iSUYijX8ta4tuU0hZuzmW3ED0XPu1SyMyMrJpixNc8nag5NhwKVK8Nljzm+rpBTtGhoevOXkidl9XEt2g2hkMv4YS0XtybLPv1WWDFB97rP6/72lu+zChVA5XFV92DPX3XxtPJkNq40tC+xp/OOvOIjSA9I1LVejNxhtL/9eFIx3/EE0k1xJSmzHx9Dk7OdgbDIdKnozG+iLUcgGk6PuRlt8GamN8/87B4Lf/MGdO+QtFwx9N2xGNt6jEp60tDTjsyRubIlKkibaydt1STKwm8q0KvXlf8G9+ejG++/5oIvkQQsp5LGvWpDOfythCEOfpSc3ZAwml8jxvzmKCNhFnypZL8d33tWtzlrKlzVIOJvq6hSXr2jvVOZu6X269Wcjv0ZI766VIkQ0DpnZiG1hvItLYeHV378e1ONQ3MlLwRdmcsuj2lhbd08AD6Xx3782HuofuwL8XTit/PxbdvBs3t6m+vvozdCX6+tQpxy7vPqyXmTa36iU2FOhGD/GIuk8N/u1QIPB1bAerw8pOXtfgkEvPoZ7wICpEWBY6+LPHeeFTO7tZ2Y2NjVNJqNrs8QV76x+ruem6i8eu3trSuTeJFES8Op1MESqtrIsswR6lnZy25uZPw0FlY3dhdd/ssv74zpZ9O2iZouHoqM+oEC+WV1A+563S8qs+oMOzhrwvey4c/rj21GDBNTOXzHqKF8KlsUQF5SdvLC3fRoeV6fCUvT5jzKmyZpX/Butk+5Ueh47abjMvZGXZjUvsNYjGdabY8uYxz15Z3OyWNnJGhzd+xMurCyobThVWn02NzTfZsCgt0/DCgl8sf2Re9fb16//MC3PqBIbQNwl5srbxbCFleHrwb2lzTfeEg73YnrK//LGYDe3ybLGTg9vlBBc73OF3A4GMSJFeeAlhpgaJwzCeFqKbOWW4R/N4lO9VViaPdXXR4RRzGC87etJDwoRA+OFGcSgxUle5ONLepYd56MFFbybs7LYblCa7iKfYs+v7qu7U/+OFnC7HO9PkyaFJx7DTIFqebYaczPsMIY3cMSnT8hQlOZxMonJRCBdjvqW9a6s5ZGzIEmEt0pc+5oK9NcHBfXsSZ35ktJ1va/bGKw9Hnk567LLzhz+ul5YN/I7MLzts7cap4SEpM2RxI+QkNcYJiVCeYjoRmc8Kabl66DQYfp14mqk5uosOp9KeHi8Zx+RdcmxZQ0KnlB62fSYZKZK/9uz/vSXS3pW5LdRmwQkudtjD7y5JEVcnIUIc5ogsmbyahPGqwmtq49HN243JFfwcL3xT/zMWZBdwvBP/csr0HlMYECnDVeFlD8yecuLsoZZ9WxMIlZIwLb2gZ6yn48iTaNpc1UNVvYmO1uexV6frICRHEQ2xk/VY6M0Brt84c/LTRvgSId65nshuTAxWA5NerIhc3WOnbGX7hg1v8+Rwdtom79OaFPFCLNdnBKMJE85PPNSy/V9FfYv14ZD9tKu+OlF8ww3/m8aGh/nlF3rLDx0YWjH97tsemvpXFy7qIeVUn9jrU4aD9bf8dNrQyYnRWHwTaW9JKBz5fsGps/vbEs9iAuaf08q1XTheaXtTOM5Bh9COaPxXJp0W41KdPxbjmp6fVthazK93k0jzvKZ/7dIXxrmZM9x44wgnpcQPnvr7ocCA0h9Pzsdtxn0/f953H8YhQr4XyCdFXkgT19cJjDpjxH/XPcEU6T2+JjxVxhaRHrZ99NkhId41IeUh+hyStDFlywpUGW5DXeqRlJ4ty5PD/128WQDSk0cgI0+RXXifmPPZc1oYTyNA884fzcNe2FK0C2kelbaIYOIkZtKTkXhs+DcjTMuGCzPTw13cmcWmiHhfHDsFgz6NQNgzRXaDwMOHJM7YEhBN1lpCAT7oV88YCWnTGxaaFO28RKzbuaeo9S+xX6bPsB7Dw9b6liYzq6xdHpZ8UjfGiJ0+XpSAtoHtz6yOV92LM+PI9qGBV/r8sR/XpfW9L7e24aQ5WWyJd8cSwNJpQ+8TUuSd2dHy9esKFlnY3KQTpfLorUtD95OsUVmPSBTSlCXFJ5oWfk8LbVLJOBxbRHrofuB5iZgAbWxJI0WRHCebBXk6gJIYgYxI0bS4Yk9x+sn/IwohYiVk0dEnuoq9kcEqWmTSFk7ibQr6zk4PWfQ7dx5v1pNWDLdAJxaRnaxa3T4BKemehUWIlcbHlhCpcKNp02CjXyUFUzaxEZaTJfq0tlPyaFIU9hljY1okgfKYaHmymOsbLI5HZSb7VOSCo08UepYlxUzGqxHatCZF3AarcYnxFI9rgxSlsBXNr9p1S7NNirQq7DV27oi2JZLoRhzqZsOuoisQRAYvdIp/syNFXvjUyha70KmJyJh22JGictsDj5B7lVZygBS9I/CMSJEOwZm9wGBvTf23Hi0YGTGFPej7bjgU+dHOgzopYeJYNfvLX5OQl9QCizLT01D+yXuaR6uFaLSM2v03qlmXzKLNs5O9c8gugiTMl7aI6qRobzfb1cZCmH6uydNvt7DbXbVw6ymKicFMxFaeotzCzSd2UZ/I6LPDjhc+dTte6aMDWpbI2+eNS/tx7ZQUxeNUtTd17pcNT1Gw6dmFMyrZBBgrUrRKnNHPFFHwNM8DFl3wN+oZtjhI0FlBsklpj9eJLXpINZWVynrOsh60d/QxNiU7JkX1DODN6Ava/UVxFqQdXHqYjTmTpK956AtDirCmDB8pY7MtHekhHi2dmCLwLJjd5wbe9RMegag7zM3RGD4vS09Csk5ecUKIZu/HkMuzyYpYs+EpZtJn7HmoiBxk7cMZkV9OnXpMNEZk9GVCipm0nW6TKEoiIkXeuNQjNcJxLUeK9NjJ9MqDk/ApbvvAQNEVdNawEX5HyAkp8sjGijRYgr258EI3a4vu1VEEbaUH69PPKQV3KXnEzvubLCFS60Daxwrs1kb4nY+AFCli76KkZORUoK9vmpHxZ1wiN4XmFKW7qqL6xXJ0/ovuoRML4vGiG/REmw8GN+LfphcMn93ftqeVJBLQnqJqpqJ0KyiJtAxEI/zqWk/BwVP6uWao+l/KUTc6EIv/k9omOqNTYGeap2gKSSrDShU6iuLJGwhG3MQMAT5soo05C1DDn+7Colt++AwdelPPaquK/60/Hv87uj0GSWgX8nly8Hkgvgv2wXF0WyDQV0Bwx/1QMjIy9D+W3fsAe4nfHI6V7LOUjQj1T4rHk3eJ+tbSU2Q+KqFUVb2B+uMzksng5ezZJMFEVl9GpOh2vArCxtwzRdH8sR3XcqRoN7/YRBu3nqJOBopyvqq4+Hdf9cdn6HegqSxLq7FZfseKJuxBMZ9b25C28dCvRqTPE3z14xt/+eNU9TzRxharz7qZz0c5c6165bN0+Jk3Z022pD5UkDZnq1c+i+9f4nuK+/+IanhzluACxOccAcvPvJnPMFLCMWEVVb+9ZGb5z9l7YR91vL3JnMZuXDQ3L86aLCUY3rRkSfmTtJcQXLBg3cDevT/WiSUY3pRMRB8mTcMTN1M96iX1oLJRu9yuWjAcXDD9l2jv3oZESeg0TlaxspN3Xw57hrt3RNv1yaxUHq2/JfBSW1viN/Su2c5uVrb4WoFmOSEOHM6Jvd72lq4/lbm5eMnstVimrBxuX6dA55EUvYBm1mfmhBGRx8Qb0rw2k7FErqWkjxF7fZmQYmZt53+AwSp8yutHus3W41qOFDHWVuOUvXzulhRxP3a9vv+5WDL5A7qf2exTw/tKHw3YhtB1vfE9zW0HEkiZLPJw1bDn6207tfNK7R+tB/9+7PX9v+hMaps1URkrPdykIUoWwUtgy8vz5313rdXXd4goIsfwJsnlfUOZ6O6lc4oYfzU8+SA4vniKoeR9IxVfuh5A6Ar6N96CqMooKjpn9e1Np3poYrX7YDfPTqvhoZYvKrok861QK7szHYJaKApdbYdZpvLZeu76rOgS+/3WTOwibbb6Fq+GdXb00eOHPQN3O15l2281LmXwkNWDy3kxTkX63eji3UMU6ZGZJyJbnOiRwVnGFhk5UCa7CHhCik5NdOIlOJUN5b1BYDz32XhuuzejyZ1Uq9CpO8nm2vAiRjbR9K8sIEX/9o2vLRvPxDCe2+63QYn7onvX4YdPBYqu+FZN5Sa7j2Bkaj/W09NxZO1JVDixbN53foE/s5apLKjnbwR8QYoYIl4mmr+hA+vGc5+N57bDyAcExjICviHFsQwytA0QAAQAAUAgPxAwkWJ+mAxWAgKAACAACAAC3iFQUVExIXD8+PGR66+/PvUul3fKQDIgkCsEYEznCmnQI0Lg+PHjX6kLbCCgf+Ab0PI3AhA+9Xf/gHUuEABSdAEeVM0KAkCKWYExp0KAFHMKNyjLJQJAirlEG3TxEABSzL9xAaSYf30GFksiAKQoCRQU8wwBIEXPoPVMMJCiZ9CC4NFGAEhxtHsA9AMp5t8YAFLMvz4DiyURAFKUBAqKeYYAkKJn0HomOO9J0fQh62D4Nfqlec9QEwhWbekPfQN/WFzmG6jZtm+09We7PW7ljRVSJB8DRzVNz7AvtfAw0r7RGfglfjXEqy+8iPqG6GYfCKbLkzcJR+oiD+IXWniycJtfbTmxberq+rDoHUG2ni63dt1D+BUJnlyZMm7HHV0fSDGbaOZGFpcU054F4tkyygSETSKLRWFdpEE0uXIDI/2yffC60ViMcDuBFM29nS+kaGzszA8ni144oV9foVvMf+nEkCnzYsqiq46cJQ9x8+aO6PUFkW6aHOkHemnZtEz6YV+jjDIsev0Cl5GRK1PGi7UCSNELVL2VKeUpagN1cOvCpoYF7Lt63ppnLd2vdo0WJkCK+UeKGlEd315chY6Rt0exd6dvTFEI0ZEHjXyCN/E2XuFQaNXkWbPeIFGKFMF0iEiUoGUlky0j8gDDlZVPXhYKvUQ8U/JYcPqjw8FqIkNto/rOYbAU/6308j+PqE8zBcMHUSLagBAa0cmM+hs7v7QPdYvl4u+UypTxYt4CKXqBqrcys0qKaxYEf9gz/fYETZzqxNxf9KBdSFEd/G2DT81cqb0DSDebLBADt0Seoz3CTEjRSg/WKWMvtudgR89DZUvm/kImTErsP1HR1GkX/nJjH5BifpEiPS7uRDtRy56iRkJ2OikWh8/SRwIa2RjlrJYHmbBrinQ+HKhpahWNTUJMAzVNL9iNX2KP/rZgMLwbE9xjj9VfjQmPlUE8w8radXcsKjjahx/6Laxdt5IOf5I28whZZBstl7y3mNK9CZOtPtfbu3Zh3aJwq9vlF0jRLYK5r++aFNWFeKTymmBXV2kCoVKEgr3hx+eGzm/d/EKsD80zNSn1uj0hkvS6Wml6d5kWlknJuNAReT6aQCvoEIvIk7XTIwwXM/byw09GeIolJbLgaLhQ/5jQc7bsA1LML1KkCe7KxOthluy0sa8sIuNahsBMm0k1wtPVwXskmpTTbECPWkWBSBmrECa7dBFSRDVNz2IiJf/PEh7996WXvT0S4ZBUavP721tX313Dni/KyBWRrahuNpdhIMVsopkbWdkhxQRaYRei4Xl1hPDSSVALD12LzqA9zW0fjtRFfsw7M5T1FO308JIRWNmicNaampofnA8GD2AZLCnxwlIkpMV7ZV2Eg4x9eLgAKeYPKRKCI2Ob5wFyN2sSZ/l0Pat5qW/aguEPRQlqTPjyHtlliSVSEbHRnl5D+SfvYU+RECnRZUWKMnJXFRw8FWkfTCNVxsvUPUjZNsqUA1KUQclfZbJDihIZl7ykGN4iTpPRjImnz2FSTAgmrSNSZGy0q8vaK7NLp9sz+b8+mYhtZ8NSvIXIDgfeOa4snv4abrm1xs+JNmyfi8KiZBOlI2dBilwSZaId6Z6kda4AmSeZeInJVOgUhytlyAt7lOQh3/SRwk+2kZELpJjbeZfv2jwlRV5GWpqHZENWpkWBWRDsiI10jizpWNkrk+lK65kyfKQMZ/GxmbG8s6Js2AeeYvpU9CspkuSa65salpMND48U2dCmHr4vCf3e7oweo6GXD4bfYT1BUeTDRJokEWYkFFgZ/s6yV9avv2i34OmeZUnoT3QdGfIi55VGpqgyGZPxzRdi1/A8PWyLjFwgRbteg99pBDwhRWPHalxPkPVsRERnkKNxhpctUpw5Zbjn8MutO2N9YntHkxRl7ANSzB9SJJmZwqUoGH7tiTmfPcfdVEmcE9JyRZmlvDA+aw+drCKTiMJmk9Kv08uc/Yl0qHidqFjII2YZuXCmCKTnBAFPSJFHIG5Jkd75Eu8rW6RYheKIXYC8Cp/yMgLtPEUZ+4AU84cUeROU9RRFpCWzOZMhxWxcw+B6lanrFTQh4nKiLFG7JB67zFfR72tCytrNMfQoTs6ZNenMp1Tmq352SJeR/UCAk8UVl4UzRaeIjX55T0mRfIGDPutwEj6def6db2wZmjuNhFXSkl8k70/Kko6UvVQ2oLZA9f/6lsdCd4gTbdAK0maeBy0iM7qthBSl7JM43x39YZcbC/waPpUhRf3suSR0Wuaeojgkm9zAJtvIXNVgs0fteoyQrNWXbLTzQmUxOZ9kr22QqxJEl8jzZD1YGbkyZezamMnvQIqZoDa6dTwhRdwkNkSkLFy4saizcxmdSSpLVkmEphCY6AmeLU8Rn+vI2MtLZEjLGGVIKf2c0vzVEhlSlLUPsk/NkymfSZGOjNDjHyFl2PLqkemaEkKIk5iTbS9R9LUYrTeMBBmD5NB8vac0+9SL+tzfUbCXJdq0zFb9IwB8uViXnW6vlmEgRa+Q9U6uFCl6px4kAwLeIZBPpOgdCmNPsur1oXCAkKmfWwik6Ofe4dsGpJh/fQYWSyIApCgJVB4V00KuAy/OfWTeMvbc0o/NAFL0Y69Y2wSkmH99BhZLIgCkKAlUHhXjfUrSz+YDKfq5d8BTzL/eAYtdIQCk6Ao+qJwFBIAUswBijkWAp5hjwEFd7hAAUswd1qBJ6HV8VVFRMSEQCKgfIYd//kfARIr+NxcsBAQAAUAAEAAEvEVA3cjArtpbkEF67hGAMZ17zEGjGQEIn+bfiIDwaf71GVgsiQCQoiRQUMwzBIAUPYPWM8FAip5BC4JHGwEgxdHuAdAPpJh/YwBIMf/6DCyWRABIURIoKOYZAkCKnkHrmWAgRc+gBcGjjQCQ4mj3AOgHUsy/MQCkmH99BhZLIgCkKAkUFPMMASBFz6D1THDek6Lpg9sWr5J7hqALwfABbxfgSVQFUhSDJP9SxvHt9GPIErDbFtE+5B/4pdWLGuQj4yO16x6SecsRK5WpI1PGtgEOCgApOgDLJ0W5pMh7DSLNXh8QkNO35dxgrk6mtsGnZq6cvbY1ErnkRhauK3pGyq1cqG8gMBZIUX9CCqFSVBLaRz8jxfY1mQ/mVzWMUvgJs0VXHTmL3w5ly6S/PtO1CyEUMGobr10I9L6bRKiAN/4qa9ctxcSmPd+E7jGXMb+CIXpxg8jgyZepI1PGi7kDpOgFqt7KlPIUZZ9o8tbUdOm5tCuXunKN41jVl++kSB4axs8/hVEURTN8K5M8FRV+fG7o/NbNL8RQCIneaLwWnUF7mts+TATDH6JEVCUwnVCC4YPkbzJjRiPBYDXxCMOh0KrJs2a9QTaV5F1EpabpJ+TNVLaO6E1FWr9MHZkyMm1yWgZI0Slio18+q6TI+1ivOvD3Fz1otcPVJ57AEyNe1cAtkee62iNvE9icEhWe3LHm/W8VNzXch98odAK/nS5Z2TIfNCbtPVHR1EkWC5GtMvKctHMslc13Unxi+fIZp0tLz/EesJbtJ+JpDtQ0ta6a/eWvD7/cujNWHD5Lk5v2PmFRY/1jNTddd/HY1diTLKyLNNBzjZSxCnnSNhEiHahpekE0htmHjEV12EeFZfTQdULX9cb3NLcdSNmyiTxmbCVXFl+7ckCKdgj573fXpKjuQkcqrwl2dZUmcIgHBXv1HWkfmmdqMhP+Sa+rlU57uJd+ODUl40JH5Pmo6UFV8eOrphCUbpBRnuzI0/Uqi/CDrlceevpBsy7DRjvZWB0PI7wAfbWn+Vl698+Xlf5QrEgeXjz9N8RGz6J8J0UauUzPn8mDvORhYs1r1MY13hjSpInJi8wFNlxJNoW3rr77tveeb+6y61X2IWBeeZaUCEkW1q5bSZ8jiv6OZcrUWVRwtG9rS+e7TuTatU/2dyBFWaT8Uy47pJhAK2hCEU+Awa30q+EkSSadjII3YdIgoZyRusiP6V2rU0+Rt6Cwf6MXj5nn3/lGpL2rA5/BEL0iT1FGNq+dOllSITHei+j6IkXZIpLnn2HlD0vGOynqmywqFMrNF6DyA0QJOE5IkQm3NhDPTJ+3kcYrDm9p3RFLovnpZ5mDv7119d01NPFaeZ0puyzrrCo4eCrSbitX9yCzOXqBFLOJZm5kZYcUJc46eEkxPEKhyWfGxNPn2PMNGha7kCYuSxYGllhJBhwmX+xh6YtFoPLrlagLdRWF/4MOMfF0ycoW7fLpv0/+r08m4rbiMBcdbuItbJl6DbkZUv7RMt5JUTQ/9LNK0lVM0pwpo9vUneJkG868TCMq43wQzdfLl4T2rQx/Z9kr69dflCE4NhQrUwdI0T9zMh8s8ZQUeZOL9r7sSBGHd0wTmJm8MqRonZFnDrkauoK9hCytvFJZ2TKkOGX4SBnvLEcna+ocCEhRbmqNZ1LUxw2TVMOGU/UxXBL6PX3ub2RrKpNxyPTmC7FrIu2DW+3CpzrxjYQChOxEvUVCn8lgeDdKRBsidZWLJDy6jTIETHuXQIpy8wVKaQh4Qoq86waZeIp0MgyPsJyQIps4wBsA2oKR3IB/o8kb/z9Pl+yVECDF0Zlu45oU1buA5iMA0XjlhejZHlPnxomKhXZE5zR5hc4KLfvLH4udnv3BmeLozK2xrNUTUuRNPrekiDuBlSFDimwigc2uVc26m34y8j+jCe1ckySvWIVP2ZAnq0OGFEXhU94ZD3iKclNyPJOi7Pk0b16x6MpkkpI6RK9slipNiqWX/3mEyhLVPUKrpB2RbWtCytrNMfQoPp+cNenMp7zsU7qMTPKQ3Kgzl4IzxUxQG906npIiqml6Rs1owwfrOBW8D81zEj7FCS9bhuZOI+cILDHJkCKGl824Uz0/bNPhC3fFYtEtbIiSd44n2mXbydb1c85dWXIj4WaCkeiCP5Ci3KQZr6QoSpbRx3VJ6LToniKbwSxzT5D0BnvFgu4l/NurLSe2TV1dHyYERCIzdLKNRpLKYhKmZUOsOGmH9UZl6siUkRtVzkoBKTrDyw+lPSFF3DA6FIn/X1m4cGNRZ+cyOuHF7kyxCsUR+/UNTraaKaNVBCo3eSB1Rsmes9D2pxOUds3E8toILkCdf8p4iuRCc7qd6eebQIpyUyffSZGdQ0arxdePjE2gOdLBEBfzRRvqehK1gTX0mb86Yz3HgjeJvETuF220eaJnqHKTcZgyrOcoU0emjNyoclYKSNEZXn4oLUWKfjAUbAAEnCKQ76TotL3jpbxKrigcoMnUr20HUvRrz4jtAlLMvz4DiyURAFKUBCqPimnh1IEX5z4yb9n29ev/7HfTgRT93kPp9gEp5l+fgcWSCAApSgKVR8Xy7bOGQIp5NLhSpgIp5l+fgcWSCAApSgIFxTxDAEjRM2g9E2wiRc+0gGBAABAABAABQCBPEKioqJgQgF21/3oL+sRdnwB+7vCD2u4RAE/RPYa5lgDh01wj7kAfLOoOwOIUBfzc4Qe13SMApOgew1xLAFLMNeIO9MGi7gAsIEV3YEFtTxAAUvQEVk+FAil6Cq874UCKgJ87BKD2aCMApDjaPeBcP5Cic8xyVgNI0R3UgJ87/KC2ewSAFN1jmGsJQIq5RtyBPljUHYAF4VN3YEFtTxAAUvQEVk+FOiJF/M3BgwWrTpHX6Ill8C1Ob/oISNEdrmMFP/ZBbBlUMqnDk0teoRipizzIznteee2LM8e3l62+u1b08gSxTfYlDZn24jK6rbXrHura9s8dlu2xKCOrT6YckKIMSv4qY0uKwod0S0L7yJf2gRS96dSxsqh7g4691HzHj/sRe5T+gXgaCZk6+msZCJUiah7TcshLFAihgP73ktA+0XuK3PJIGaYfJeZ+ELS5128AAA/wSURBVByJPzZulLf+ILnxIDL6Jt2Gytp1Swk5ypSxH1HOSwApOsdstGtYkqLoVW78xfmPXjmyqbC+5kn81AyQojfdmO+LujeoyEvNd/zCodCqybNmvUFeUCGPAdMvtLBohCsrn7wsFHqJPAHFPs+kP9YdDL8WRlEU5TxpZvUElJX3lQiGD6JE9B7aa0v9TX0FQ9CeXUpN00/I83BEPnlqqqhq5PfxeNENVl4l/SYj/h4q77krmTLyI0u+JJCiPFZ+KWlJiry3AnmG06SoPpbbNvjUzJWz15LJTNfBO7ZY8/63ipsa7utsefqYMARz6Mr6ZCL6sBugZHS5ke913Xxf1L3Gx07+WMNP9E6iFQ76xjYYfgcT1hPLl884XVp6zmozS+azyCtk9RESLayL3EuHWDVCLmoUEZqIfAmpnfh2U+xOtBNZyRA9Mky/uRi6rjfOe2SYfZfRbjxl8juQYiaojW4dISnyHtoVmapOogFllpJMTkkiNIWUo3e0ppCNLsj8LhwvVKtUVb2B4v0zrm9qWI5J1O4NRlxGRtfowi6nfawt6nKtzl6psYYf8fLoh7rt0LIiUu5cIu8pFofPEq/PToeIXFKPgP/21tV31/DOF0X1aDIt/MO2WhliLaxdt5I+R9SJunbdykUFR/u2tnS+a1VGdAZp13a734EU7RDy3+9CUnSyKyXnGOkP7xoPnfImIPfleSqcY5CbMmlhU8MCWVKU0eW/rki3aKwt6rnGfKzgp3pOL7fujPWheVahUx6+vAe0STnePCFzbmDhwh34UfAEPndU/5nPB2ldQo+vrnJxpH0wjRTpB3/Z9rDJMnbepoh4aQ9yVcHBUzw7GC9zEw7xZnuMAilmG1Hv5WWPFJmzidRg3YrJbMbE0+f2NLd9OFIX+TEdXqEz5K5FZxAuM1DT1EqfL9ByZEhRRhc5b/EeXncaxsqi7g6FzGvnO340GeooCBJjeCixoVO2jBUpYjIkiSpGkkowIAqF8hN8zGRKkyHdHjpMq5799YdKyN+AFDMf/1AzMwRyQopVKI62tnTupUOrhrlaCJWUKayLNKQT56BKrjKkKKNLdJaZGYTe1cr3Rd07ZOQkjzX87EiORkWPspSETpMscSekyG5OReeGHJ0HEkiZjLNOb74Qu4bnoZE6RGYyGN6NEtGGJ5oWfu/VlhPbpq6uD5NwK5Ci3FiHUtlDQEiK+i4VhZBoUlmFYWgPT0R4nBDM3myRIisne5DlTtJYW9Rzh5ymaSzip3lkxrEED1PDwwxeV/9YzU2iyIhl+JSJ2MiQImuLSmgnKhZaJezQWaHa+WFyg3CcBMOvYfKkw5z02SGcKeZ6ho1NfZbZpySd2+5g3y75hYQ02d0nb2fLlmHPRHi66DIyuvKlK8fiop5L7McifnakKEuIuB8sE21QCNFk5jRTU5QVyvY/e1WCS6wWGawiPWtCytrNMfQoTvKZNenMp7zsU7qM6EMDbscrnCm6RTD39S1Jkc7ipA/EZYiKexaYUBaRMChuqjqBD1+4KxaLbtEnKVWGkDI+5Cf1WKLmleFdJWF15R5q5xrH4qLuHIXMa+QzfuTLMCTrGqPA3jnkIWNHmnQd0f1ifY6lLr/rZ4oloT/JXNPg3RMk9w7TQ6PJDVbJQ7zwKUvQGrEqi8mHAtiwLPYsZcpkPtLENYEUvUDVW5m2X7ThHvYjhGjv0c5TJGd43MN4LSSiXvhN1xXsra9Hz7S1DTxLSJFXJrymsOnA5hO/oBcQO13ewpod6fm8qGcHAXdS8h0/p2OYfxWJYKhtLKd2b72VH6I0X49K0231NRu8ud3SuiOWRPONHkv/Cg33izackCjd6zxSJJtyQoLcBB5GrkwZd6ONXxtI0QtUvZVpS4reqreXznqc9jXGTol8X9RHuycAv9HuAW/0q+SKwgH2fNEbbe6kAim6w280agMpjgbqkjphUZcESlAM8HOHnx9ra6HRgRfnPjJvGf6kmx9tpG0CUvR7D6XbB6To4z6DRd1d5wB+7vDzY+01C4I/7Jl+eyKPrlV9VVFRMSEQCGT9wwB+7J+xYJPvSXEsgJxpG2BRzxQ5rR7g5w4/qO0eAfAU3WOYawlAirlG3IE+WNQdgMUpCvi5ww9qu0cASNE9hrmWYCLFXCsHfYAAIAAIAAKAgN8QUEPesKv2W7dA+M9tj8CYdosg1HeLAHiKbhHMfX0In+Yec2mNsKhLQ8UtCPi5ww9qu0cASNE9hrmWAKSYa8Qd6INF3QFYnKKAnzv8oLZ7BIAU3WOYawlAirlG3IE+WNQdgAWk6A4sqO0JAkCKnsDqqVAgRU/hdSccSBHwc4cA1B5tBIAUR7sHnOvPC1LE3y0cGEBXt7a2fuK8iflbA0jRXd8Bfu7wg9ruEQBSdI9hriUISbGpvr76/MjIFSKDvrzqqnPbW1qOeW0w/QFwuyesvLYl1/JhUXeHuF/xe3xNuOz0cGAq27qRKdd9Et38sx7y96am5TNOnuxZ/NlngZKCgvKPS0vL32ltjZwToSJTPtLYeHV3b++i7qGhG0dGCr4om1MWZeexjBzWBiu5eA739HxeLbJ7UlnZgdZI5BL+PRPduB7W0X249y61XVde2TftWzO301jKlnE34tJrAylmG1Hv5XFJUfQyhsmcktA+u8eH6fL4m4WdHw3eX1A+561YdPNu2aYBKV4fkMUKypkR8Cspcl+/wKanXowRzz9luLJuVUNXe+RtuqWy5VNPLnWkjZMM9RI55CknhJB5rKZeqojUVS6KtHftSvs9JaCydt3SpdOG3k9/aQMXUIYra++9l35AmLVffyoKoQL6N+W2B36SfPdXG/HTUTJlvJg/QIpeoOqtTKGnGA5VPdQ9hKZj9f398e8nk6gcKUp3VXHx71STyue8H49u3i5rnv7uIfVUlExdIEUgRZlxwivjd1JUqqreKEboc2I72TDiJ6BizfvfGgp++/dz5pS/UDT80bQd0fivkghNIcRJt1emPP2sVHDBmh/NLPt/v7v8wsdVm6PxbeS9UvxAtxO92Ab9rUWEvsnIjSKknMfPO82Z8KeL8YOn/n4oEPi6YXf/pHg8eRf+f0yKoet643ua9+8cDH77D1SbW5KY6CyelzI9CVUVevO+4N/89GJ89/3RRPIhov/mwgvdOuEKysAjw5nOsrFXT+pMUd/ZCgiNDl1giPDkLi2/6gM9JFJfX939Hx/cvSdx5keoJLSv7pYpG+nw65pw6PbuU4N/iycNDulMm1v1Egl9ACkCKWY67fxNiuYHt+3aqM9ByQgNW37K8JGyrS2de5Mo+Hn9YzU3tTU3f2oQpTKJfvybtoWWw3tg2PDAgl8sf2ReNX65wiBKZTJ585Btn75JtninUX9/0aKMoV8JEF00UWPCXVRwtG9rS+e7SSQuY+WJ2vWN1e/gKbpBb3TquibF1KDcq+5iTf+CvXjyTf2rCxcPv9y6M9aH5pl/Dr8WWTJ5Nfc36hFjIEUgxUynxlghRVN4VCLSwitPe4pKMLxpyZLyJyd8tOU+9cFhAdGavDCBXpqAeHJ5RGqqU9P0j8k9LTjEafrH0d2Aw6Bp5eoqF6uh2ZLQe0QXXReHUFcVHjppV4aEWTMda6J6QIrZRtR7ea5IkZ18jTMnPz1hwvmJh1q2/2sCoVIS6sGH592HDv0D7SnipILyq85/erjjyJNo2tz38Tmj6nF2tD4fTaAVvPMVSLTxfkCMJQ3+JkW0gsb62mDNbxYvmb2WRFdwMo4WchxQ+uPJ+XjTyZah68uUx2d/W9q7tpo2sErl0fCy2+tIZEZGDo+YeHLvWlpT/8bzz3QLvUQU7CXeJS4j0j1/3ncffmX9+ou8sZnyOH9OkyIup3uZwfBrTQUH/r1lT9KyjFcPFgMp5t+K4ooUDS/RCMlgCIwDfc1bxKEa2TNFvW5q91qEBhDxJoEU82+AjabF/iVFZeMH/SOzMDaBQF+Bel6P/1EeGzcCo1QeXXjnovt4bwnKlNc2nR1PRRPJtXq/MDJl5PC8Op7cW5eG7mfP6qw8QG4yjFJ5lCeH2ACkOJozbGzqdkWKLIGRXS6PLEWkqGal7jzeHE8mQyaIgRThPUCXc86vpMg2a024ajmd8MKSHvagdu+Itncl0Q0IGRtNETy88qZjjJLQvvplBU8N7Wh7UjvWUIZ5Z4qsHNqrI7pNJMeRy54pGpmqWhKOKMEF6+7cEW1LJNGNuM083dgGO1LE4dM7A2+NWHmKdJaqyyGXVh08xWwj6r287JAiM1FlPUV6V4pDQ9XTC3aMDO+/MRrri5BdM3iKcKaY6TTIF1Kk54EoGkJfp5CJmLDll6JdKNLe1UGTKn38oYjO9siZHUIBnLTCJqQYJBc8TYjLdKZHyWUJlHfeSPc1fdWDp5uKSu1CSKCfPlO0KANnipnOsrFXzxUpGpNZQfROk84sI3cZeZ4iz9OE8KkxyPJlUffrtMgX/FhPceaU4Z6BgaIr6Iv6+vyhktBob82u/NyhLdN4STUkuxST4qrZX/7aUg6HFEVZpORMjyZbK5LTvlrFbfPPcZSZkCK571w4e+GL2KPmZZ+yf5t72bERNvuUV8+LcQyeoheoeivTFSmaLw0rw1VVxf+GEHX/qC6yhFw0pneu+H4WGik/u2r6yfe13asyXBWq/pdy1I0OxOL/pCYCQPgUwqcux74fSVHfSCrKML7z+1V/fIYWFjUu71uW4WSKypQ3rmSgKYpSFSsuRmeMuaqFT6tQHKnXNni2Ca5F0OeAPLl0iNTqioUuR1HOp+FC6aYTaHByTCTS+NfGpX9tDeqPx/+OrCHYG732a5dG7MqIEnlcDkE8h79SH6wNBNIyZ93KhvreIOCKFNXwRaTxio863t6kZpbq/5ThqvCyB+jL/Wlf3UileIeDykbj4F8ZDi6Y/ku0d29DoiR0GnuZED6F8GmmQ9+PpKhetH+97S2dCFONI9cZ8Lk8LtP1+v7nYsnkD+i2i7JPZctjj1T/CABnrsrKYftDKLf2zqb4tpZtuLyJPDmhWivddPap7oFqX6vZgGWrVzxeb9upnT9q/zBWdD2ZMpmOM6t6QIpeoOqtTClSlDWhsbFxKkJFl6y+z8gLk4zXD37b4erHRd3OZj/97nf8ZOaLVgYh2Y/hy5TH3ykdQOgKVFR0jiTHsf0mI4etIyNXZnyIdBv3G4MBUdIPfjjAql1krbEqI2OjbBkgRVmk/FMuq6Ton2aNDUv8vqj7HWXAz+895Mw+kmlaWbvuDq++QOPMIvvSQIr2GPmtBJCi33qEsgcWdXedA/i5w89vtfH3mE99OediYu/ml/1mm8geIMV86SnDTiBFH/cZLOruOgfwc4cf1HaPAJCiewxzLQFIMdeIO9AHi7oDsDhFAT93+EFt9wgAKbrHMNcSTKSYa+WgDxAABAABQAAQ8BsC6jUavxkF9gACgAAgAAgAAqOFwP8HBQxAwqYia7kAAAAASUVORK5CYII="/>
        <xdr:cNvSpPr>
          <a:spLocks noChangeAspect="1" noChangeArrowheads="1"/>
        </xdr:cNvSpPr>
      </xdr:nvSpPr>
      <xdr:spPr bwMode="auto">
        <a:xfrm>
          <a:off x="3152775" y="10639425"/>
          <a:ext cx="49053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10</xdr:col>
      <xdr:colOff>1190625</xdr:colOff>
      <xdr:row>83</xdr:row>
      <xdr:rowOff>128588</xdr:rowOff>
    </xdr:to>
    <xdr:sp macro="" textlink="">
      <xdr:nvSpPr>
        <xdr:cNvPr id="4" name="x_Imagem 2" descr="data:image/png;base64,iVBORw0KGgoAAAANSUhEUgAAAcUAAAB5CAYAAABIvjo+AAAgAElEQVR4Xu19fXRUVZbvKfHNHz3SoOTDZ+c6yzQJdMfX3aSifBntETCFfChr1mtJJWKE7tEJhlac9rWOYjn2RBcNtE3aaNtioyYFvjcjSJQU8tBGBEGqQvc0rIHEFXqo0JIvRGGtXmvW07x17q1z77mnzrn33Lp1K7eSzV+aOmfvfX7n43f2PvvcEzh+/PgIgn+AACAACAACgMA4R6CiomJCAJPi9ddfHxjnWEDzAQFAABAABMYxAsePH/+yoqLivwEpjuNBAE0HBAABQAAQ0BAAUoSRAAgAAoAAIAAIpBAAUoShAAgAAoAAIAAIACnCGAAEAAFAABAABMwIgKfowYiIRBqvGBhAV7e2tn7igXgQCQgAAjYI1AXR1vYEuke57YGfJN/91UaEkCfZ9bnSAx2eOwQsSfHxNeGy08OBqbQ5kyZN6oHF3rqDwkH0ajSBVig1Tf+Y3NOCJ2TG/3Af9HZ3L+4eQtMLCso/Li0tf6e1NXKOFohJuPtw713dQ0M3jlx5Zd+0b83cHt38sx66jIwcXB7L6un5vBr/96SysgOtkciljI2HioCABAJNTctnnDzZs/izzwIlojHuZGw+0bRwxtaWzneTSAncuvru2957vrmL1LebJ7K2YHkiPTJzDeasxMAYpSJCUsSddvjl1p2xPjQv3TZlOLhg2U8Teze/PEp2+1ptNkhRjL8yXFm3qqGrPfI2NTH3JhGaQoNCCFlWDq67Jhy6fUc09pomSxle2NSwoLPl6WO+BhuMy1sE1LG5pXVHLInmmxuhDFfW3ntv17Z/7iB/T43NV5MIFeCxSZMdC0BTjfJwy57kz1FJ6L2V4e8se2X9+osGgeH6xj/iSUYijX8ta4tuU0hZuzmW3ED0XPu1SyMyMrJpixNc8nag5NhwKVK8Nljzm+rpBTtGhoevOXkidl9XEt2g2hkMv4YS0XtybLPv1WWDFB97rP6/72lu+zChVA5XFV92DPX3XxtPJkNq40tC+xp/OOvOIjSA9I1LVejNxhtL/9eFIx3/EE0k1xJSmzHx9Dk7OdgbDIdKnozG+iLUcgGk6PuRlt8GamN8/87B4Lf/MGdO+QtFwx9N2xGNt6jEp60tDTjsyRubIlKkibaydt1STKwm8q0KvXlf8G9+ejG++/5oIvkQQsp5LGvWpDOfythCEOfpSc3ZAwml8jxvzmKCNhFnypZL8d33tWtzlrKlzVIOJvq6hSXr2jvVOZu6X269Wcjv0ZI766VIkQ0DpnZiG1hvItLYeHV378e1ONQ3MlLwRdmcsuj2lhbd08AD6Xx3782HuofuwL8XTit/PxbdvBs3t6m+vvozdCX6+tQpxy7vPqyXmTa36iU2FOhGD/GIuk8N/u1QIPB1bAerw8pOXtfgkEvPoZ7wICpEWBY6+LPHeeFTO7tZ2Y2NjVNJqNrs8QV76x+ruem6i8eu3trSuTeJFES8Op1MESqtrIsswR6lnZy25uZPw0FlY3dhdd/ssv74zpZ9O2iZouHoqM+oEC+WV1A+563S8qs+oMOzhrwvey4c/rj21GDBNTOXzHqKF8KlsUQF5SdvLC3fRoeV6fCUvT5jzKmyZpX/Butk+5Ueh47abjMvZGXZjUvsNYjGdabY8uYxz15Z3OyWNnJGhzd+xMurCyobThVWn02NzTfZsCgt0/DCgl8sf2Re9fb16//MC3PqBIbQNwl5srbxbCFleHrwb2lzTfeEg73YnrK//LGYDe3ybLGTg9vlBBc73OF3A4GMSJFeeAlhpgaJwzCeFqKbOWW4R/N4lO9VViaPdXXR4RRzGC87etJDwoRA+OFGcSgxUle5ONLepYd56MFFbybs7LYblCa7iKfYs+v7qu7U/+OFnC7HO9PkyaFJx7DTIFqebYaczPsMIY3cMSnT8hQlOZxMonJRCBdjvqW9a6s5ZGzIEmEt0pc+5oK9NcHBfXsSZ35ktJ1va/bGKw9Hnk567LLzhz+ul5YN/I7MLzts7cap4SEpM2RxI+QkNcYJiVCeYjoRmc8Kabl66DQYfp14mqk5uosOp9KeHi8Zx+RdcmxZQ0KnlB62fSYZKZK/9uz/vSXS3pW5LdRmwQkudtjD7y5JEVcnIUIc5ogsmbyahPGqwmtq49HN243JFfwcL3xT/zMWZBdwvBP/csr0HlMYECnDVeFlD8yecuLsoZZ9WxMIlZIwLb2gZ6yn48iTaNpc1UNVvYmO1uexV6frICRHEQ2xk/VY6M0Brt84c/LTRvgSId65nshuTAxWA5NerIhc3WOnbGX7hg1v8+Rwdtom79OaFPFCLNdnBKMJE85PPNSy/V9FfYv14ZD9tKu+OlF8ww3/m8aGh/nlF3rLDx0YWjH97tsemvpXFy7qIeVUn9jrU4aD9bf8dNrQyYnRWHwTaW9JKBz5fsGps/vbEs9iAuaf08q1XTheaXtTOM5Bh9COaPxXJp0W41KdPxbjmp6fVthazK93k0jzvKZ/7dIXxrmZM9x44wgnpcQPnvr7ocCA0h9Pzsdtxn0/f953H8YhQr4XyCdFXkgT19cJjDpjxH/XPcEU6T2+JjxVxhaRHrZ99NkhId41IeUh+hyStDFlywpUGW5DXeqRlJ4ty5PD/128WQDSk0cgI0+RXXifmPPZc1oYTyNA884fzcNe2FK0C2kelbaIYOIkZtKTkXhs+DcjTMuGCzPTw13cmcWmiHhfHDsFgz6NQNgzRXaDwMOHJM7YEhBN1lpCAT7oV88YCWnTGxaaFO28RKzbuaeo9S+xX6bPsB7Dw9b6liYzq6xdHpZ8UjfGiJ0+XpSAtoHtz6yOV92LM+PI9qGBV/r8sR/XpfW9L7e24aQ5WWyJd8cSwNJpQ+8TUuSd2dHy9esKFlnY3KQTpfLorUtD95OsUVmPSBTSlCXFJ5oWfk8LbVLJOBxbRHrofuB5iZgAbWxJI0WRHCebBXk6gJIYgYxI0bS4Yk9x+sn/IwohYiVk0dEnuoq9kcEqWmTSFk7ibQr6zk4PWfQ7dx5v1pNWDLdAJxaRnaxa3T4BKemehUWIlcbHlhCpcKNp02CjXyUFUzaxEZaTJfq0tlPyaFIU9hljY1okgfKYaHmymOsbLI5HZSb7VOSCo08UepYlxUzGqxHatCZF3AarcYnxFI9rgxSlsBXNr9p1S7NNirQq7DV27oi2JZLoRhzqZsOuoisQRAYvdIp/syNFXvjUyha70KmJyJh22JGictsDj5B7lVZygBS9I/CMSJEOwZm9wGBvTf23Hi0YGTGFPej7bjgU+dHOgzopYeJYNfvLX5OQl9QCizLT01D+yXuaR6uFaLSM2v03qlmXzKLNs5O9c8gugiTMl7aI6qRobzfb1cZCmH6uydNvt7DbXbVw6ymKicFMxFaeotzCzSd2UZ/I6LPDjhc+dTte6aMDWpbI2+eNS/tx7ZQUxeNUtTd17pcNT1Gw6dmFMyrZBBgrUrRKnNHPFFHwNM8DFl3wN+oZtjhI0FlBsklpj9eJLXpINZWVynrOsh60d/QxNiU7JkX1DODN6Ava/UVxFqQdXHqYjTmTpK956AtDirCmDB8pY7MtHekhHi2dmCLwLJjd5wbe9RMegag7zM3RGD4vS09Csk5ecUKIZu/HkMuzyYpYs+EpZtJn7HmoiBxk7cMZkV9OnXpMNEZk9GVCipm0nW6TKEoiIkXeuNQjNcJxLUeK9NjJ9MqDk/ApbvvAQNEVdNawEX5HyAkp8sjGijRYgr258EI3a4vu1VEEbaUH69PPKQV3KXnEzvubLCFS60Daxwrs1kb4nY+AFCli76KkZORUoK9vmpHxZ1wiN4XmFKW7qqL6xXJ0/ovuoRML4vGiG/REmw8GN+LfphcMn93ftqeVJBLQnqJqpqJ0KyiJtAxEI/zqWk/BwVP6uWao+l/KUTc6EIv/k9omOqNTYGeap2gKSSrDShU6iuLJGwhG3MQMAT5soo05C1DDn+7Colt++AwdelPPaquK/60/Hv87uj0GSWgX8nly8Hkgvgv2wXF0WyDQV0Bwx/1QMjIy9D+W3fsAe4nfHI6V7LOUjQj1T4rHk3eJ+tbSU2Q+KqFUVb2B+uMzksng5ezZJMFEVl9GpOh2vArCxtwzRdH8sR3XcqRoN7/YRBu3nqJOBopyvqq4+Hdf9cdn6HegqSxLq7FZfseKJuxBMZ9b25C28dCvRqTPE3z14xt/+eNU9TzRxharz7qZz0c5c6165bN0+Jk3Z022pD5UkDZnq1c+i+9f4nuK+/+IanhzluACxOccAcvPvJnPMFLCMWEVVb+9ZGb5z9l7YR91vL3JnMZuXDQ3L86aLCUY3rRkSfmTtJcQXLBg3cDevT/WiSUY3pRMRB8mTcMTN1M96iX1oLJRu9yuWjAcXDD9l2jv3oZESeg0TlaxspN3Xw57hrt3RNv1yaxUHq2/JfBSW1viN/Su2c5uVrb4WoFmOSEOHM6Jvd72lq4/lbm5eMnstVimrBxuX6dA55EUvYBm1mfmhBGRx8Qb0rw2k7FErqWkjxF7fZmQYmZt53+AwSp8yutHus3W41qOFDHWVuOUvXzulhRxP3a9vv+5WDL5A7qf2exTw/tKHw3YhtB1vfE9zW0HEkiZLPJw1bDn6207tfNK7R+tB/9+7PX9v+hMaps1URkrPdykIUoWwUtgy8vz5313rdXXd4goIsfwJsnlfUOZ6O6lc4oYfzU8+SA4vniKoeR9IxVfuh5A6Ar6N96CqMooKjpn9e1Np3poYrX7YDfPTqvhoZYvKrok861QK7szHYJaKApdbYdZpvLZeu76rOgS+/3WTOwibbb6Fq+GdXb00eOHPQN3O15l2281LmXwkNWDy3kxTkX63eji3UMU6ZGZJyJbnOiRwVnGFhk5UCa7CHhCik5NdOIlOJUN5b1BYDz32XhuuzejyZ1Uq9CpO8nm2vAiRjbR9K8sIEX/9o2vLRvPxDCe2+63QYn7onvX4YdPBYqu+FZN5Sa7j2Bkaj/W09NxZO1JVDixbN53foE/s5apLKjnbwR8QYoYIl4mmr+hA+vGc5+N57bDyAcExjICviHFsQwytA0QAAQAAUAgPxAwkWJ+mAxWAgKAACAACAAC3iFQUVExIXD8+PGR66+/PvUul3fKQDIgkCsEYEznCmnQI0Lg+PHjX6kLbCCgf+Ab0PI3AhA+9Xf/gHUuEABSdAEeVM0KAkCKWYExp0KAFHMKNyjLJQJAirlEG3TxEABSzL9xAaSYf30GFksiAKQoCRQU8wwBIEXPoPVMMJCiZ9CC4NFGAEhxtHsA9AMp5t8YAFLMvz4DiyURAFKUBAqKeYYAkKJn0HomOO9J0fQh62D4Nfqlec9QEwhWbekPfQN/WFzmG6jZtm+09We7PW7ljRVSJB8DRzVNz7AvtfAw0r7RGfglfjXEqy+8iPqG6GYfCKbLkzcJR+oiD+IXWniycJtfbTmxberq+rDoHUG2ni63dt1D+BUJnlyZMm7HHV0fSDGbaOZGFpcU054F4tkyygSETSKLRWFdpEE0uXIDI/2yffC60ViMcDuBFM29nS+kaGzszA8ni144oV9foVvMf+nEkCnzYsqiq46cJQ9x8+aO6PUFkW6aHOkHemnZtEz6YV+jjDIsev0Cl5GRK1PGi7UCSNELVL2VKeUpagN1cOvCpoYF7Lt63ppnLd2vdo0WJkCK+UeKGlEd315chY6Rt0exd6dvTFEI0ZEHjXyCN/E2XuFQaNXkWbPeIFGKFMF0iEiUoGUlky0j8gDDlZVPXhYKvUQ8U/JYcPqjw8FqIkNto/rOYbAU/6308j+PqE8zBcMHUSLagBAa0cmM+hs7v7QPdYvl4u+UypTxYt4CKXqBqrcys0qKaxYEf9gz/fYETZzqxNxf9KBdSFEd/G2DT81cqb0DSDebLBADt0Seoz3CTEjRSg/WKWMvtudgR89DZUvm/kImTErsP1HR1GkX/nJjH5BifpEiPS7uRDtRy56iRkJ2OikWh8/SRwIa2RjlrJYHmbBrinQ+HKhpahWNTUJMAzVNL9iNX2KP/rZgMLwbE9xjj9VfjQmPlUE8w8radXcsKjjahx/6Laxdt5IOf5I28whZZBstl7y3mNK9CZOtPtfbu3Zh3aJwq9vlF0jRLYK5r++aFNWFeKTymmBXV2kCoVKEgr3hx+eGzm/d/EKsD80zNSn1uj0hkvS6Wml6d5kWlknJuNAReT6aQCvoEIvIk7XTIwwXM/byw09GeIolJbLgaLhQ/5jQc7bsA1LML1KkCe7KxOthluy0sa8sIuNahsBMm0k1wtPVwXskmpTTbECPWkWBSBmrECa7dBFSRDVNz2IiJf/PEh7996WXvT0S4ZBUavP721tX313Dni/KyBWRrahuNpdhIMVsopkbWdkhxQRaYRei4Xl1hPDSSVALD12LzqA9zW0fjtRFfsw7M5T1FO308JIRWNmicNaampofnA8GD2AZLCnxwlIkpMV7ZV2Eg4x9eLgAKeYPKRKCI2Ob5wFyN2sSZ/l0Pat5qW/aguEPRQlqTPjyHtlliSVSEbHRnl5D+SfvYU+RECnRZUWKMnJXFRw8FWkfTCNVxsvUPUjZNsqUA1KUQclfZbJDihIZl7ykGN4iTpPRjImnz2FSTAgmrSNSZGy0q8vaK7NLp9sz+b8+mYhtZ8NSvIXIDgfeOa4snv4abrm1xs+JNmyfi8KiZBOlI2dBilwSZaId6Z6kda4AmSeZeInJVOgUhytlyAt7lOQh3/SRwk+2kZELpJjbeZfv2jwlRV5GWpqHZENWpkWBWRDsiI10jizpWNkrk+lK65kyfKQMZ/GxmbG8s6Js2AeeYvpU9CspkuSa65salpMND48U2dCmHr4vCf3e7oweo6GXD4bfYT1BUeTDRJokEWYkFFgZ/s6yV9avv2i34OmeZUnoT3QdGfIi55VGpqgyGZPxzRdi1/A8PWyLjFwgRbteg99pBDwhRWPHalxPkPVsRERnkKNxhpctUpw5Zbjn8MutO2N9YntHkxRl7ANSzB9SJJmZwqUoGH7tiTmfPcfdVEmcE9JyRZmlvDA+aw+drCKTiMJmk9Kv08uc/Yl0qHidqFjII2YZuXCmCKTnBAFPSJFHIG5Jkd75Eu8rW6RYheKIXYC8Cp/yMgLtPEUZ+4AU84cUeROU9RRFpCWzOZMhxWxcw+B6lanrFTQh4nKiLFG7JB67zFfR72tCytrNMfQoTs6ZNenMp1Tmq352SJeR/UCAk8UVl4UzRaeIjX55T0mRfIGDPutwEj6def6db2wZmjuNhFXSkl8k70/Kko6UvVQ2oLZA9f/6lsdCd4gTbdAK0maeBy0iM7qthBSl7JM43x39YZcbC/waPpUhRf3suSR0Wuaeojgkm9zAJtvIXNVgs0fteoyQrNWXbLTzQmUxOZ9kr22QqxJEl8jzZD1YGbkyZezamMnvQIqZoDa6dTwhRdwkNkSkLFy4saizcxmdSSpLVkmEphCY6AmeLU8Rn+vI2MtLZEjLGGVIKf2c0vzVEhlSlLUPsk/NkymfSZGOjNDjHyFl2PLqkemaEkKIk5iTbS9R9LUYrTeMBBmD5NB8vac0+9SL+tzfUbCXJdq0zFb9IwB8uViXnW6vlmEgRa+Q9U6uFCl6px4kAwLeIZBPpOgdCmNPsur1oXCAkKmfWwik6Ofe4dsGpJh/fQYWSyIApCgJVB4V00KuAy/OfWTeMvbc0o/NAFL0Y69Y2wSkmH99BhZLIgCkKAlUHhXjfUrSz+YDKfq5d8BTzL/eAYtdIQCk6Ao+qJwFBIAUswBijkWAp5hjwEFd7hAAUswd1qBJ6HV8VVFRMSEQCKgfIYd//kfARIr+NxcsBAQAAUAAEAAEvEVA3cjArtpbkEF67hGAMZ17zEGjGQEIn+bfiIDwaf71GVgsiQCQoiRQUMwzBIAUPYPWM8FAip5BC4JHGwEgxdHuAdAPpJh/YwBIMf/6DCyWRABIURIoKOYZAkCKnkHrmWAgRc+gBcGjjQCQ4mj3AOgHUsy/MQCkmH99BhZLIgCkKAkUFPMMASBFz6D1THDek6Lpg9sWr5J7hqALwfABbxfgSVQFUhSDJP9SxvHt9GPIErDbFtE+5B/4pdWLGuQj4yO16x6SecsRK5WpI1PGtgEOCgApOgDLJ0W5pMh7DSLNXh8QkNO35dxgrk6mtsGnZq6cvbY1ErnkRhauK3pGyq1cqG8gMBZIUX9CCqFSVBLaRz8jxfY1mQ/mVzWMUvgJs0VXHTmL3w5ly6S/PtO1CyEUMGobr10I9L6bRKiAN/4qa9ctxcSmPd+E7jGXMb+CIXpxg8jgyZepI1PGi7kDpOgFqt7KlPIUZZ9o8tbUdOm5tCuXunKN41jVl++kSB4axs8/hVEURTN8K5M8FRV+fG7o/NbNL8RQCIneaLwWnUF7mts+TATDH6JEVCUwnVCC4YPkbzJjRiPBYDXxCMOh0KrJs2a9QTaV5F1EpabpJ+TNVLaO6E1FWr9MHZkyMm1yWgZI0Slio18+q6TI+1ivOvD3Fz1otcPVJ57AEyNe1cAtkee62iNvE9icEhWe3LHm/W8VNzXch98odAK/nS5Z2TIfNCbtPVHR1EkWC5GtMvKctHMslc13Unxi+fIZp0tLz/EesJbtJ+JpDtQ0ta6a/eWvD7/cujNWHD5Lk5v2PmFRY/1jNTddd/HY1diTLKyLNNBzjZSxCnnSNhEiHahpekE0htmHjEV12EeFZfTQdULX9cb3NLcdSNmyiTxmbCVXFl+7ckCKdgj573fXpKjuQkcqrwl2dZUmcIgHBXv1HWkfmmdqMhP+Sa+rlU57uJd+ODUl40JH5Pmo6UFV8eOrphCUbpBRnuzI0/Uqi/CDrlceevpBsy7DRjvZWB0PI7wAfbWn+Vl698+Xlf5QrEgeXjz9N8RGz6J8J0UauUzPn8mDvORhYs1r1MY13hjSpInJi8wFNlxJNoW3rr77tveeb+6y61X2IWBeeZaUCEkW1q5bSZ8jiv6OZcrUWVRwtG9rS+e7TuTatU/2dyBFWaT8Uy47pJhAK2hCEU+Awa30q+EkSSadjII3YdIgoZyRusiP6V2rU0+Rt6Cwf6MXj5nn3/lGpL2rA5/BEL0iT1FGNq+dOllSITHei+j6IkXZIpLnn2HlD0vGOynqmywqFMrNF6DyA0QJOE5IkQm3NhDPTJ+3kcYrDm9p3RFLovnpZ5mDv7119d01NPFaeZ0puyzrrCo4eCrSbitX9yCzOXqBFLOJZm5kZYcUJc46eEkxPEKhyWfGxNPn2PMNGha7kCYuSxYGllhJBhwmX+xh6YtFoPLrlagLdRWF/4MOMfF0ycoW7fLpv0/+r08m4rbiMBcdbuItbJl6DbkZUv7RMt5JUTQ/9LNK0lVM0pwpo9vUneJkG868TCMq43wQzdfLl4T2rQx/Z9kr69dflCE4NhQrUwdI0T9zMh8s8ZQUeZOL9r7sSBGHd0wTmJm8MqRonZFnDrkauoK9hCytvFJZ2TKkOGX4SBnvLEcna+ocCEhRbmqNZ1LUxw2TVMOGU/UxXBL6PX3ub2RrKpNxyPTmC7FrIu2DW+3CpzrxjYQChOxEvUVCn8lgeDdKRBsidZWLJDy6jTIETHuXQIpy8wVKaQh4Qoq86waZeIp0MgyPsJyQIps4wBsA2oKR3IB/o8kb/z9Pl+yVECDF0Zlu45oU1buA5iMA0XjlhejZHlPnxomKhXZE5zR5hc4KLfvLH4udnv3BmeLozK2xrNUTUuRNPrekiDuBlSFDimwigc2uVc26m34y8j+jCe1ckySvWIVP2ZAnq0OGFEXhU94ZD3iKclNyPJOi7Pk0b16x6MpkkpI6RK9slipNiqWX/3mEyhLVPUKrpB2RbWtCytrNMfQoPp+cNenMp7zsU7qMTPKQ3Kgzl4IzxUxQG906npIiqml6Rs1owwfrOBW8D81zEj7FCS9bhuZOI+cILDHJkCKGl824Uz0/bNPhC3fFYtEtbIiSd44n2mXbydb1c85dWXIj4WaCkeiCP5Ci3KQZr6QoSpbRx3VJ6LToniKbwSxzT5D0BnvFgu4l/NurLSe2TV1dHyYERCIzdLKNRpLKYhKmZUOsOGmH9UZl6siUkRtVzkoBKTrDyw+lPSFF3DA6FIn/X1m4cGNRZ+cyOuHF7kyxCsUR+/UNTraaKaNVBCo3eSB1Rsmes9D2pxOUds3E8toILkCdf8p4iuRCc7qd6eebQIpyUyffSZGdQ0arxdePjE2gOdLBEBfzRRvqehK1gTX0mb86Yz3HgjeJvETuF220eaJnqHKTcZgyrOcoU0emjNyoclYKSNEZXn4oLUWKfjAUbAAEnCKQ76TotL3jpbxKrigcoMnUr20HUvRrz4jtAlLMvz4DiyURAFKUBCqPimnh1IEX5z4yb9n29ev/7HfTgRT93kPp9gEp5l+fgcWSCAApSgKVR8Xy7bOGQIp5NLhSpgIp5l+fgcWSCAApSgIFxTxDAEjRM2g9E2wiRc+0gGBAABAABAABQCBPEKioqJgQgF21/3oL+sRdnwB+7vCD2u4RAE/RPYa5lgDh01wj7kAfLOoOwOIUBfzc4Qe13SMApOgew1xLAFLMNeIO9MGi7gAsIEV3YEFtTxAAUvQEVk+FAil6Cq874UCKgJ87BKD2aCMApDjaPeBcP5Cic8xyVgNI0R3UgJ87/KC2ewSAFN1jmGsJQIq5RtyBPljUHYAF4VN3YEFtTxAAUvQEVk+FOiJF/M3BgwWrTpHX6Ill8C1Ob/oISNEdrmMFP/ZBbBlUMqnDk0teoRipizzIznteee2LM8e3l62+u1b08gSxTfYlDZn24jK6rbXrHura9s8dlu2xKCOrT6YckKIMSv4qY0uKwod0S0L7yJf2gRS96dSxsqh7g4691HzHj/sRe5T+gXgaCZk6+msZCJUiah7TcshLFAihgP73ktA+0XuK3PJIGaYfJeZ+ELS5128AAA/wSURBVByJPzZulLf+ILnxIDL6Jt2Gytp1Swk5ypSxH1HOSwApOsdstGtYkqLoVW78xfmPXjmyqbC+5kn81AyQojfdmO+LujeoyEvNd/zCodCqybNmvUFeUCGPAdMvtLBohCsrn7wsFHqJPAHFPs+kP9YdDL8WRlEU5TxpZvUElJX3lQiGD6JE9B7aa0v9TX0FQ9CeXUpN00/I83BEPnlqqqhq5PfxeNENVl4l/SYj/h4q77krmTLyI0u+JJCiPFZ+KWlJiry3AnmG06SoPpbbNvjUzJWz15LJTNfBO7ZY8/63ipsa7utsefqYMARz6Mr6ZCL6sBugZHS5ke913Xxf1L3Gx07+WMNP9E6iFQ76xjYYfgcT1hPLl884XVp6zmozS+azyCtk9RESLayL3EuHWDVCLmoUEZqIfAmpnfh2U+xOtBNZyRA9Mky/uRi6rjfOe2SYfZfRbjxl8juQYiaojW4dISnyHtoVmapOogFllpJMTkkiNIWUo3e0ppCNLsj8LhwvVKtUVb2B4v0zrm9qWI5J1O4NRlxGRtfowi6nfawt6nKtzl6psYYf8fLoh7rt0LIiUu5cIu8pFofPEq/PToeIXFKPgP/21tV31/DOF0X1aDIt/MO2WhliLaxdt5I+R9SJunbdykUFR/u2tnS+a1VGdAZp13a734EU7RDy3+9CUnSyKyXnGOkP7xoPnfImIPfleSqcY5CbMmlhU8MCWVKU0eW/rki3aKwt6rnGfKzgp3pOL7fujPWheVahUx6+vAe0STnePCFzbmDhwh34UfAEPndU/5nPB2ldQo+vrnJxpH0wjRTpB3/Z9rDJMnbepoh4aQ9yVcHBUzw7GC9zEw7xZnuMAilmG1Hv5WWPFJmzidRg3YrJbMbE0+f2NLd9OFIX+TEdXqEz5K5FZxAuM1DT1EqfL9ByZEhRRhc5b/EeXncaxsqi7g6FzGvnO340GeooCBJjeCixoVO2jBUpYjIkiSpGkkowIAqF8hN8zGRKkyHdHjpMq5799YdKyN+AFDMf/1AzMwRyQopVKI62tnTupUOrhrlaCJWUKayLNKQT56BKrjKkKKNLdJaZGYTe1cr3Rd07ZOQkjzX87EiORkWPspSETpMscSekyG5OReeGHJ0HEkiZjLNOb74Qu4bnoZE6RGYyGN6NEtGGJ5oWfu/VlhPbpq6uD5NwK5Ci3FiHUtlDQEiK+i4VhZBoUlmFYWgPT0R4nBDM3myRIisne5DlTtJYW9Rzh5ymaSzip3lkxrEED1PDwwxeV/9YzU2iyIhl+JSJ2MiQImuLSmgnKhZaJezQWaHa+WFyg3CcBMOvYfKkw5z02SGcKeZ6ho1NfZbZpySd2+5g3y75hYQ02d0nb2fLlmHPRHi66DIyuvKlK8fiop5L7McifnakKEuIuB8sE21QCNFk5jRTU5QVyvY/e1WCS6wWGawiPWtCytrNMfQoTvKZNenMp7zsU7qM6EMDbscrnCm6RTD39S1Jkc7ipA/EZYiKexaYUBaRMChuqjqBD1+4KxaLbtEnKVWGkDI+5Cf1WKLmleFdJWF15R5q5xrH4qLuHIXMa+QzfuTLMCTrGqPA3jnkIWNHmnQd0f1ifY6lLr/rZ4oloT/JXNPg3RMk9w7TQ6PJDVbJQ7zwKUvQGrEqi8mHAtiwLPYsZcpkPtLENYEUvUDVW5m2X7ThHvYjhGjv0c5TJGd43MN4LSSiXvhN1xXsra9Hz7S1DTxLSJFXJrymsOnA5hO/oBcQO13ewpod6fm8qGcHAXdS8h0/p2OYfxWJYKhtLKd2b72VH6I0X49K0231NRu8ud3SuiOWRPONHkv/Cg33izackCjd6zxSJJtyQoLcBB5GrkwZd6ONXxtI0QtUvZVpS4reqreXznqc9jXGTol8X9RHuycAv9HuAW/0q+SKwgH2fNEbbe6kAim6w280agMpjgbqkjphUZcESlAM8HOHnx9ra6HRgRfnPjJvGf6kmx9tpG0CUvR7D6XbB6To4z6DRd1d5wB+7vDzY+01C4I/7Jl+eyKPrlV9VVFRMSEQCGT9wwB+7J+xYJPvSXEsgJxpG2BRzxQ5rR7g5w4/qO0eAfAU3WOYawlAirlG3IE+WNQdgMUpCvi5ww9qu0cASNE9hrmWYCLFXCsHfYAAIAAIAAKAgN8QUEPesKv2W7dA+M9tj8CYdosg1HeLAHiKbhHMfX0In+Yec2mNsKhLQ8UtCPi5ww9qu0cASNE9hrmWAKSYa8Qd6INF3QFYnKKAnzv8oLZ7BIAU3WOYawlAirlG3IE+WNQdgAWk6A4sqO0JAkCKnsDqqVAgRU/hdSccSBHwc4cA1B5tBIAUR7sHnOvPC1LE3y0cGEBXt7a2fuK8iflbA0jRXd8Bfu7wg9ruEQBSdI9hriUISbGpvr76/MjIFSKDvrzqqnPbW1qOeW0w/QFwuyesvLYl1/JhUXeHuF/xe3xNuOz0cGAq27qRKdd9Et38sx7y96am5TNOnuxZ/NlngZKCgvKPS0vL32ltjZwToSJTPtLYeHV3b++i7qGhG0dGCr4om1MWZeexjBzWBiu5eA739HxeLbJ7UlnZgdZI5BL+PRPduB7W0X249y61XVde2TftWzO301jKlnE34tJrAylmG1Hv5XFJUfQyhsmcktA+u8eH6fL4m4WdHw3eX1A+561YdPNu2aYBKV4fkMUKypkR8Cspcl+/wKanXowRzz9luLJuVUNXe+RtuqWy5VNPLnWkjZMM9RI55CknhJB5rKZeqojUVS6KtHftSvs9JaCydt3SpdOG3k9/aQMXUIYra++9l35AmLVffyoKoQL6N+W2B36SfPdXG/HTUTJlvJg/QIpeoOqtTKGnGA5VPdQ9hKZj9f398e8nk6gcKUp3VXHx71STyue8H49u3i5rnv7uIfVUlExdIEUgRZlxwivjd1JUqqreKEboc2I72TDiJ6BizfvfGgp++/dz5pS/UDT80bQd0fivkghNIcRJt1emPP2sVHDBmh/NLPt/v7v8wsdVm6PxbeS9UvxAtxO92Ab9rUWEvsnIjSKknMfPO82Z8KeL8YOn/n4oEPi6YXf/pHg8eRf+f0yKoet643ua9+8cDH77D1SbW5KY6CyelzI9CVUVevO+4N/89GJ89/3RRPIhov/mwgvdOuEKysAjw5nOsrFXT+pMUd/ZCgiNDl1giPDkLi2/6gM9JFJfX939Hx/cvSdx5keoJLSv7pYpG+nw65pw6PbuU4N/iycNDulMm1v1Egl9ACkCKWY67fxNiuYHt+3aqM9ByQgNW37K8JGyrS2de5Mo+Hn9YzU3tTU3f2oQpTKJfvybtoWWw3tg2PDAgl8sf2ReNX65wiBKZTJ585Btn75JtninUX9/0aKMoV8JEF00UWPCXVRwtG9rS+e7SSQuY+WJ2vWN1e/gKbpBb3TquibF1KDcq+5iTf+CvXjyTf2rCxcPv9y6M9aH5pl/Dr8WWTJ5Nfc36hFjIEUgxUynxlghRVN4VCLSwitPe4pKMLxpyZLyJyd8tOU+9cFhAdGavDCBXpqAeHJ5RGqqU9P0j8k9LTjEafrH0d2Aw6Bp5eoqF6uh2ZLQe0QXXReHUFcVHjppV4aEWTMda6J6QIrZRtR7ea5IkZ18jTMnPz1hwvmJh1q2/2sCoVIS6sGH592HDv0D7SnipILyq85/erjjyJNo2tz38Tmj6nF2tD4fTaAVvPMVSLTxfkCMJQ3+JkW0gsb62mDNbxYvmb2WRFdwMo4WchxQ+uPJ+XjTyZah68uUx2d/W9q7tpo2sErl0fCy2+tIZEZGDo+YeHLvWlpT/8bzz3QLvUQU7CXeJS4j0j1/3ncffmX9+ou8sZnyOH9OkyIup3uZwfBrTQUH/r1lT9KyjFcPFgMp5t+K4ooUDS/RCMlgCIwDfc1bxKEa2TNFvW5q91qEBhDxJoEU82+AjabF/iVFZeMH/SOzMDaBQF+Bel6P/1EeGzcCo1QeXXjnovt4bwnKlNc2nR1PRRPJtXq/MDJl5PC8Op7cW5eG7mfP6qw8QG4yjFJ5lCeH2ACkOJozbGzqdkWKLIGRXS6PLEWkqGal7jzeHE8mQyaIgRThPUCXc86vpMg2a024ajmd8MKSHvagdu+Itncl0Q0IGRtNETy88qZjjJLQvvplBU8N7Wh7UjvWUIZ5Z4qsHNqrI7pNJMeRy54pGpmqWhKOKMEF6+7cEW1LJNGNuM083dgGO1LE4dM7A2+NWHmKdJaqyyGXVh08xWwj6r287JAiM1FlPUV6V4pDQ9XTC3aMDO+/MRrri5BdM3iKcKaY6TTIF1Kk54EoGkJfp5CJmLDll6JdKNLe1UGTKn38oYjO9siZHUIBnLTCJqQYJBc8TYjLdKZHyWUJlHfeSPc1fdWDp5uKSu1CSKCfPlO0KANnipnOsrFXzxUpGpNZQfROk84sI3cZeZ4iz9OE8KkxyPJlUffrtMgX/FhPceaU4Z6BgaIr6Iv6+vyhktBob82u/NyhLdN4STUkuxST4qrZX/7aUg6HFEVZpORMjyZbK5LTvlrFbfPPcZSZkCK571w4e+GL2KPmZZ+yf5t72bERNvuUV8+LcQyeoheoeivTFSmaLw0rw1VVxf+GEHX/qC6yhFw0pneu+H4WGik/u2r6yfe13asyXBWq/pdy1I0OxOL/pCYCQPgUwqcux74fSVHfSCrKML7z+1V/fIYWFjUu71uW4WSKypQ3rmSgKYpSFSsuRmeMuaqFT6tQHKnXNni2Ca5F0OeAPLl0iNTqioUuR1HOp+FC6aYTaHByTCTS+NfGpX9tDeqPx/+OrCHYG732a5dG7MqIEnlcDkE8h79SH6wNBNIyZ93KhvreIOCKFNXwRaTxio863t6kZpbq/5ThqvCyB+jL/Wlf3UileIeDykbj4F8ZDi6Y/ku0d29DoiR0GnuZED6F8GmmQ9+PpKhetH+97S2dCFONI9cZ8Lk8LtP1+v7nYsnkD+i2i7JPZctjj1T/CABnrsrKYftDKLf2zqb4tpZtuLyJPDmhWivddPap7oFqX6vZgGWrVzxeb9upnT9q/zBWdD2ZMpmOM6t6QIpeoOqtTClSlDWhsbFxKkJFl6y+z8gLk4zXD37b4erHRd3OZj/97nf8ZOaLVgYh2Y/hy5TH3ykdQOgKVFR0jiTHsf0mI4etIyNXZnyIdBv3G4MBUdIPfjjAql1krbEqI2OjbBkgRVmk/FMuq6Ton2aNDUv8vqj7HWXAz+895Mw+kmlaWbvuDq++QOPMIvvSQIr2GPmtBJCi33qEsgcWdXedA/i5w89vtfH3mE99OediYu/ml/1mm8geIMV86SnDTiBFH/cZLOruOgfwc4cf1HaPAJCiewxzLQFIMdeIO9AHi7oDsDhFAT93+EFt9wgAKbrHMNcSTKSYa+WgDxAABAABQAAQ8BsC6jUavxkF9gACgAAgAAgAAqOFwP8HBQxAwqYia7kAAAAASUVORK5CYII="/>
        <xdr:cNvSpPr>
          <a:spLocks noChangeAspect="1" noChangeArrowheads="1"/>
        </xdr:cNvSpPr>
      </xdr:nvSpPr>
      <xdr:spPr bwMode="auto">
        <a:xfrm>
          <a:off x="12115800" y="9877425"/>
          <a:ext cx="49149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12</xdr:col>
      <xdr:colOff>155575</xdr:colOff>
      <xdr:row>86</xdr:row>
      <xdr:rowOff>7937</xdr:rowOff>
    </xdr:to>
    <xdr:sp macro="" textlink="">
      <xdr:nvSpPr>
        <xdr:cNvPr id="5" name="x_Imagem 3" descr="data:image/png;base64,iVBORw0KGgoAAAANSUhEUgAAAlEAAACRCAYAAADjC+1DAAAgAElEQVR4Xu2df3hU1bnvV2jtec5pPb0UEmiZwQoE0kIrmZ0K8kO8h2QyASxEoU4mEaJiaXIZWkGsAcShtOm5EawyJYpHEDW/zuk5aEHJJFxoQUQ4zQzeNvgI+MDRAZWEHwo+9zzPPbeZ+6y9Z+299pq1f8zMnmR+vPylM2u/613ftfbsT973XWvn9fb2RhD8AwVAAVAAFAAFQAFQABQwrUB/f/9NeRiipkyZkmf6KmgICoACoAAoAApYqEBvb+9fJ0+efFNeXt6AhWbBFCiQMgV6e3v/q7+//28BolImMRgGBUABUAAUMKMAQJQZlaBNOikAEJVOswG+gAKgACiQwwoAROXw5Gfo0AGiMnTiwG1QABQABbJNAYCobJvR7B8PQFT2zzGMEBQABUCBjFAAICojpgmcpBSwBKJ8vvqv9fWh0c3NzR/korq5Pv5cnHMYMygAClivAECU9ZqCxdQqYAqiMCRcPXPuzjOn+/97P8pH3/lO4d6WFv9b2DX83fEXm18PXEBzHdW+u0OtvjdS63L6WfcI6OW2IFpqL/c+Gu7yb7XSww2rPIXnzpxZcOYyKho5cuK/jxs38c3mZt+ndB94Ds4cP3ffmcuXb48MH35h0nemdbRt++VZuo1VdqwcG9gCBcwqYNX6NWOH/K6dPfv5bPzfXy8sfKvZ5/vCrK/QLnEFhgKi8O/nBx9cnxWJRPL+ZsyYo7uamm7ojcBXXz/67Pnz807390+LREZenzB9fPs/b98eUv0mK21uj0RG3mDb4HV4/kreBLafyIhbP2B/u+k2Xq+7+OzZs/MvX86zDx9e+Kdbb731zRdeaPyErFkyDp7/9NioMdyORk487Rj77Q5ix+TYxevGj7/lzX/e/usz+Jp4xhSv5vI9eeL8j0739+Pn3MUJE0v+mfRNfMZ2z8a2wc/ClB3hZAhRvmrHgp2tod1hhEaoxLW5DtYsddw/4Suf3QCIsh6iaDhVL2r7FUf1Q7UEVp/wVhTv9nceYOeHAJ1VdhL/WYQrQYHEFRDX787m1wJhVBpzH1Q98ECo/Rf78OfR+6A7jNBIup3duXJtuPu3W32++q+asYOvXeVxzXutLfCyZMt+5R/+x/3OQ9sbVQ/JxEcEV+opMNgQ9bPqiop/a+18hcy1s662vPu5zUEtHzfVCPOfbAnuRQgNU7VxuF9FofZlCOVFzLSpEtDujiBaGkFIfawQZUcFZb76r53Y2bwH3wfqa+xXit3LHjzZ8ct9m2qEeVzfooaK3RsWknYvtgRfCiOUT/dBvtcCjjqXffXzgfBTEXrsNueh6soZla1+33WPgF5qD6Jl/DEV1SLkE4+tiGqO7698fH9FNcf3lybo+NbOm7rzqf34/lb5bHPWPXahe9RWbNtMm1TcfboQpXpA2+1nSibPfr5o5JWL7x9+74GecMHEmnXlswCiEEpFJGrduppvdjW2HA3aHVdKRg07iS5dGtsTDrvERWBzHaxfPn1RAepDBGBRiWtP/e3jfv7ZiX11bcHwarw4K7y1ZcU3n//UCjud/s0nU7EAwSYooKdA9D54K2h3XOXdBw96vl859u++iMiAVOLas0K45fEbPft/0hYMP4KQ/SqGoOlf/+iTrsYWXTs4AlFdYdvY2nnBh+SHG0DUYK7QwYQo3lzrQVR0LR4JIjTBUe798Q++/X//+Dc3gsK2tp42vM7wtSXDz3/c1djCa9OKkP0asU8gyiYIvxuVl/cZ0XjEhDv2dnX497NAIfV9+LV+4bt/vmP6hOdHXTsx8bW2Hr8IfyJ4FdVuWHVmfM+xMw9fRujrypxd+npPT/hHeD1jSCob+0HPwaaOw3gMNpdn0/xbbm79omf/CvzMiCDh/JL1rjt/96tfXWTnXAFD+zXBvXBVydf/609f+crnXztz7cuFXS0tv8P+EojSG1NVhW1jR+eFJxUQM4Yo/IfUOzub93RjgBScrz/suOXx/xMK/Bjf35GopjNGXTmt16ZsRZXrwI4mDMeWR6Q0IUodwRDOYWBqaZTChvhffX39BFwDxabzZkWODxw7c3khDnNOmlnyAhuaxGHEM+f+vQqnp3CbwhmFbR1+v+oBjcOCPW+f/jFOHWIbE//f1RtnP/+8mA51emtqZl+NRL5Gh9pxqPPq1S+NZkOiRn2SdCXxO3/SxD8E2rbhhcz9J4ZUj531EP/Q27/cwEvnGfVr9ONENMbtePNx642To6UolB1hYMKgI8MXQuNIetUqO6y/eA6uoeHo7yeMOPnlM8fv1Jt3/Nc9Tgdfzsv7e97aUGz99exnx/+96nT/yG9Nu3v6JpxGMbqWpyOtPRo58f3bx01sp9OgdAoUXz9y4ozfj5v4jSN02oY3PtHW9In/hNux64Be6/FoY7ROzNoyWsdGOurNAatxIj6b1Y7tK2b9ypEp4Zz7sbmzC//zL6N2+zu7w8ieR6JGMnwhNN5RtfGHOGJlZKejqenjasG+5XT+7It3FF7qed1/cA9t0+h+he+TV2BQIYoz13oQFQ0qdIWRcIPAhgJW9uH42mlf7hnY7e/UbYMjXRJE2eeX1dW69CJfeorKkR+b8w/VlZMqW/3+62z7aPRoSyTaZuK1Y7PFaJXN+UdyDTuG7uc2q6JCNMRMdW9YhKNZPBiR/LEviI6JG1nyCPanzuTP/nja+MvBvdu7/zWM7MOMIlFKhElpu25dzeiuxpbDIYQKp7obFi7Ifzcs6W4fRoCJbXOyo3EfjhQmv0rVFjQhio5C6dX6aKeLcEdq+DJKPYmwUO1Y4GsNiSF68s9msx27cOHCDOIHDxRwW15EyKhPvv9SFIcXfeH5R/ykdTLqN96JVPlJIlFn994lahX9f/xgp9vx5s16O/apDkf4ZChEp1sU/fTWB4E8pY19qt0evhIOo4k4kjbXu6jyptf8T+J6O1Yvvfo7fgpaWYtac0OvV9qn2PEJ58qF/oNdwY8eVvxS7Otfq15bRuvEyA/yx43eOp424spZOWLJCGk0B7xUlmbqLFoTqKTg7MVmtcMwhCHG6L5QpfdsroNiJOri/5rjaw3tRTbXIfz/OKJEtyMpPfqHn2eHroVRxqiAmZFv8H3yCgwmRBFvFTiSH9LcdB4dibI7PL8pK7U9+bU/tz+8LRDegmyuP1RXFlbecvO1r5JIlFYbDDvJQhRev3J6z+FuwZEoki4j41L566xfG+7evrXONfaR5wNhGaqwL7QtHiQpdoRhBB7pP0hIf2YgirTlgZFWlEiOgongJ6UOabAb46z7+YMjTry/uT30ekSnDUn7Jb9KTUKUAgvaQCFCD1VYjh98JZ7KlTPQMfRaW89vcZ0OrzanxLOqqqdtW4fyABE+xw+DsegjJKaeEBqHBM8r9dP+22YlPYVQvBBF+6bV54QPAwILIjjC8NcRRWfZYlIa3vT8M9MvHdUzM6k8qPWW29f4u8QbWEzvEX8JTGIfUbBtGW3fKju8eb9jxKmLx/wHd5P5w32L7fadeBJNmilG98QI0L7m7ThyR/xjAWCsUP5Pk74xcCp/2nf2X+18+8d617La8eboy5+dm3jsrctLi+53PkKnn8kcfulLV28+5u/41xi/oxsm8LoWauY8Puny+ze3BXqeluHe5fHdNfL0xcMtwX/UWuvkntDUJtqH5vqkag517y/yxwe1Fsg6FtO+Cc7BqB/84F/otUrDB+NzdxgJ1zEMFf3dF9eV+qP4tDO6F2iAi8LRluh98BQNUdhOtYB2twbRsug6q6V/pDl28IYQ+a9UgCijmUjN9+kMUXjE+IH+YksQ1wgrtXd2x5/u+2F5DSly1mqzZEHp/b97ruk0tsOriRorlL9YOve21VqF7WKGRkzXXRp7qSc8F/ugd40chaLSdHRajkSANqzyTOh8re3VYBjdbnfWP4Zhi47Y0MCj/JErzb9Uk9S8Bbfn1USNFcpenD2jaA0bJYsHouRaLAqQokETqQbL4W6pH/nOn5/r/vB/0hDFtuGBphWrWDudJ0eEzEMUHR1gH+QsMOEfZjYVOP8bJy6y6amoEKrdb2YjUWb6/CHai6TIlwSAGO60hFXsKekznn9m+o1nFyMveiSmk+KEKKvssPBMz7vsExOFpDWVAZ1T22W0w5G9lgVdnvZ8iJTAnQCC8keDFFHi1fppRfnYCCi7rslcs9oo6VjFF/baHxb2/ZG3cYO9v+g/eozWsTh/DHTR9XV6c6DAhQRMOHpEgxVOnf1w0uU/EIgiqTRVZIjaxUpAx2je5TVHUnnRKBR+4MQLUUZRKNwXQJQVj5f4baQ7ROG1c3bfPl+rWHcaLQq3O/70Dz90/YRsPjDTBqeNj/Sh6XhHYF7ehZFS9F2sdz2EI1q81JwSMaOKq+2Onn/4oWsFu/FBK1JFR6d4s8MrLlcXytuvCELBnry+PntPOFxOaq1wis8j2Jve6kN3xI5JKT4nfeYYRCGkmzrROOJA+0eef2PhPmSg0YisxB2J4qQG6d7JuGRfxS/tV4SyyseDB7a9yHqq9QCPeYia7NfMT4w6SqNOjxpBFP1gssqOfBNozDsLIxhS8M3f+Xpvo1wYT4xwIIpda0bXshBlBFla37PwlQqIigE1EgXVWAjiPWESomiYl8yp17GRjjREGaVKxdQZu6soOoZUQZQKfJBUC0XSf0YQRafz9OxwYFtVZ2XmfoU2ySmQzhBFwKQT7xS1uf7gWfiNTVf3tj0RCONyA6mwHBc44zSbXhteDdRPq39w37Otf8IF6nLxuZ6SOCpFokeIUxDOiziRSKsU0Tr6aO+nA1NwH6MmT+5C73XND4bRD4o5NU+KLeE/SDqPTaeRaBTtM2dMcp2UlRCF03mVeW8M/LYr3KQVicJtBj2dl0hNlF4kin6AlNd8p2FkJKI6iwMXiBeQGh8misFCitlIlJk+yUMYpz7eef1t+UHPrSeS4UgNM9oQJZzTGqvZc2cUwIuNCPKAxShaQnbt0fVe8diJF6KUaAsagdN0s4tGvha5cvj2tsAFH2+XIb2G6DWoda0mRGlEwnhjVUVmotcNLkRprxMtuNFK2fLWce3EDw6RYzDinQONPyT24h9uzfsYpw+jESOrIlFyao5z5EB0TkWfeNExGqL07ABEJQdAVlydzhClBRMEmuzOlY89lH/sfV9r6PcIqYGDboOP3GDrf+gok9FRA0RnOkJEX6OKQukUnRM7hoXl8vEC6iJwkr6TAEVK6dFrgD5ygB1TPBCljNPxH0vWV4i7BzVropDjP+7xzpyzx++/EAt60lEIVqxT2obJ3XnqB7hY13L83H3DHI79WkccaKfz1Kkwzg+XareZSNzb2gK4XoVXX0U+47XTSr/piShHd3TriZQxWNUvzyc9gMLteePjfWaVHdUNQtfCUVrJfekVv+ukkmiI4kWNjCJNWnOOd579dcKEkyOunCjkpYzZqB4PXowAlXs2l442Wr5o6az3Rwq7fuh17Ct6/3cxGxBMzgFr10yai03v4Z1xyaTzjMCH5xPvMyM7AFFWP17it5fOELXKZV9NF5GTlJt8XIFz5WOL8n4f8XeFcX2eWGjOa8ODKKNIFL5/+voKvkbvMJb9iR5fQHbNacGV1mywO/jYVCKdAiQwhM9dI0cKaO3YSzQShQHrjT/0/eTvpzlfOLS98aRv7bzbpDOiFIhjP1N2RSq783CbXU/t7/oI2b80JEccqB/S0YM27fYztkjkMt4pRyIa9M4f3UgU/dCNnjk1EV29fubyqbKenoIfsHUo2L69BP0J9YR/QA6SpKNDqhSc3X4GhcNSThknMuhdQqQ4WKtPnFI50r+VnIF1uKWrmS4S1gQHHf9UqTONfo0Ky9W7tuxXbLaIWJBI/hXMWf5rOtUj1nSVjPq3Sz0994p6RSFGeVDjOUzcTkzER7WhAItuP2NHYURy+/KuL6q2rsQ1+1cT0Rn0VqBnPe2jVrRFVeejca2RX/aSkn9Gl3qKw2Hhy7w1hjVDSDxL5T6sbexuNeUk/oQgSlyQGtrEeU8YRno11vFDI98+Ldf9xTkH7A+vKh3GWdtsYXmykSj1TkCd9SsfexB7H+Ade2P+8y8TpGMQpAM0Y+6n2Q/+I4Y9fHbQ4b+gclWdSvR3b+LCpV44dDN+MIrnisGEKDzXR3rznAiF8+WaJJ25pqNFdrvQNWpU3ofR344fkXSe8jBH+YZt7PZrQkHB4UhfcGoojH4g6qRx2Kbct/qaEjGtLh54qRxxoHf0AQGiPkEI4fOpIpd6puI0Hl3bpH18AT5I034V10ShvuBt0nXS2VJF10MF4hEDUf+U71EeOccKR4HwOVFHNTT/7t0PrMLHK3gEtIsUjONicJ+v7+/kM6Ci/fcFg5XivRw97LNwRN+AURu8qy+etWi2reGJ5TjSsv+1tlZ5kiVMkeuGtIpoeekGMby2742n1VvDlcMj8QMRL5Y3X+/cQfrD6Yfv5nWNCPSge2iIwosh8GrL72W/bK6Dq+68/OK2tp52thZIr081ZEQhTPA8fffdE5/kpdxi9LA7/lQzJ++FlpbgP8XTr1E6Tw1RsdNJHqgxOiCEsGYL7r5jNdGTd6I5sWjWDvdhGgVUoaxsY9+BAz+VYVfwPB0Otq0h13gE+1bpAFCydoqeRQcO1AZtrvPsoaFsPY7RtTwdeZrYqTnlr0P1xgLeuk4Eooy0MbonzKbzeOuFHrORjmZrovAM6vnMHn5pLURx7oPoGVDiw+HVltfxDiPSCt8HpXNvW4OLz9Uwpm1HiVZptzH74wrt4ldgUCFK2r25lFffF123+BVmqhQVjq7saf0T3nlOnYxvv1JStcjb0+7Hm5IiRm3E84tebXktGEbTaIXIkQi83Xl4fZ989fBvOsPSwZnUGlft6FOBXvRYAzrNJtlpeVl18rnd0eNcMP8n7PlQtG/ib98bb2wJ9Hz0Y6qgvmfJgtIavOMwev/hMeH7T/bP7nD/5s6ZRT4CMJqnmiOESJSLQBSdJiT2Q2F0OzkRnd35p91m5ppUARTWyBCiaCHx2RAIFXzBvrst/ltFOqwTX6f10mJ8mF9fQcEX+CGpdyI43c7ID70+RTsIfc3sS5St6tfIZ7PfS+FeNBoVFHxqBGh6Ns3a4UGGqK9G/8SuWX3ZGziRF1yb6dPKNU18jlcbcp3RPWFmLeitYzN6mOkj9jdB+z6O116y7c2u32T7getTo8BgQlQyIyD3md7vrZk2ifz+WPI7keDzwsz9lciYyFyQSFkIOYYtjtY/8Z4FuronOLZE10NcEJVoJ8lel4rXqiTrU65frxWBzHVd8PhBG1gFoEBiCmQKRCU2OrjKSAFyJtRU94ZKrZPRjWwM9vcAUYOteJb0B6CgPZGgTZYschjGoCsAEDXokqdVh9UVJT97///N+CJ44NmdqXhFSyoGmxEQhQfOO2Y+FYKATfMK8HaMmL86u1uCNtk9vzC61CgAEJUaXcFq6hTIGIhKnQRgGRQABUABUCAdFACISodZAB/iUUAFUfFcCG1BAVAAFAAFQAFQABTIdQX6+/tvyuvt7Y1MmTJF3pqY66Lk0vhh7nNptlM31t7e3oHJkyd/KS9PfXJx6noEy9mmAESism1Gs388kM7L/jk2HCFAlKFE0MCEAgBRJkSCJroKAETBAsk0BQCiMm3GUuAvQFQKRM1BkwBROTjpFg8ZIMpiQcFcyhUAiEq5xOnfAUBU+s9RJngIEJUJs5TePgJEpff8gHexCgBEwarAx9ZDPRysg6QVAIhKWsKcNwAQlfNLIOMEAIjKuCmz3mGAKOs1zUWLAFG5OOvWjhkgylo9wVrqFQCISr3Gad8DQFTaT1FGOAgQlRHTlNZOZhtEbaoR5j/Zgp5dst4153e/+tVFnvjkfXGRqo2rQ+2/iHnpsdaEGV1npu9EFwPpe8C9YQ3v9Sy+tfOm7nqqt72oblmN1ouNo/49s2S96y4tbVj/ov0eHnA3PHqyo3Ef71RzM20SHTfvOl2I8pbb1/i7wltiLhQ8r6Bg2zIjR8TBtPRvmvbgHauTeSmuUT/wfXIKAEQlpx9cLSkAEAUrIVkFsgWiqgS0uyOIlkYQoo4NEs4tWe+6kwADAZEgQhNo3YrdGxbqvTdOgo/gXoTQMPk6m/NQdeWkyla//7pHQC+1B9Eyvb6j76jbom6DUOJ9z6hs9fuuc31D9ivOutpyAlN8/xznlnBeOEzGp7yYGE2IUGIVuxsWEpgi8BRCqFCrTbLrM0GIKqivWVc+q6Wx8ZN4HfBVOxb4Wvt3V3hryzr9m0/Gez20HxwFAKIGR+ds7wUgKttnOPXjyxaIqq6oePBvvve93+1qarqBVSNwYXeu/Hm4+7dbEUIRCbSEWYujUSr8qqgTO5v3dIaF8TRs0ao/4a0o3u3v7ELOlU3EDjsr1YKw8a9z577Y0dT0Mf6OAJPNWf9YuHv7Vhy9ET87NbnCs6jwXgxeZmYWR5d2PrW/Gznrm4gd+joCOicd7ncGQkW1CPkGeJ9paWNz1j1+obt5Cy+6JIGXY/bi9RViRA9r9c7O5j3dYcf4Su/MOXv8/gukTaV35l34/3ltzIwz3jYmIlHGEEVeuNo3x/dMqNWHw5HiPyOIItedmuztDHf58cLS/LeqTFh+tmhekIUxo2hXPH3EK162tAeIypaZHNpxAEQNrf7Z0Hu2QBQ7Fyz8rFtXM7qrseVIn3PlDhqGCGwVuzdU8qJRIihcKrd7KifeEy/8hB3uAIrCTSIQpfR9xz046sSOkUDWSPeG5bTvEsQV1BNY1LrOCM76nPU7aHjbWCPM39wS3DvV3VBZNvZ8z8Gmjj/2OetfCHcXPI0BDvdDt9FK/yV73yQNUR4BvdwWREtlR2yug/XLpy/6bJ9vu+pzhJC93PsohqUonR4NIjRONQAmTSjajji+JYRC46S2wjkcFRvoavxH9eeSFWIf/7fZPpIVMBuuB4jKhlkc+jEARA39HGS6B9kKUSwcPeGtmIojSvlVGx+i66AIbLGfi0GJaKSqq6Dqk4HgpAcIKBjNOS+CFC9EkajOAZ2+tQBQ+rzvJWddbQWvPsoIHLXgTPm8YfmC/HfDWM+R7oblNCxJtVn7u0a4Gx4eQohia6IkkMHpPQIqkWrfT+kIFJlUrUiUBF7CLDpNKLUN7XNU++4mtgig0XCEbfM+Z22a7cNoAebC9wBRuTDLqR8jQFTqNc72HrINopQUHSq1O1c+RqJOUbDY7ayrdXU/tzlI5pWkv9gIFRUYONLncu0tCAQWBhEaHw0fkJoj2Q69TqRIEGook/oK4VQiryZKrx5K9ku775Bv7bzbeOk+LYhS0m2odIyz7udaqTyt60kNFI4+PTDi+OnN7f07yxhQo9vQESor7yMTkShjiAoKnqO8QnMeRBHw6iv3NtMpPDlyRNkSQeiSawyObNGF6bzP6b6Kbz7/aVdjy1EzfVgpZqbaAojK1JlLL78BotJrPjLRm2yBKBqeECkut7kOVVcWisXfyUAULkQnwEPSgkEkDOPVUZFoDZ3KY9cF8TUQRqV03RTdji6C1+ubXzQu5onk4nKfr/6rUj0TKpUL28XCeKk4nfUvCyBKvyaKRJDEgTPpOB5ERcOVB/KrfbWq+ilf/deOv9j8emCU5yIBskQhqgT1oN3+TlN9ZOIPjdU+A0RZrWhu2gOIys15t3LULERFUz37aBB50PP9RaRg28q+U2mLpOkkmGlftqmmZN6TLX2JRaKYOipim61FksHHVv5htYkaKgmAhNm82iUlQqauS+Kl2pSddPbhZXW15TOuv/lNX2v/Lq10nhHoZT1EkYWnwJSS7gOISuVtaZ1tgCjrtMxlSwBRuTz71ow9WyJRPDXo3XhF10MF8dZEaaX6eBClRJeE8YupYxX0ZkmvADweiGL7UOqvpt/LizTh9uzuO9pGFtREGe/OIwNmo0zxpPPItajc+2uS5ks0EqWVzuP1Yc2tn9lWAKIye/7SxXuAqHSZicz1I1cgqjDy4QBvd94ql331tgBqYGul8IzKYBQpH0bvzmMLs3G6DB+VEAibBygFZPiRKLl+Sexb2Z1nVBSuBV/sCtWDKC0bK132R7ZLtV4VJcPPf9zV2HKY3Z1H2pSuqJp3YEcTrhmjj5Cy5EYxUROlDVEYknZenjmJQA8LTVqpO1IYTorIyTEEgQvCrXSxeaIQhY9BMNuHJSpmuBGAqAyfwDRxHyAqTSYig93IBojCz72X/afwad3VpGhcgqPwFrq4XIpM2edHC76DbMqPd14SsVPs3rAIHyMg10RRKTu9tJwIY/i8p47I43cumvBjckwC7ywpbkQpEH5qavT4BXXfscce0Oc0LY4epMk7yTza91NjqHOiWDjzCGhXe9C+gBTHkyJ2utZLGrd9QemKqgoMTLgN3pn3kcPdRY52SMWtYQKiOCeWR48xGHHlRCGuPQojNII4R++kU+AIzcXf09/FHI0QPb6APtQzGYiKkrX6+AVOH6kQNdNsAkRl2oylp78AUek5L5nkVTZAFNabe2K5w/0qrocicMQtPmfa8OYupnibOq1c6xR0yY5U3B2N2hxhT0q3O+vX8g7RpH3g9y0VhNO77ZST0GNPIucWn4vjlg7oxP1FdxQ+TnbbcYvRmWu4/TNtUnEvwLvzUqFqhtkEiMqwCUtTdwGi0nRiMsitbIGoDJI8LV3FoNWBqobFcx7WUA0EIGqolE+jfgGi0mgyMtgVgKgMnrw0cR0gKk0mYgjdkArJLz0/fb3rXrMvJh5Cd/E7Q/+rv7//b/PgQTqU0zC0fcPcD63+2dI7QFS2zOTQjQMgaui0T5eeV7puf+i98aUnD21vxO/btbwQ3OpxAkRZrWgG2gOIysBJS0OXAaLScFIyzCWAqAybMHAXIlGwBhBeBJEpU6bkgRagQDIKAEQlox5cixUAiIJ1kGkKqCJRmeY8+AsKgAKgACgACoACoMBQKtDf338T1EQN5QxA36BAFigAkagsmMQhHjb9uYwAACAASURBVAJEooZ4AqD7uBWAmqi4JYMLQAFQgKcAQBSsi2QVAIhKVkG4frAVAIgabMWhP1AgSxUAiMrSiR3EYQFEDaLY0JUlCgBEWSIjGAEFQAGAKFgDySoAEJWsgnD9YCsAEDXYikN/oECWKgAQlaUTO4jDAogaRLGhK0sUAIiyREYwAgqAAgBRsAaSVQAgKlkF4frBViAuiPKW29e8PfKh06FW3xuD7Wgm9+erdizwtfbvrvDWlnX6N+NTWDP6H14H/q6C+pp15bPoF0YPxqC0Xko9GH1DH/oKAETBCklWgUyCqCe8FcW7/Z1dyLmyKdz9262Debo27vtl/6m2orplNd3PbQ4mq3sqricvQx5wb1hzsuOX+6zQJ2rz8IC74dGTHY37yMucaf/NtLFyvIYQFV0oB8IIjVB1bHMdrF8+fVGzz/eFlQ5lo61sgygRZIL2+YMNhfgt3cdfbH49cEG4dSgALhvXppVjAoiyUs3ctJUJEEXgKYxQPj1LdufKtTRMEYgIIjQB2VyHqisLK1v9/uvkmlUu++ptgfAWhJDqoONi94aFWtCxqUaY/2RLcC9CaJjSt/2Ks662HMOUlm+kLba9ID8YxvDH+k+3YfuX3me3v9vMNVwfbc5D1ZUzKsehE+Pj7Rv7RbQMITSBfg9MsbthIYEpAk8hhAq12qTirtKFKBmgbK53aWDCD7N3dp14Or+m/MnBjkSkQoRU28w2iEq1XmA/MxUAiMrMeUsnr9MdovCz78TO5j2dEdew6srCewgUVQlod0dQmLV4vWsOfmmuDBIOd2tV3r9EOi45x3io9lhzEaJOTa6oXlR4Lw1XWvMhQ5nD/Q4KFdUi5Bvgfca73iOgl9qDwmziX6Jt2OtYuwS2kLO+Kdy9fSsvUqTdt2P24vUVon78fpTvRQbZ2bynO+wYX+mdOWeP339B8sUxu9I78y78/7w2qVjruhAVb8SBRApOTfZ2hrv8OLyp+U8EtGPDa8LBtjWkkbggWvo3TXvwjtVaES7cJtD43ivfXedaygM46fvDvx/lrV2hlzrT64uMo2+O7xle6lKEosMFP9OLxIlt3i9agoJty7QgyoxeRr6wApsdf6L6682pGV3kvyp05tnsGFhfVpUJy88WzQvS825G41TcWLloEyAqF2fd2jFnDEQVVH2Cgm21BBKkqFJB/ZIoRD3hdhefHzfuU/yMEgHrksuWLESRKNNI94bldKSI7Zv3TOhqbDnS56zfoQU2BMb02pixK4LMpXK7p/KOe1r9PjnqprdKjPrW+n5jjTB/c0tw71R3Q2XZ2PM9B5s6/tjnrH8h3F3wNAZM3CfdRiv9l+wK1oSoqONHg4LnKAYBEyIcDSI0TtVO8LxCXytCWcTxLSEUGke3LfGsqhp5ZNvywAU0l1xvL/c+SkBM6zpE2Zf9Vflgv0KnnLTsxPQVREvlcUTTlgWoD0mpJMVHsQ2T1uSlP20227ELF/ImEV/4viJEjwebliA21hceYCYzfiP92bmna6ImfOWzG2Z0MaO96TFcco0hABtrVziHU31j0Ueoq7HFcE0mewPB9YoCAFGwGpJVIN0hCo9PijrZ55fV1bpwCk15yK/cwauNsgqiSHSr2L2hkoYo6fO+l5x1tRW8+qg6l3318wHUEPU3xKtNMtOGnVv2Gp+v/qs4OnSgoOqTgeCkBwjIGK0Jo75JdIuFR+XzhuUL8t8VU5Qj3Q3LaVjCbXY9tb9rhLvh4UGHKAIDqNz7a6OokvSwF2bRdSpS9CW0z1Htu5tEcwgUEGhRalzQXBogWHvsdXhSpAd5eAuxzys4Zj/j2aH7Ig/eSLXvp2aK53kRJrZPBQzsXycQZUYvcp1ZXxIZv1n99SCKFw3U1CWIlsYCq7JuTI+BhSjGrgKgxmvS6AaH780rABBlXitoyVcgEyBKTumFUalcz+Rwv4pC7ct46StdiGJqovTqobQK2fUgyky6z0wbrShUkJNa7HO59hYEAgtDCI2XapPkmq0YgCN9n3S43xmIpijZvpjxyTZIDRSOPj0w4vjpze39O8skkOS2oSNUVt5/mpEosxBFHvZ95d5mGrZ4kSzeQ5K300t6COc9S6CMdx3d7/3CtTYcdWCBw4wd+oFffPP5T8XohYnoG54EolF+ta8WQ5eWFrw+jPRKJBKYyPjN6B8vRLG6yFBDwQ/+jKdLvGMwWhtGa9LKmynXbQFE5foKSH78mQBReJQxxdMJQBStFg1mdufKx7R2+0l1P2hZhClGp0BFtVNPC0Dovs20MQM2dPH31Ghx/Lp1NaNxKjGEHMMWr6+4k613MtN31kMU74EpPiDJTqpRnoskpWclRNH2n5hx7Znd/s7YHYRRClZFgHQe5LiWhkTQxEuZdKQS4aBSbAghEg3T1II64qAE9SDsKwEvsjh5ehn5Qq7V3EFpYvxWQVRM6pHSxQxEEV1idoEajIG3puJZk8n/7IMFogBAFKyFZBVgISoKK3h7vLSDzeY69KDn+4t2NTXdSLavRK+XapBQgzOazpN3xNlcf6aLzYl9rUgUr3+2QJ3XRtn1Zx+Od+XNuP7mN32t/bvYdB4Bs0CkfJincqJcBM+DN702rA9ywbZoV6l90qpd0kzHkeJwxo4ZYMNt0j4SJT/UkQvpFVDH88CyEqLoSA2BKBZM2Mng9a9Z9B1NRyIk1dgotT/K9np27FZDlAxYjC9sCk2rXzPjTxaizOgSD0TFO4cAUYk+Cqy/DiDKek1zzWK6R6IIMOVXbXwo1P4LfF6imLHSqlfC38UDUUZF4rz1oLXLT88nYsdMGz7UBPeytVnxQpTZvjO2JgoLx9Yd6VDxUTY9xUsHWglRNDi4bvkgiNNwrA9mIELv+AG6j/nfOHGRjSCZTedJOqIGHBEjKUMzetH+64GSVhrRzPiThahbb5wcbaSLGYjS0sVoDPGk88ymqHPtwWXVeAGirFIyd+2kO0RpPfi14CpeiDITiaJXh15R+2AdayD/sa8RWdLSjBxJoHWsAbGrBWcrXfZHtksF8xUlw89/3NXYcpjdnUfalK6omndgRxNOddJHSFlyo+kecUDvlqILgmkowCkwksohaS2tQxGTgii8Sy1mp5wSFeIdxyD6cfyz+wKBtp1mHuTTrr45ZuflmZNIHQ0NWCTdRArt6aLs2OJ55SBKAqI4Z60uLEdL9fTCfWv5wju6IdHxWwVRpnQxSKUmMgbempLnOqivsSV3EBiRFQCIgsWQrALpDlFyKs3m+lDvnChaB14kSoSu19HPy6q+9zBJTZLDN/Vqomi7crouLIxfvN6lqjdSitC1z2tK5Ewno2uknXbhp6ZGdxDKNVG28g/p1J+RHRa8PALa1R60LyA7DH1r590mHv7pcAfImVkSlNkXlK6oqsDAhNvgnXkfOdxdpE2y65N3veGJ5aodXJQFGhzoh5bSREqD0amnpCDqkmuMa3Tg80APukfqQ318Ad8HdV2TUTqPV5cTC4/iCbOSBxUVWws6OyvpYuhYvYRznlX53re2nfrNFG+tmwBQbA2RWi9enRPtC28yeXVJMbseGZBJFqLw/CqgqK2LkfbauujPoRZEmV2TqbipctUmQFSuzrx14053iMIj5Z8KrpwajttonUZOCsCjkZMj4mnm1D/21HM+NKFSpbBcOLeEAajob9+gHK6p8RxSF79HTyunz40yikJFjz14nOy2I8cndIepsYvF/NKho9gP5XBN7TbWrVTFkiFEpaLTeG3qPSjjtQXtk1dgKN+dl7z3YCFVCgBEpUrZ3LGbCRCVO7MxdCPFkNWBqobFc97UUHkLEDVUymdwvwC1GTx5KXQdICqF4uaIaYCoHJlonWFKqb5Lz09f77qX9wqYdFMIICrdZiSN/aGPXGDTuWnsNrg2SAoARA2S0FncDUBUFk+uyaGtdN3+0HvjS08e2t54MhWF4CbdMN0sIyDK9GigISgACgyZAgBRQyZ91nQMEJU1U5kzA1FBVM6MGgYKCoACoAAoAAqAAqCABQr09/fflNfb22v5+QkW+AYmQAFQABQABUABUAAUSFsFZIiaMmWKdLQ+/AMFQAFQIE4FIJ0Xp2DQPEYBSOfBosg0BaAmKtNmDPwFBdJUAYCoNJ2YDHILICqDJgtcFRUAiIKFAAqAApYoABBliYw5bQQgKqenPyMHDxCVkdMGToMC6acAQFT6zUmmeQQQlWkzBv4CRMEaAAVAAUsUAIiyRMacNgIQldPTn5GDB4jKyGkDp0GB9FMAICr95iTTPAKIyrQZA3/jgij8zrS3Rz50OtTqewOkM6+AdNJ3/+4Kb20ZedGu+avTs6XqZceC5xUUbFuWnp6qvYJX1qRulgCiUqdtrlgGiDI30+QlyMi5sinc/dutvJO98etTdj3V215Ut6ym+7nNIV6bdetqvtnV2HIkUrVxdaj9F/i5buqoI3LdgHvDmpMdv9ynZ1uvjbnRKq2i/R4ecDc8erKjcR9CeTH+mmkTb7967Q0hKjpZB8IIjVAZsrkO1i+fvqjZ5/vCSoey0Va2QRRZE/nVvtpMAmr8lu/jLza/Hrgg3FqzrnxWS2PjJ9m43oZqTABRQ6V89vSbCRC1ymVfvS0Q3oIQUh0JVOzesJAGCgIaQYQmIJvrUHVlYWWr338dzxaBoDBC+bzZY22RNlrX2Z0r1xKY2lQjzH+yJbgXITRMsW2/4qyrLScwpfKNckCrX9KEa9vmPFRdOaOy1e8Tx2amDek/hNCECHM9Tw9Ve5W/DQsJTBF4CiFUSJNVsVtpk4o7RReiZICyud6lgQk/jN7ZdeLp/JryJ+FBZDwt2QZR2TYe4xmEFmYUAIgyoxK0Mfir/q+TJ0++KS8vbyBdlRIh6tTkiupFhfcSKGJ9lUHC4W6tyvuXSMcl5xhPZeE9Wu3J9VUC2t0RFGYtXu+aw758Fz93T+xs3hOIlA/zVE6UbXkE9FJ7UJiNrymMfDiAI0tBh/sdFCqqRcg3IAMT9Rl9De5Hth0Wxi9e77qT9+Jf6cXA+7uRs74p3L19Ky8KZKZNrDZlYzyVd9xDIIw375K/jtmL11eIuogMsrN5T3fYMb7SO3POHr//AmlT6Z15F/5/XptUrCldiJJSNvb5ZtNQ5C/9U5O9neEuPw4xav4TAe3Y8JpwsG0NaSROdkv/pmkP3rFaK8KF2wQa33vlu+tcS3kAJ31/+PejvLUr9FJnen2RcfTN8T3Di7SIEHG44Gd6kTixzftFS3CaSws6zOhl5AsrsNnxJ6o/7s8Iosz6oLc+zNpYVSYsP1s0L0jPtdlr2f55tszMUSpuzEy0CRCVibOWXj5nTCTKAKKecLuLz48b9yl+RolgdMllM4IoAjt9zpU7eCk6AjpdBVWfDAQnPYABCc+eFBkrqF+y3jWn6HqoYLe/s2uke8NyOipW57Kvfj5QUE+DVp+zfgcNQwRuit0bKnkpOhFSLpXb9YDHTBufxzP1g29/+xLWxkx7RRe1vxtrhPmbW4J7p7obKsvGnu852NTxxz5n/Qvh7oKniTZ0G630X7J3gCZERR0/GhQ8R43qXeS2CI1TOcTUyohQFnF8SwiFxgWptiWeVVUjj2xbHriA5pLr7eXeRwmIaV2HKPt8H+xXaADUshPTVxAtlccRTVsWoD4kpYIUH8U2TFqTl/602WzHLlzIm0R8iUsvji88wExm/Eb603OqqoUSv1A0NvIB19T5uwrq6VSanGIb5bmI15mRDdxj7DwK57DNsegj1NXYcpReW7R/8rWXXGMIAMdnCyF6zSV782Xb9QBR2Tajgz+ebIEoWjmzECXBEGpw1tW6up/bHNSOyNgXlEXbsOC1qUaYh1N5LAhJgNT3krOutmLal3sGeKBFokgsgIl/OEcjPwcYgKN9NNOGHZMZiNLyS/m8YfmC/HfD0pgaltOwJNWF7e8a4W54eNAhisAAKvf+2iiqJD1YhVmqh6NYTB3a56j23U2iOeQBTKBFqVFBc+mHE2uPvQ5PhPRADm8h9nkFw+xnPDt0X+QhHKn2/dRMrQ8vIsP2qUCB/esEoszoRa4z60si4zerP7vwtSJRRj6MuHKicLe/8wBdS8XWVxnZwADJm0ceIGlCEwtRQbSUBmn5OhNrevAfM+nbI0BU+s5NpniWMRDF1ETp1RKZgSh1yq19GS9VRmBGTOmFUWmE1GQ53K+S1J264Bxng6TCaxqiZlx/85u+1v5dGKjognOtiA++Xv7O5dpbEAgsDCI0XlpTSq3VunU1o3EqsS/aJoTQeKk2SV2PxfxRbhjdon3n+HsYR58eGHH89Ob2/p1l/DGJbegIlZX3g2YkyixEkYd9X7m3mYYtXiSL94DkRidEAMt7lkAZ7zq63/uFa204AsECh/Sw17dDA0Hxzec/FSMZJqJveBJYANDSgteHkV6JRAITGb8Z/c1AlBb00XMw4Suf3RCjeciFSCSI7l8LYs3Mo5n+o+Hjl9tYiKL+n/rBOGo0R1beiNlgCyAqG2ZxaMeQCRDFRl8w1HSGUandufIxXhrODERFQWG3XhSK9BtTuE1BVPQPwJfag2iZDFmywxLMJANRuEieACOBpiAShi1Z77qT1GPhYvGp0SJ70iaEHMMWr6+IqbUyE4nKeojS2qnFpmm0IgVmHuI8iKLtPzHj2jM4whGzgzBKwaoIEPPAZKMq0v+H8JZNbuomNp2FEImGaWpBHXFQgnoQG40hf2GIgBFNa4mfGfhC7g3NHZQmxm9GfzMQZdYHqT/UgOdk2ogrZ+kxm7XBWw+JXqtni919yFvTQ/vISa/eAaLSaz4y0RsWoqLAgH+PpZ1wNtehBz3fX7SrqelGOo1PryDcCKJIrVNnxDWs2qD4nE35ybv1bOV/rqaKzeXIFrIPZ8EpGYhi66joVFvZ2A9wXRKO+qhqrfTShFkNUfIDg4oa8BbtUEEUHakhEGW05Z4LYxpnOCkAI9XbyFEUans8O3arIYrozfrCFtSbPXIg0UhgPBBlNAd0tK524geHdvt7O6Z4a924MDyZcSR6LUCUdY8igCjrtMxVS5kWiSLzRBd3szvbjCDKqKCb+WM5pmjczPViYfmpyRWeRYX3jkMfjI+3Jkor1TcYEJWxNVF44ti6I96NrZXC4qUDE32IGz3oXLd8EMRpODb9wvobD0Tha+kH8/xvnLhoVM+jpQUdfSEpQ9ZXo/SpHiRo9Wtm/FZFosz6QEckPVN632rrnTKbpPbM2jBK7+rV8HHr5Eym84zmKFcffGTcAFG5vgKSH3+mQlQykSi9a2lFtWCJRKN4BeH4ehaA1q27X6pdYiJG0g4+1BAtWlcdzikfFyAer6AcR0D7VDb24z/87/Zd/9at04bd9WcmEqUFcCtd9ke2S/5WlAw//3FXY0tM7RNpU7qiat6BHU24WN/UYaLxrGTdIw7onVJ04S0NBTiCQFJcJK2ldahhUhCFd6nF7JRTDk2UfFAfxyD6cfyz+wKBtp30w1t15hUViZp29c0xOy/PnEQewnSqj6ThSKE9XZQdWzyv+EFAlN4lZkYv3LeWL7yjGxIdv1UQJetrMAe4HZ2m5Bd0xz+PZvs3A1GKLbTUaE3Hc7Nle1uAqGyf4dSPL90hSgSW19HPy6q+9zBJKZLDNxOpiVIXgvNPHieqyyk6W/mHdOqOPfOJniWt85+ka+RdfiHf2nm34TOgwg53gBSps7MtQVb4qanRIxDkmijRHwmstNqEbOUf8o5G0IIoFhg9Atpl5C8ZU+mKqgoMTHhMeGfeRw53l9aYrFjRhieWq3ZwUT3S4EA/dJQmUhqMTj0lBVGXXGNcowOfB3rQPVIf6uML+D6o65qMIlEElOjaqlh4FE+qlTyoqNha0NlZSRd0x+olnPOsyve+te3Ub0jayoxevBofFjjYBcCr14rZ9chEXayEKDNzQP1ldDSIlB2L9FgSGQe5Pt5reWtC21bsmrbiJswWGwBR2TKTQzeOdIcopdYITaBVok8Mx59rnWpO7VQTjzAwG4UiffFPLJd3vwUVaKJ27yHhHC78ptOM3HZMgTpvFUigQhWtc04bN2pDQCuiOlFdeqaTU9XrXPZHng+gx8luO5+v/qvS4Zr8XYn4auVwTe02qVjZhhCVik7jtan3oIvXFrQHBUCB1CgAEJUaXXPJarpDVC7NxVCOFYNYB6oaRh8qOpT+6PUNEJWuMwN+gQIZpgBAVIZNWBq6CxCVhpMyyC5JheSXnp++3nUv7/Uzg+yOYXcAUYYSQQNQABQwowBAlBmVoI3BX/Vp/+48mMHUKrDSdftD740vPXloe+PJVBSCW+19RkCU1YMGe6AAKGC9AgBR1muaaxYhEpVrM57541VBVOYPB0YACoACoAAoAAqAAqDA4CnQ399/U15vb29kypQp0qmw8A8UAAVAgTgVgEhUnIJB8xgFIBIFiyLTFIB0XqbNGPgLCqSpAgBRaToxGeQWQFQGTRa4KioAEAULARQABSxRACDKEhlz2ghAVE5Pf0YOHiAqI6cNnAYF0k8BgKj0m5NM8wggKtNmDPwFiII1AAqAApYoABBliYw5bQQgKqenPyMHDxCVkdMGToMC6acAQFT6zUmmeQQQlWkzBv7GBVH4PWtvj3zodKjV9wZIZ14B+kXGvJcHm7cELUGB9FUAICp95yZTPMs2iJJepIueXbLeNUfr9G3yPr5I1cbVofZf4GdrxIr5kk7+3t+NnPVN4e7tWxHKi7GL2+x6qre9qG5ZTfdzm0NW9R0d9zNL1rvuMhr3gHvDmpMdv9xnpu+oVocH3A2Pnuxo3Mcbk5k2VuhLbBhCFO9FuOLFNtfB+uXTFzX7fF9Y6VA22gKIysZZhTGxCgBEwZpIVoFMgCitlwsXuzcsJDAgvVgYLY0gRB0bpH4RsNbLjGk7tJ78lw8rLch1T3grpu72d3aFEcqnr7c769cSmJIgJ7gXqV4CrLwAmAUaAmSsTWKf9O0R0C7VC4rFBo5zS9ZXyC9AJuMOITSBpjqtcWML2tc0LCQwReAphFCh2q7SJtn1ybteF6JkgLK53qWBSXxb8q4TT+fXlD/Z0tj4SSocyyabAFHZNJswFi0FAKJgbSSrQMZA1KnJFdWLCu9t9fuv88ZcLQgb/zp37osdTU0f4+8JeNmdKx8Ld/92K4YUCbSEWYujUSr8XD2xs3lPZ1gYv2S9S4YOI03xy3rbg8JsbGfyTdc+xzYCkfJhnsqJ9xD/6DaFkQ8HuhpbjgQd7ndQqKgWId+ADHTUZ0b94u9puzjiVF1R8eDffO97v9vV1HQDf09gzease/xCd/MWHDmSrnHMXry+QozOiTyxs3lPd9gxfjEFW3T/etdUemfO2eP3XyBtKr0z78L/T9slbcyMKd42uhDlEdDLbUH7/ApvbZmZNBR2+viLza+fmuztDHf58ULR/CcC2rHhNeFg2xrSSJzIlv5N0x68Y7VWhAu3CTS+98p317mW8gBO+v7w70d5a1fo+azXFxlH3xzfM7zUpQhFhwt+pheJE9u8X7QEBduWaUGUGb2MfGEFNjv+RPVn+0vEjhn9xB+eMmH52aJ5QXoesR5v7zv7SOHdM3/DWyNmNI33JoH25hQAiDKnE7TSViBbIIr7O4mjQw53AIXal61bd/9oDDJ9zpU7CFTR0FHs3lBpJsVF4IfY8fnqv4ohqqug6pOB4KQHMCBhu3Uu++rnAwX1GLSKrocKcKRqpHvDcroPuo2ZF/8qfdfv0EsX0ilFZdzqawhs8cat1c/GGmH+5pbg3qnuhsqysed7DjZ1/LHPWf9CuLvgaTJuuo1W+i/Z+1EToqKOHw0KnqMYBPQ6ktsiNE7VTvC8Ql8rQlnE8S0hFBoXpNqWeFZVjTyybXngAppLrreXex8lIKZ1HaLs832wX6EBUMtOTF9BtFQeRzRtWYD6EAZE2kexDZPW5KU/bTbbsQsX8iYRX+LSi+MLDx6SGb+R/uzcJzKPBG6M9Iu1LZyrWVc+69YbJ0fv9nceCCM0QvFH+g7DtFlNk71h4HrdB+DA5MmTv5SXF1t7AbqBAmYUyHaIQs6VTRiaSMotv2rjQ3QdFEnZsZ9raSdFuFCDs67W1f3c5iBuJ0Vk7AvKpM9C69bVRIFNApdNNSXzcCqPBRYJZPpectbVVpipj5KgCzWQfng1TSwc+dbOuw1DFQtwJF3Ifo7Ho/Wd8nnD8gX574YlMGxYTsOSVPO1v2uEu+HhQYcoAgOo3Ptro6iSFLESZpEHmjhwHIlpDe1zVPvuJtEcqR1aSqBF9WClgIi1x16H7eMid39XeAuxL7a55BpDR4fYz3h26L7Goo9QV2PL0Ui176dmiud5ESa2T+Xhbv86gSgzepHrzPqSyPjN6s+FqATmkbWjqR9lW1xL0QhnALkQPb+ryst/dFUQ3sIQZUZTMz/i0CZxBSASlbh2cKWkQMZAVCC8BVH1Tnr1PHhcLOxEgWU3DT+4HRtZ0iu21krBkbRgIIxK5Zosh/tVkrrTKjiPB6KM0n9KKg2VjnHW/Zyk8rT60ItqGVxzGEefHhhx/PTm9v6dZQwAkjopNkJl5f2mGYkyC1HkYd9X7m2mYYsXyeI96CUYKqiPBbC8Z8lnvOvofu8XrrXx4Ed6SOvboR/kxTef/xTbMRN9w5NANMqv9tVi6NLSgteHkV6JRAJZ4DIzfjP6cyGKAdZE7LD6Rf+KioFhLV2JX/GsQStvHrClVgAgClZEsgpkAkTRY1TqmFApXe9Et5ELwqOpPFwXZAVEMXAhRqHIv5jCcQqior+zL8UWgONvtIvLY+3HRq1oeJIBzuY8VF05o7LV77sOEMW5Q3gPQlX0YJTnIknpWQlRcnRilOfiEzOuPROb6iHOKik9Xv9sNIRE0MSrmXSk/JCnU2x470E02qaphQhz/btxJKoE9SDsKwEv4iU9HqKXkS/kWs0dlGID/fEnAj+JzqORfloQpaUrO34zmib7Iw/XaysAEAWr4zGgGwAADntJREFUI1kFWIiKwgDe/i7tcrO5Dj3o+f4iUricbH9WXc8WiRO7csTG5vqwurJQLvROFqLkaBNTQI77ZaJeIZJCC9vK/1xNFZvLviH7cGddbfmM629+09fav8sonSeDktj3HfdgONLSUd7VJwJkUe2mmn0VvJRhVkaitFIorFhDBVF0pIZAFPsQZX01A1Ey1ETTkQhJdTcTvvLZDakmSriVRMjYsVsNUVq+sAX1RpBB7CQDP7SWidgxox9AlFU/6UNjByBqaHTPpl4zLRJFtJfApaCePg9Kb7edVu2T2ZoorUJscj1bW6RXuE3GINY4nZpc4Vk0/V49MDJji3leyLvxtIras7ImCovA1h3xblatVAovHZjIw1eud2HSRzQ4uG75IIjTcGyKLBmIwtfSfcz/xomLbATJbDpP0hE14EgUSRmyvhqlT/VAySjdlQ4QRQrDadBNdTrPSNNsevikw1gAotJhFjLbh0yFqHiPK9CqfeIVivNmlD1agLTRAhw9SMHXmtlpRz1H5CMVzOzio48nIMcr9DnVu/P0itS1fFvpsj+yXSpsrygZfv7jrsYWsT6K3p1H2pSuqJp3YEcTTnlacpApPSe6RxzQO57oHWw0FODt56Rgm6S1lIJlJWqjFWUwk04i9slOOGWnnGKfdxyD6Mfxz+4LBNp2avVPp/OmXX1zzM7LMyeR2i76O5KGI4X2dFF2bPG8ciwEAdGYtFoQLdXTC/et5Qvv6IZEx29GfzMwamSHQJQp/RhglueOOm5DAqRLO+ascy1UCsv1Nc3sx0v6ew8Qlf5zlO4epjtEib87r6Ofl1V972GSUjRzBhRPdwm87POju9uCvNop3nWkHdnpR4OBkj4s/5BO3WlBF7avFKIL4xcbnE+ldwo67/RzCY7CT42JOSdK2T0opxujKT98PAELg9IhnvrXkF2JpSuqKjAwYbt4Z95HDncXKapPxfo3PLFca2s6DQ7KQ446GiCaBqNTT8lGolyjA58HetA9khDq4wv4PqjrmozSeQSU6G30sfAo7sqQPKio2FrQ2VlJF3TH6iWc86zK97617dRvpnhr3QSAZDCUZ1XZro8/4tU50b5o/HUi7n5UfcfuerSgIDzReVSAUls/nm1yo7NHTLB6GGmaihsIbCoKAETBakhWgXSHKKWOCE2gx2p3rlxLznvSakOeW7j+CB9HQBelyzVfYgF4+zLe60xIf3pARD07mBPLlYJxcpaUavceUp+mrjWPRn1L36NlqpPamaJ2bvE50yYamXqc7LbDPksHcvJ3HJJnhFGbZNcn73pDiEpFp/Ha1HqwxmsH2me+AuyOw8wfUfaMACAqe+ZyqEaS7hA1VLrkWr8YxjpQ1TD6wNB01QAgKl1nBvziKhDv+Vkg4+ApABA1eFpna08AUdk6s+bHJaUMLz0/fb3rXjM1V+Ytp6YlQFRqdAWrFiugTpPGpnIt7g7MJaAAQFQCosElKgUAomBBrHTd/tB740tPHtreeDIVheBWK5wREGX1oMEeKAAKWK8AQJT1muaaRYCoXJvxzB8vQFTmzyGMABRICwUAotJiGjLaCYCojJ6+nHReBVE5qQAMGhQABUABUAAUAAVAgQQV6O/vvymvt7c3MmXKFOloffiXUwrA3OfUdKdssBCJSpm0OWMYIlE5M9VZM1BI52XNVCY+EICoxLWDKxUFAKJgNSSrAEBUsgrC9YOtAEDUYCuehv0BRKXhpGSgSwBRGThpaeYyQFSaTQi4Y6gAQJShRNnfACAq++d4MEYIEDUYKmd3HwBR2T2/2Tg6gKhsnNU4xwQQFadg0JyrAEAULIxkFQCISlZBuH6wFQCIGmzF07A/gKg0nJQMdAkgKgMnLc1cBohKswkBdwwVAIgylCj7GwBEZf8cD8YIAaIGQ+Xs7gMgyrr5xa9P2fVUb3tR3bKa7uc2h6w6/Vt6Lcv+buSsbwp3b9/Ke1kyeQnzgHvDmpMdv9zH69tMG1aN6DWHB9wNj57saNyn07duG+tURgggyko1M9QWQFSGTlyauQ0QlWYTkoHuAEQlP2mbaoT5T7YE9yKEhinW7FecdbXlBKbqXPbVzwfCWyIIqY41KnZvWKgFPQSewgjl017anHWPXehu3oKBhoBRCKEJEaoRbddMGw14OhJrt2EhgSkCWCGECtV9K22SVzfWAkBUKlTNMJsAURk2YWnqLkBUmk5MBrkFEJXcZBFACTrc76BQUS1CvgHeZyJEnZpc4VlUeG+r33/dqFf87tJ3djbv6Y6UD/NU3nFPq98nXuMR0EvtQWH24vWuOfhlwdL/O2YvXl8h/r98XdgxfvH6ijvNtmH90bNb6Z05Z4/ff4G0qfTOvAv/P903aWM0zkS+Nw1ReCICje+98t11rqUtjY2fsJ2RF8SemuztDHf5t+o5s6pMWH62aF6w078Zv2CQ+w/be3vf2UcK7575m2af74tk+nvCW1G8+9jwmnCwbQ2xIy6slv5N0x68YzXPPm5nNGbp+8O/H+WtXaE3Fr2+iG59c3zPhFp9b8SMs9qxwHe44Gf1y6cv0vITX2NGUy2tAaISuXXgGlYBgChYE8kqABCVnILis87f2TXSvWE5HVGSIk8F9QR2EoWoAwVVnwwEJz2A4Qx7StstjHw40NXYcqTPWb+DTvORyFixe0Nl2dgPeg42dRzWa8NGwggEstdsrBHmb24J7p3qbqgsG3se2/1jn7P+hXB3wdPEP7qNVvovOcUN0nkeAb3cFnF8SwiFxgURGid3JnheQcG2ZQQ0uhpbjqq+x19QbaLEytgSztWsK5/FAll0ERwIIzRCGZzSNipoAv1J1ko8q6pGHtm2PHABzSX27eXeRwn4JT5m+5UKb20ZgSktOzF9BdFSeZw210EMSwWoDx1/sfl12kexTfR7AlOxffA1NVokAFFGCsH3ZhQAiDKjErTRUwAgKrn1QQMLDSPS530vOetqK3BKr85lfySeSFT0Gf5Se9C+oKyu1oVtrFtXM5qGJt/a+bfhWikW4EgaEH++ID8Y5kEe3YaFKK3vlM8bli/Ifzdqt2E5DUtSXdj+rhHuhoeHDqKCaCn94PeW29f4u8JbHNW+u3HkRHyQB4VZNBD5cPSkNbSPtJEhirHFLhcSlQkgF6IjL6vKy390VRDewsCVaH+ybQxPFOCx9qT/NzHmS64xtI/iddRnPDt0X2PRRwjDZ6Ta91NeBCpGG1HT/t0xoGagqZlbEiDKjErQxkgBgCgjheB7IwUAoowU0v+eRKKQc2VTuBtnhPLE8iAuRDE1UXr1UNiGkh5DpXItlcP9Kkkbsn2QYnI6kvRQ/vH3fa39uwjM8dqwxeoGdnFU64UHRhw/vbm9f2dZFBIZu2IbOkKVnMrqq3XTeSwY4EtJJKiv3Nt8v3CtDYMA/m86hSdHiwTPURKx4tliB0Lb5qUEtb43258EgAX1scCX9yz5zOyYWfiRwFHfjtRGAqHim89/KkbwKI30JpZE6PKrfbUEusxoamaxAESZUQnaGCkAEGWkEHxvpABAlJFCxt9LtUFoGVs0jpC6uJxYwnB0YmfznkAYldqc9Y9p7bhTYIwqWgeI0t+dx3tIyxGdUZ6LT8y49sxuf+cB+sFOiFVMR43yXIwHonigQC8Zre9pn/T6SxSieGNWpxuJl0pKj6sdE00iETvxaib9iT8i0Sxag5joHhMRM77FYlsARCWiGlzDKgAQBWsiWQUAopJVULpeLiZH9uF4V96M629+kxcBontji8RZT6T6J9RA0nm+tfPE9F3Y5vxLdeWMyonX9s2mU4YQiSIPceYhTUd9cgWizIyZXXBmIEr+SyCa/kRIqmma8JXPbkg1UcKtJEIGkShrflzASuoUAIhKnba5YhkgKjUzbaaQnC0+pz3Rqkuia7DM1DuZaZN9NVEMRNEPc9ctHwR56TzSBpV7f60q2DaImiSazjPbX6KRKDNjTgai8LV0H/O/ceIiG+EDiErNjwtYtU4BgCjrtMxVSwBR1s+81u42zjNLdVwB/b1WwToNV1o77+gIVsnw8x/zdvCxUS76cE4t/1e67I9slyJjFVG7MbVPpE3piqp5B3Y0Ba06cJTWxrgmCu8ei9k1pkRISMqJpJmUAm6lDe7QbP2OZM8+nxRQS/Bwacecda6FSmE5WppIf6YhytSYFR/x+MRxH//svkCgbafWeOmaqGlX3xyz8/LMSQQy6e9KUA/CEEUglC6Kh3Se9T8yYNEaBQCirNExl60ARFk7+0q9kzB+8XqXeE6TCD4dkcfvXDThx+SMKHL4plZNlJwetJV/WG14TpSyg09O+TncAVKALqUN9duw0OYR0C6ja4jd0hVVFRiYcN94Z95HDncX6dtadSVrxhB1yTXGNTrweaAH3SNdot7KLwMDvVU/mpaijy8wC1GqXXTREdO7A5PpzzREJTRmdV2TUTqPgBJdW8XbBUkm3V5RsbWgs7OSLmg3q6nRwoGaKCOF4HszCgBEmVEJ2ugpABCV3Pqgi8SVwnLh3JIoQGHrSr0UmkD3ZnfWr9UrKuefWK4uVjfawUcCDuLBnWH+Lj/cJhqZepzstvP56r9qdI2ZvpNTl3+1KYgyOugxFY4NlU2rwGSo/E+kX4CoRFSDa1gFAKJgTSSrAEBUsgpmx/U4qtSBqobRB3um68gAopiZAYhK16UKfqW7AgBR6T5D6e8fQFT6z1GqPZQiXpeen77edS9OP6a6v2TtA0QBROGcbmTKlCmqF1Emu7Dg+txTACAq9+bc6hEDRFmtaObZW+m6/aH3xpeePLS9Eb8Wjn6XcFoOxvS789LSe3DKEgUAoiyRMeeNAETl/BJIWgCAqKQlBAODrABA1CALno7dAUSl46xknk8AUZk3Z+nmMUBUus0I+GOkgAqijBrD96AAKAAKgAKgACgACoACigL9/f03QT0MrAhQABQABUABUAAUAAUSUOD/A8jrg++RMnAjAAAAAElFTkSuQmCC"/>
        <xdr:cNvSpPr>
          <a:spLocks noChangeAspect="1" noChangeArrowheads="1"/>
        </xdr:cNvSpPr>
      </xdr:nvSpPr>
      <xdr:spPr bwMode="auto">
        <a:xfrm>
          <a:off x="11999799" y="10077790"/>
          <a:ext cx="5615441" cy="1385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viane.almada/AppData/Local/Temp/Content.Outlook/B04V5ITW/DGCI_Receitas%20Fiscais_%20at&#233;%20Jul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viane.almada/Documents/CONTAS/TOFFE/TOFFEE%202021/TOFFE%20JULHO/DNRE/DGA/Receitas%20aduaneiras%20cobradas%20durante%20o%20m&#234;s%20de%20julho%20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viane.almada/Documents/CONTAS/TOFFE/TOFFEE%202021/TOFFE%20JULHO/DGT/DADOS%20JULHO%202021_D&#237;vida%20Exter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viane.almada/Documents/CONTAS/TOFFE/TOFFEE%202021/TOFFE%20JULHO/DGT/Opera&#231;&#245;es%20Tesouro%20julh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I_RF cobradas_até Jul"/>
      <sheetName val="DGCI_OEC e MOP_Jun e Jul"/>
    </sheetNames>
    <sheetDataSet>
      <sheetData sheetId="0">
        <row r="21">
          <cell r="E21">
            <v>3125769894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Folha2"/>
      <sheetName val="Folha3"/>
    </sheetNames>
    <sheetDataSet>
      <sheetData sheetId="0">
        <row r="19">
          <cell r="S19">
            <v>811971</v>
          </cell>
        </row>
        <row r="20">
          <cell r="S20">
            <v>1599199</v>
          </cell>
        </row>
        <row r="21">
          <cell r="S21">
            <v>0</v>
          </cell>
        </row>
        <row r="24">
          <cell r="S24">
            <v>547850</v>
          </cell>
        </row>
        <row r="25">
          <cell r="S25">
            <v>791626</v>
          </cell>
        </row>
        <row r="30">
          <cell r="S30">
            <v>27018000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AMENTO JULHO 2021"/>
      <sheetName val="DESEMBOLSO JULHO 2021"/>
      <sheetName val="STOCK CVE JULHO 2021"/>
    </sheetNames>
    <sheetDataSet>
      <sheetData sheetId="0">
        <row r="167">
          <cell r="K167">
            <v>543939010.25923967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</sheetNames>
    <sheetDataSet>
      <sheetData sheetId="0">
        <row r="5">
          <cell r="B5">
            <v>2869965687</v>
          </cell>
          <cell r="C5">
            <v>2626437218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"/>
  <sheetViews>
    <sheetView topLeftCell="E1" workbookViewId="0">
      <selection activeCell="Q17" sqref="Q17"/>
    </sheetView>
  </sheetViews>
  <sheetFormatPr defaultRowHeight="14.5"/>
  <cols>
    <col min="8" max="11" width="9.1796875" style="884"/>
  </cols>
  <sheetData>
    <row r="1" spans="1:11">
      <c r="A1" s="1006" t="s">
        <v>0</v>
      </c>
      <c r="B1" s="1006"/>
      <c r="C1" s="1006"/>
      <c r="D1" s="1006"/>
      <c r="E1" s="1006"/>
      <c r="F1" s="1006"/>
      <c r="G1" s="1006"/>
      <c r="H1" s="966"/>
      <c r="I1" s="966"/>
      <c r="J1" s="966"/>
      <c r="K1" s="966"/>
    </row>
    <row r="2" spans="1:11">
      <c r="A2" s="1"/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24</v>
      </c>
      <c r="H2" s="3"/>
      <c r="I2" s="3"/>
      <c r="J2" s="3"/>
      <c r="K2" s="3"/>
    </row>
    <row r="3" spans="1:11">
      <c r="A3" s="4">
        <v>2020</v>
      </c>
      <c r="B3" s="5">
        <f>+'Mapa XI_ Op. Financeiras'!DG26</f>
        <v>0.26276086653434716</v>
      </c>
      <c r="C3" s="5">
        <f>+'Mapa XI_ Op. Financeiras'!DH26</f>
        <v>-2.5173938008902191E-2</v>
      </c>
      <c r="D3" s="5">
        <f>+'Mapa XI_ Op. Financeiras'!DI26</f>
        <v>-0.17933315999930671</v>
      </c>
      <c r="E3" s="5">
        <f>+'Mapa XI_ Op. Financeiras'!DJ26</f>
        <v>-0.6624026654895907</v>
      </c>
      <c r="F3" s="5">
        <f>+'Mapa XI_ Op. Financeiras'!DK26</f>
        <v>-2.0585758173495785</v>
      </c>
      <c r="G3" s="5">
        <f>+'Mapa XI_ Op. Financeiras'!DL26</f>
        <v>-3.0022029526296254</v>
      </c>
      <c r="H3" s="5">
        <f>+'Mapa XI_ Op. Financeiras'!DM26</f>
        <v>-3.7050027605965257</v>
      </c>
      <c r="I3" s="5"/>
      <c r="J3" s="5"/>
      <c r="K3" s="5"/>
    </row>
    <row r="4" spans="1:11">
      <c r="A4" s="4">
        <v>2021</v>
      </c>
      <c r="B4" s="5">
        <f>+'Mapa XI_ Op. Financeiras'!DU26</f>
        <v>-0.37864694616202355</v>
      </c>
      <c r="C4" s="5">
        <f>+'Mapa XI_ Op. Financeiras'!DV26</f>
        <v>-1.2742381235744416</v>
      </c>
      <c r="D4" s="5">
        <f>+'Mapa XI_ Op. Financeiras'!DW26</f>
        <v>-2.0732268536380714</v>
      </c>
      <c r="E4" s="5">
        <f>+'Mapa XI_ Op. Financeiras'!DX26</f>
        <v>-3.261969265669098</v>
      </c>
      <c r="F4" s="5">
        <f>+'Mapa XI_ Op. Financeiras'!DY26</f>
        <v>-3.6143104215510973</v>
      </c>
      <c r="G4" s="5">
        <f>+'Mapa XI_ Op. Financeiras'!DZ26</f>
        <v>-4.6032890299573506</v>
      </c>
      <c r="H4" s="5">
        <f>+'Mapa XI_ Op. Financeiras'!EA26</f>
        <v>-5.349957345445346</v>
      </c>
      <c r="I4" s="5"/>
      <c r="J4" s="5"/>
      <c r="K4" s="5"/>
    </row>
    <row r="5" spans="1:11">
      <c r="B5" s="6"/>
      <c r="C5" s="6"/>
      <c r="D5" s="7"/>
      <c r="E5" s="7"/>
      <c r="F5" s="7"/>
    </row>
    <row r="6" spans="1:11">
      <c r="A6" s="1006" t="s">
        <v>6</v>
      </c>
      <c r="B6" s="1006"/>
      <c r="C6" s="1006"/>
      <c r="D6" s="1006"/>
      <c r="E6" s="1006"/>
      <c r="F6" s="1006"/>
      <c r="G6" s="1006"/>
      <c r="H6" s="966"/>
      <c r="I6" s="966"/>
      <c r="J6" s="966"/>
      <c r="K6" s="966"/>
    </row>
    <row r="7" spans="1:11">
      <c r="A7" s="4"/>
      <c r="B7" s="2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24</v>
      </c>
      <c r="H7" s="3"/>
      <c r="I7" s="3"/>
      <c r="J7" s="3"/>
      <c r="K7" s="3"/>
    </row>
    <row r="8" spans="1:11">
      <c r="A8" s="4">
        <v>2020</v>
      </c>
      <c r="B8" s="8">
        <f>+'Mapa XI_ Op. Financeiras'!DG25</f>
        <v>554.67380623912095</v>
      </c>
      <c r="C8" s="8">
        <f>+'Mapa XI_ Op. Financeiras'!DH25</f>
        <v>-53.140805164760792</v>
      </c>
      <c r="D8" s="8">
        <f>+'Mapa XI_ Op. Financeiras'!DI25</f>
        <v>-378.56248441280809</v>
      </c>
      <c r="E8" s="9">
        <f>+'Mapa XI_ Op. Financeiras'!DJ25</f>
        <v>-1230.589110052505</v>
      </c>
      <c r="F8" s="9">
        <f>+'Mapa XI_ Op. Financeiras'!DK25</f>
        <v>-3824.3520369524163</v>
      </c>
      <c r="G8" s="9">
        <f>+'Mapa XI_ Op. Financeiras'!DL25</f>
        <v>-5516.474270610579</v>
      </c>
      <c r="H8" s="9">
        <f>+'Mapa XI_ Op. Financeiras'!DM25</f>
        <v>-6807.8516755403889</v>
      </c>
      <c r="I8" s="9"/>
      <c r="J8" s="9"/>
      <c r="K8" s="9"/>
    </row>
    <row r="9" spans="1:11">
      <c r="A9" s="4">
        <v>2021</v>
      </c>
      <c r="B9" s="8">
        <f>+'Mapa XI_ Op. Financeiras'!DU25</f>
        <v>-695.75447399999996</v>
      </c>
      <c r="C9" s="8">
        <f>+'Mapa XI_ Op. Financeiras'!DV25</f>
        <v>-2302.7394250175521</v>
      </c>
      <c r="D9" s="8">
        <f>+'Mapa XI_ Op. Financeiras'!DW25</f>
        <v>-3640.9168219999979</v>
      </c>
      <c r="E9" s="9">
        <f>+'Mapa XI_ Op. Financeiras'!DX25</f>
        <v>-5728.5379800000019</v>
      </c>
      <c r="F9" s="9">
        <f>+'Mapa XI_ Op. Financeiras'!DY25</f>
        <v>-6347.3052120000002</v>
      </c>
      <c r="G9" s="9">
        <f>+'Mapa XI_ Op. Financeiras'!DZ25</f>
        <v>-8084.1092889999964</v>
      </c>
      <c r="H9" s="9">
        <f>+'Mapa XI_ Op. Financeiras'!EA25</f>
        <v>-9395.3778680000014</v>
      </c>
      <c r="I9" s="9"/>
      <c r="J9" s="9"/>
      <c r="K9" s="9"/>
    </row>
  </sheetData>
  <mergeCells count="2">
    <mergeCell ref="A1:G1"/>
    <mergeCell ref="A6:G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Q637"/>
  <sheetViews>
    <sheetView showGridLines="0" topLeftCell="A597" zoomScale="75" zoomScaleNormal="75" workbookViewId="0">
      <selection activeCell="H612" sqref="H612"/>
    </sheetView>
  </sheetViews>
  <sheetFormatPr defaultRowHeight="14.5"/>
  <cols>
    <col min="1" max="1" width="3.453125" style="441" customWidth="1"/>
    <col min="2" max="2" width="26.81640625" style="441" customWidth="1"/>
    <col min="3" max="3" width="16" style="535" customWidth="1"/>
    <col min="4" max="4" width="18.26953125" style="535" bestFit="1" customWidth="1"/>
    <col min="5" max="5" width="18.81640625" style="535" customWidth="1"/>
    <col min="6" max="7" width="15.1796875" style="535" customWidth="1"/>
    <col min="8" max="8" width="15.453125" style="535" customWidth="1"/>
    <col min="9" max="9" width="14.54296875" style="535" customWidth="1"/>
    <col min="10" max="10" width="16.453125" style="535" customWidth="1"/>
    <col min="11" max="11" width="17.1796875" style="535" customWidth="1"/>
    <col min="12" max="12" width="16.7265625" style="535" customWidth="1"/>
    <col min="13" max="13" width="24" style="535" customWidth="1"/>
    <col min="14" max="14" width="16.1796875" style="441" customWidth="1"/>
    <col min="15" max="15" width="16" style="441" customWidth="1"/>
    <col min="16" max="16" width="17.26953125" style="441" customWidth="1"/>
    <col min="17" max="17" width="14.81640625" style="441" customWidth="1"/>
    <col min="18" max="18" width="18.26953125" style="441" customWidth="1"/>
    <col min="19" max="19" width="18" style="441" customWidth="1"/>
    <col min="20" max="20" width="16" style="441" bestFit="1" customWidth="1"/>
    <col min="21" max="21" width="17.81640625" style="441" customWidth="1"/>
    <col min="22" max="22" width="17.7265625" style="441" customWidth="1"/>
    <col min="23" max="254" width="8.7265625" style="441"/>
    <col min="255" max="255" width="14.54296875" style="441" customWidth="1"/>
    <col min="256" max="257" width="8.7265625" style="441"/>
    <col min="258" max="258" width="14.7265625" style="441" customWidth="1"/>
    <col min="259" max="259" width="14.26953125" style="441" customWidth="1"/>
    <col min="260" max="260" width="13.81640625" style="441" customWidth="1"/>
    <col min="261" max="261" width="11.7265625" style="441" customWidth="1"/>
    <col min="262" max="262" width="12" style="441" customWidth="1"/>
    <col min="263" max="263" width="8.7265625" style="441"/>
    <col min="264" max="264" width="13.81640625" style="441" customWidth="1"/>
    <col min="265" max="265" width="13" style="441" customWidth="1"/>
    <col min="266" max="266" width="15.1796875" style="441" customWidth="1"/>
    <col min="267" max="267" width="14.7265625" style="441" customWidth="1"/>
    <col min="268" max="268" width="11.1796875" style="441" bestFit="1" customWidth="1"/>
    <col min="269" max="510" width="8.7265625" style="441"/>
    <col min="511" max="511" width="14.54296875" style="441" customWidth="1"/>
    <col min="512" max="513" width="8.7265625" style="441"/>
    <col min="514" max="514" width="14.7265625" style="441" customWidth="1"/>
    <col min="515" max="515" width="14.26953125" style="441" customWidth="1"/>
    <col min="516" max="516" width="13.81640625" style="441" customWidth="1"/>
    <col min="517" max="517" width="11.7265625" style="441" customWidth="1"/>
    <col min="518" max="518" width="12" style="441" customWidth="1"/>
    <col min="519" max="519" width="8.7265625" style="441"/>
    <col min="520" max="520" width="13.81640625" style="441" customWidth="1"/>
    <col min="521" max="521" width="13" style="441" customWidth="1"/>
    <col min="522" max="522" width="15.1796875" style="441" customWidth="1"/>
    <col min="523" max="523" width="14.7265625" style="441" customWidth="1"/>
    <col min="524" max="524" width="11.1796875" style="441" bestFit="1" customWidth="1"/>
    <col min="525" max="766" width="8.7265625" style="441"/>
    <col min="767" max="767" width="14.54296875" style="441" customWidth="1"/>
    <col min="768" max="769" width="8.7265625" style="441"/>
    <col min="770" max="770" width="14.7265625" style="441" customWidth="1"/>
    <col min="771" max="771" width="14.26953125" style="441" customWidth="1"/>
    <col min="772" max="772" width="13.81640625" style="441" customWidth="1"/>
    <col min="773" max="773" width="11.7265625" style="441" customWidth="1"/>
    <col min="774" max="774" width="12" style="441" customWidth="1"/>
    <col min="775" max="775" width="8.7265625" style="441"/>
    <col min="776" max="776" width="13.81640625" style="441" customWidth="1"/>
    <col min="777" max="777" width="13" style="441" customWidth="1"/>
    <col min="778" max="778" width="15.1796875" style="441" customWidth="1"/>
    <col min="779" max="779" width="14.7265625" style="441" customWidth="1"/>
    <col min="780" max="780" width="11.1796875" style="441" bestFit="1" customWidth="1"/>
    <col min="781" max="1022" width="8.7265625" style="441"/>
    <col min="1023" max="1023" width="14.54296875" style="441" customWidth="1"/>
    <col min="1024" max="1025" width="8.7265625" style="441"/>
    <col min="1026" max="1026" width="14.7265625" style="441" customWidth="1"/>
    <col min="1027" max="1027" width="14.26953125" style="441" customWidth="1"/>
    <col min="1028" max="1028" width="13.81640625" style="441" customWidth="1"/>
    <col min="1029" max="1029" width="11.7265625" style="441" customWidth="1"/>
    <col min="1030" max="1030" width="12" style="441" customWidth="1"/>
    <col min="1031" max="1031" width="8.7265625" style="441"/>
    <col min="1032" max="1032" width="13.81640625" style="441" customWidth="1"/>
    <col min="1033" max="1033" width="13" style="441" customWidth="1"/>
    <col min="1034" max="1034" width="15.1796875" style="441" customWidth="1"/>
    <col min="1035" max="1035" width="14.7265625" style="441" customWidth="1"/>
    <col min="1036" max="1036" width="11.1796875" style="441" bestFit="1" customWidth="1"/>
    <col min="1037" max="1278" width="8.7265625" style="441"/>
    <col min="1279" max="1279" width="14.54296875" style="441" customWidth="1"/>
    <col min="1280" max="1281" width="8.7265625" style="441"/>
    <col min="1282" max="1282" width="14.7265625" style="441" customWidth="1"/>
    <col min="1283" max="1283" width="14.26953125" style="441" customWidth="1"/>
    <col min="1284" max="1284" width="13.81640625" style="441" customWidth="1"/>
    <col min="1285" max="1285" width="11.7265625" style="441" customWidth="1"/>
    <col min="1286" max="1286" width="12" style="441" customWidth="1"/>
    <col min="1287" max="1287" width="8.7265625" style="441"/>
    <col min="1288" max="1288" width="13.81640625" style="441" customWidth="1"/>
    <col min="1289" max="1289" width="13" style="441" customWidth="1"/>
    <col min="1290" max="1290" width="15.1796875" style="441" customWidth="1"/>
    <col min="1291" max="1291" width="14.7265625" style="441" customWidth="1"/>
    <col min="1292" max="1292" width="11.1796875" style="441" bestFit="1" customWidth="1"/>
    <col min="1293" max="1534" width="8.7265625" style="441"/>
    <col min="1535" max="1535" width="14.54296875" style="441" customWidth="1"/>
    <col min="1536" max="1537" width="8.7265625" style="441"/>
    <col min="1538" max="1538" width="14.7265625" style="441" customWidth="1"/>
    <col min="1539" max="1539" width="14.26953125" style="441" customWidth="1"/>
    <col min="1540" max="1540" width="13.81640625" style="441" customWidth="1"/>
    <col min="1541" max="1541" width="11.7265625" style="441" customWidth="1"/>
    <col min="1542" max="1542" width="12" style="441" customWidth="1"/>
    <col min="1543" max="1543" width="8.7265625" style="441"/>
    <col min="1544" max="1544" width="13.81640625" style="441" customWidth="1"/>
    <col min="1545" max="1545" width="13" style="441" customWidth="1"/>
    <col min="1546" max="1546" width="15.1796875" style="441" customWidth="1"/>
    <col min="1547" max="1547" width="14.7265625" style="441" customWidth="1"/>
    <col min="1548" max="1548" width="11.1796875" style="441" bestFit="1" customWidth="1"/>
    <col min="1549" max="1790" width="8.7265625" style="441"/>
    <col min="1791" max="1791" width="14.54296875" style="441" customWidth="1"/>
    <col min="1792" max="1793" width="8.7265625" style="441"/>
    <col min="1794" max="1794" width="14.7265625" style="441" customWidth="1"/>
    <col min="1795" max="1795" width="14.26953125" style="441" customWidth="1"/>
    <col min="1796" max="1796" width="13.81640625" style="441" customWidth="1"/>
    <col min="1797" max="1797" width="11.7265625" style="441" customWidth="1"/>
    <col min="1798" max="1798" width="12" style="441" customWidth="1"/>
    <col min="1799" max="1799" width="8.7265625" style="441"/>
    <col min="1800" max="1800" width="13.81640625" style="441" customWidth="1"/>
    <col min="1801" max="1801" width="13" style="441" customWidth="1"/>
    <col min="1802" max="1802" width="15.1796875" style="441" customWidth="1"/>
    <col min="1803" max="1803" width="14.7265625" style="441" customWidth="1"/>
    <col min="1804" max="1804" width="11.1796875" style="441" bestFit="1" customWidth="1"/>
    <col min="1805" max="2046" width="8.7265625" style="441"/>
    <col min="2047" max="2047" width="14.54296875" style="441" customWidth="1"/>
    <col min="2048" max="2049" width="8.7265625" style="441"/>
    <col min="2050" max="2050" width="14.7265625" style="441" customWidth="1"/>
    <col min="2051" max="2051" width="14.26953125" style="441" customWidth="1"/>
    <col min="2052" max="2052" width="13.81640625" style="441" customWidth="1"/>
    <col min="2053" max="2053" width="11.7265625" style="441" customWidth="1"/>
    <col min="2054" max="2054" width="12" style="441" customWidth="1"/>
    <col min="2055" max="2055" width="8.7265625" style="441"/>
    <col min="2056" max="2056" width="13.81640625" style="441" customWidth="1"/>
    <col min="2057" max="2057" width="13" style="441" customWidth="1"/>
    <col min="2058" max="2058" width="15.1796875" style="441" customWidth="1"/>
    <col min="2059" max="2059" width="14.7265625" style="441" customWidth="1"/>
    <col min="2060" max="2060" width="11.1796875" style="441" bestFit="1" customWidth="1"/>
    <col min="2061" max="2302" width="8.7265625" style="441"/>
    <col min="2303" max="2303" width="14.54296875" style="441" customWidth="1"/>
    <col min="2304" max="2305" width="8.7265625" style="441"/>
    <col min="2306" max="2306" width="14.7265625" style="441" customWidth="1"/>
    <col min="2307" max="2307" width="14.26953125" style="441" customWidth="1"/>
    <col min="2308" max="2308" width="13.81640625" style="441" customWidth="1"/>
    <col min="2309" max="2309" width="11.7265625" style="441" customWidth="1"/>
    <col min="2310" max="2310" width="12" style="441" customWidth="1"/>
    <col min="2311" max="2311" width="8.7265625" style="441"/>
    <col min="2312" max="2312" width="13.81640625" style="441" customWidth="1"/>
    <col min="2313" max="2313" width="13" style="441" customWidth="1"/>
    <col min="2314" max="2314" width="15.1796875" style="441" customWidth="1"/>
    <col min="2315" max="2315" width="14.7265625" style="441" customWidth="1"/>
    <col min="2316" max="2316" width="11.1796875" style="441" bestFit="1" customWidth="1"/>
    <col min="2317" max="2558" width="8.7265625" style="441"/>
    <col min="2559" max="2559" width="14.54296875" style="441" customWidth="1"/>
    <col min="2560" max="2561" width="8.7265625" style="441"/>
    <col min="2562" max="2562" width="14.7265625" style="441" customWidth="1"/>
    <col min="2563" max="2563" width="14.26953125" style="441" customWidth="1"/>
    <col min="2564" max="2564" width="13.81640625" style="441" customWidth="1"/>
    <col min="2565" max="2565" width="11.7265625" style="441" customWidth="1"/>
    <col min="2566" max="2566" width="12" style="441" customWidth="1"/>
    <col min="2567" max="2567" width="8.7265625" style="441"/>
    <col min="2568" max="2568" width="13.81640625" style="441" customWidth="1"/>
    <col min="2569" max="2569" width="13" style="441" customWidth="1"/>
    <col min="2570" max="2570" width="15.1796875" style="441" customWidth="1"/>
    <col min="2571" max="2571" width="14.7265625" style="441" customWidth="1"/>
    <col min="2572" max="2572" width="11.1796875" style="441" bestFit="1" customWidth="1"/>
    <col min="2573" max="2814" width="8.7265625" style="441"/>
    <col min="2815" max="2815" width="14.54296875" style="441" customWidth="1"/>
    <col min="2816" max="2817" width="8.7265625" style="441"/>
    <col min="2818" max="2818" width="14.7265625" style="441" customWidth="1"/>
    <col min="2819" max="2819" width="14.26953125" style="441" customWidth="1"/>
    <col min="2820" max="2820" width="13.81640625" style="441" customWidth="1"/>
    <col min="2821" max="2821" width="11.7265625" style="441" customWidth="1"/>
    <col min="2822" max="2822" width="12" style="441" customWidth="1"/>
    <col min="2823" max="2823" width="8.7265625" style="441"/>
    <col min="2824" max="2824" width="13.81640625" style="441" customWidth="1"/>
    <col min="2825" max="2825" width="13" style="441" customWidth="1"/>
    <col min="2826" max="2826" width="15.1796875" style="441" customWidth="1"/>
    <col min="2827" max="2827" width="14.7265625" style="441" customWidth="1"/>
    <col min="2828" max="2828" width="11.1796875" style="441" bestFit="1" customWidth="1"/>
    <col min="2829" max="3070" width="8.7265625" style="441"/>
    <col min="3071" max="3071" width="14.54296875" style="441" customWidth="1"/>
    <col min="3072" max="3073" width="8.7265625" style="441"/>
    <col min="3074" max="3074" width="14.7265625" style="441" customWidth="1"/>
    <col min="3075" max="3075" width="14.26953125" style="441" customWidth="1"/>
    <col min="3076" max="3076" width="13.81640625" style="441" customWidth="1"/>
    <col min="3077" max="3077" width="11.7265625" style="441" customWidth="1"/>
    <col min="3078" max="3078" width="12" style="441" customWidth="1"/>
    <col min="3079" max="3079" width="8.7265625" style="441"/>
    <col min="3080" max="3080" width="13.81640625" style="441" customWidth="1"/>
    <col min="3081" max="3081" width="13" style="441" customWidth="1"/>
    <col min="3082" max="3082" width="15.1796875" style="441" customWidth="1"/>
    <col min="3083" max="3083" width="14.7265625" style="441" customWidth="1"/>
    <col min="3084" max="3084" width="11.1796875" style="441" bestFit="1" customWidth="1"/>
    <col min="3085" max="3326" width="8.7265625" style="441"/>
    <col min="3327" max="3327" width="14.54296875" style="441" customWidth="1"/>
    <col min="3328" max="3329" width="8.7265625" style="441"/>
    <col min="3330" max="3330" width="14.7265625" style="441" customWidth="1"/>
    <col min="3331" max="3331" width="14.26953125" style="441" customWidth="1"/>
    <col min="3332" max="3332" width="13.81640625" style="441" customWidth="1"/>
    <col min="3333" max="3333" width="11.7265625" style="441" customWidth="1"/>
    <col min="3334" max="3334" width="12" style="441" customWidth="1"/>
    <col min="3335" max="3335" width="8.7265625" style="441"/>
    <col min="3336" max="3336" width="13.81640625" style="441" customWidth="1"/>
    <col min="3337" max="3337" width="13" style="441" customWidth="1"/>
    <col min="3338" max="3338" width="15.1796875" style="441" customWidth="1"/>
    <col min="3339" max="3339" width="14.7265625" style="441" customWidth="1"/>
    <col min="3340" max="3340" width="11.1796875" style="441" bestFit="1" customWidth="1"/>
    <col min="3341" max="3582" width="8.7265625" style="441"/>
    <col min="3583" max="3583" width="14.54296875" style="441" customWidth="1"/>
    <col min="3584" max="3585" width="8.7265625" style="441"/>
    <col min="3586" max="3586" width="14.7265625" style="441" customWidth="1"/>
    <col min="3587" max="3587" width="14.26953125" style="441" customWidth="1"/>
    <col min="3588" max="3588" width="13.81640625" style="441" customWidth="1"/>
    <col min="3589" max="3589" width="11.7265625" style="441" customWidth="1"/>
    <col min="3590" max="3590" width="12" style="441" customWidth="1"/>
    <col min="3591" max="3591" width="8.7265625" style="441"/>
    <col min="3592" max="3592" width="13.81640625" style="441" customWidth="1"/>
    <col min="3593" max="3593" width="13" style="441" customWidth="1"/>
    <col min="3594" max="3594" width="15.1796875" style="441" customWidth="1"/>
    <col min="3595" max="3595" width="14.7265625" style="441" customWidth="1"/>
    <col min="3596" max="3596" width="11.1796875" style="441" bestFit="1" customWidth="1"/>
    <col min="3597" max="3838" width="8.7265625" style="441"/>
    <col min="3839" max="3839" width="14.54296875" style="441" customWidth="1"/>
    <col min="3840" max="3841" width="8.7265625" style="441"/>
    <col min="3842" max="3842" width="14.7265625" style="441" customWidth="1"/>
    <col min="3843" max="3843" width="14.26953125" style="441" customWidth="1"/>
    <col min="3844" max="3844" width="13.81640625" style="441" customWidth="1"/>
    <col min="3845" max="3845" width="11.7265625" style="441" customWidth="1"/>
    <col min="3846" max="3846" width="12" style="441" customWidth="1"/>
    <col min="3847" max="3847" width="8.7265625" style="441"/>
    <col min="3848" max="3848" width="13.81640625" style="441" customWidth="1"/>
    <col min="3849" max="3849" width="13" style="441" customWidth="1"/>
    <col min="3850" max="3850" width="15.1796875" style="441" customWidth="1"/>
    <col min="3851" max="3851" width="14.7265625" style="441" customWidth="1"/>
    <col min="3852" max="3852" width="11.1796875" style="441" bestFit="1" customWidth="1"/>
    <col min="3853" max="4094" width="8.7265625" style="441"/>
    <col min="4095" max="4095" width="14.54296875" style="441" customWidth="1"/>
    <col min="4096" max="4097" width="8.7265625" style="441"/>
    <col min="4098" max="4098" width="14.7265625" style="441" customWidth="1"/>
    <col min="4099" max="4099" width="14.26953125" style="441" customWidth="1"/>
    <col min="4100" max="4100" width="13.81640625" style="441" customWidth="1"/>
    <col min="4101" max="4101" width="11.7265625" style="441" customWidth="1"/>
    <col min="4102" max="4102" width="12" style="441" customWidth="1"/>
    <col min="4103" max="4103" width="8.7265625" style="441"/>
    <col min="4104" max="4104" width="13.81640625" style="441" customWidth="1"/>
    <col min="4105" max="4105" width="13" style="441" customWidth="1"/>
    <col min="4106" max="4106" width="15.1796875" style="441" customWidth="1"/>
    <col min="4107" max="4107" width="14.7265625" style="441" customWidth="1"/>
    <col min="4108" max="4108" width="11.1796875" style="441" bestFit="1" customWidth="1"/>
    <col min="4109" max="4350" width="8.7265625" style="441"/>
    <col min="4351" max="4351" width="14.54296875" style="441" customWidth="1"/>
    <col min="4352" max="4353" width="8.7265625" style="441"/>
    <col min="4354" max="4354" width="14.7265625" style="441" customWidth="1"/>
    <col min="4355" max="4355" width="14.26953125" style="441" customWidth="1"/>
    <col min="4356" max="4356" width="13.81640625" style="441" customWidth="1"/>
    <col min="4357" max="4357" width="11.7265625" style="441" customWidth="1"/>
    <col min="4358" max="4358" width="12" style="441" customWidth="1"/>
    <col min="4359" max="4359" width="8.7265625" style="441"/>
    <col min="4360" max="4360" width="13.81640625" style="441" customWidth="1"/>
    <col min="4361" max="4361" width="13" style="441" customWidth="1"/>
    <col min="4362" max="4362" width="15.1796875" style="441" customWidth="1"/>
    <col min="4363" max="4363" width="14.7265625" style="441" customWidth="1"/>
    <col min="4364" max="4364" width="11.1796875" style="441" bestFit="1" customWidth="1"/>
    <col min="4365" max="4606" width="8.7265625" style="441"/>
    <col min="4607" max="4607" width="14.54296875" style="441" customWidth="1"/>
    <col min="4608" max="4609" width="8.7265625" style="441"/>
    <col min="4610" max="4610" width="14.7265625" style="441" customWidth="1"/>
    <col min="4611" max="4611" width="14.26953125" style="441" customWidth="1"/>
    <col min="4612" max="4612" width="13.81640625" style="441" customWidth="1"/>
    <col min="4613" max="4613" width="11.7265625" style="441" customWidth="1"/>
    <col min="4614" max="4614" width="12" style="441" customWidth="1"/>
    <col min="4615" max="4615" width="8.7265625" style="441"/>
    <col min="4616" max="4616" width="13.81640625" style="441" customWidth="1"/>
    <col min="4617" max="4617" width="13" style="441" customWidth="1"/>
    <col min="4618" max="4618" width="15.1796875" style="441" customWidth="1"/>
    <col min="4619" max="4619" width="14.7265625" style="441" customWidth="1"/>
    <col min="4620" max="4620" width="11.1796875" style="441" bestFit="1" customWidth="1"/>
    <col min="4621" max="4862" width="8.7265625" style="441"/>
    <col min="4863" max="4863" width="14.54296875" style="441" customWidth="1"/>
    <col min="4864" max="4865" width="8.7265625" style="441"/>
    <col min="4866" max="4866" width="14.7265625" style="441" customWidth="1"/>
    <col min="4867" max="4867" width="14.26953125" style="441" customWidth="1"/>
    <col min="4868" max="4868" width="13.81640625" style="441" customWidth="1"/>
    <col min="4869" max="4869" width="11.7265625" style="441" customWidth="1"/>
    <col min="4870" max="4870" width="12" style="441" customWidth="1"/>
    <col min="4871" max="4871" width="8.7265625" style="441"/>
    <col min="4872" max="4872" width="13.81640625" style="441" customWidth="1"/>
    <col min="4873" max="4873" width="13" style="441" customWidth="1"/>
    <col min="4874" max="4874" width="15.1796875" style="441" customWidth="1"/>
    <col min="4875" max="4875" width="14.7265625" style="441" customWidth="1"/>
    <col min="4876" max="4876" width="11.1796875" style="441" bestFit="1" customWidth="1"/>
    <col min="4877" max="5118" width="8.7265625" style="441"/>
    <col min="5119" max="5119" width="14.54296875" style="441" customWidth="1"/>
    <col min="5120" max="5121" width="8.7265625" style="441"/>
    <col min="5122" max="5122" width="14.7265625" style="441" customWidth="1"/>
    <col min="5123" max="5123" width="14.26953125" style="441" customWidth="1"/>
    <col min="5124" max="5124" width="13.81640625" style="441" customWidth="1"/>
    <col min="5125" max="5125" width="11.7265625" style="441" customWidth="1"/>
    <col min="5126" max="5126" width="12" style="441" customWidth="1"/>
    <col min="5127" max="5127" width="8.7265625" style="441"/>
    <col min="5128" max="5128" width="13.81640625" style="441" customWidth="1"/>
    <col min="5129" max="5129" width="13" style="441" customWidth="1"/>
    <col min="5130" max="5130" width="15.1796875" style="441" customWidth="1"/>
    <col min="5131" max="5131" width="14.7265625" style="441" customWidth="1"/>
    <col min="5132" max="5132" width="11.1796875" style="441" bestFit="1" customWidth="1"/>
    <col min="5133" max="5374" width="8.7265625" style="441"/>
    <col min="5375" max="5375" width="14.54296875" style="441" customWidth="1"/>
    <col min="5376" max="5377" width="8.7265625" style="441"/>
    <col min="5378" max="5378" width="14.7265625" style="441" customWidth="1"/>
    <col min="5379" max="5379" width="14.26953125" style="441" customWidth="1"/>
    <col min="5380" max="5380" width="13.81640625" style="441" customWidth="1"/>
    <col min="5381" max="5381" width="11.7265625" style="441" customWidth="1"/>
    <col min="5382" max="5382" width="12" style="441" customWidth="1"/>
    <col min="5383" max="5383" width="8.7265625" style="441"/>
    <col min="5384" max="5384" width="13.81640625" style="441" customWidth="1"/>
    <col min="5385" max="5385" width="13" style="441" customWidth="1"/>
    <col min="5386" max="5386" width="15.1796875" style="441" customWidth="1"/>
    <col min="5387" max="5387" width="14.7265625" style="441" customWidth="1"/>
    <col min="5388" max="5388" width="11.1796875" style="441" bestFit="1" customWidth="1"/>
    <col min="5389" max="5630" width="8.7265625" style="441"/>
    <col min="5631" max="5631" width="14.54296875" style="441" customWidth="1"/>
    <col min="5632" max="5633" width="8.7265625" style="441"/>
    <col min="5634" max="5634" width="14.7265625" style="441" customWidth="1"/>
    <col min="5635" max="5635" width="14.26953125" style="441" customWidth="1"/>
    <col min="5636" max="5636" width="13.81640625" style="441" customWidth="1"/>
    <col min="5637" max="5637" width="11.7265625" style="441" customWidth="1"/>
    <col min="5638" max="5638" width="12" style="441" customWidth="1"/>
    <col min="5639" max="5639" width="8.7265625" style="441"/>
    <col min="5640" max="5640" width="13.81640625" style="441" customWidth="1"/>
    <col min="5641" max="5641" width="13" style="441" customWidth="1"/>
    <col min="5642" max="5642" width="15.1796875" style="441" customWidth="1"/>
    <col min="5643" max="5643" width="14.7265625" style="441" customWidth="1"/>
    <col min="5644" max="5644" width="11.1796875" style="441" bestFit="1" customWidth="1"/>
    <col min="5645" max="5886" width="8.7265625" style="441"/>
    <col min="5887" max="5887" width="14.54296875" style="441" customWidth="1"/>
    <col min="5888" max="5889" width="8.7265625" style="441"/>
    <col min="5890" max="5890" width="14.7265625" style="441" customWidth="1"/>
    <col min="5891" max="5891" width="14.26953125" style="441" customWidth="1"/>
    <col min="5892" max="5892" width="13.81640625" style="441" customWidth="1"/>
    <col min="5893" max="5893" width="11.7265625" style="441" customWidth="1"/>
    <col min="5894" max="5894" width="12" style="441" customWidth="1"/>
    <col min="5895" max="5895" width="8.7265625" style="441"/>
    <col min="5896" max="5896" width="13.81640625" style="441" customWidth="1"/>
    <col min="5897" max="5897" width="13" style="441" customWidth="1"/>
    <col min="5898" max="5898" width="15.1796875" style="441" customWidth="1"/>
    <col min="5899" max="5899" width="14.7265625" style="441" customWidth="1"/>
    <col min="5900" max="5900" width="11.1796875" style="441" bestFit="1" customWidth="1"/>
    <col min="5901" max="6142" width="8.7265625" style="441"/>
    <col min="6143" max="6143" width="14.54296875" style="441" customWidth="1"/>
    <col min="6144" max="6145" width="8.7265625" style="441"/>
    <col min="6146" max="6146" width="14.7265625" style="441" customWidth="1"/>
    <col min="6147" max="6147" width="14.26953125" style="441" customWidth="1"/>
    <col min="6148" max="6148" width="13.81640625" style="441" customWidth="1"/>
    <col min="6149" max="6149" width="11.7265625" style="441" customWidth="1"/>
    <col min="6150" max="6150" width="12" style="441" customWidth="1"/>
    <col min="6151" max="6151" width="8.7265625" style="441"/>
    <col min="6152" max="6152" width="13.81640625" style="441" customWidth="1"/>
    <col min="6153" max="6153" width="13" style="441" customWidth="1"/>
    <col min="6154" max="6154" width="15.1796875" style="441" customWidth="1"/>
    <col min="6155" max="6155" width="14.7265625" style="441" customWidth="1"/>
    <col min="6156" max="6156" width="11.1796875" style="441" bestFit="1" customWidth="1"/>
    <col min="6157" max="6398" width="8.7265625" style="441"/>
    <col min="6399" max="6399" width="14.54296875" style="441" customWidth="1"/>
    <col min="6400" max="6401" width="8.7265625" style="441"/>
    <col min="6402" max="6402" width="14.7265625" style="441" customWidth="1"/>
    <col min="6403" max="6403" width="14.26953125" style="441" customWidth="1"/>
    <col min="6404" max="6404" width="13.81640625" style="441" customWidth="1"/>
    <col min="6405" max="6405" width="11.7265625" style="441" customWidth="1"/>
    <col min="6406" max="6406" width="12" style="441" customWidth="1"/>
    <col min="6407" max="6407" width="8.7265625" style="441"/>
    <col min="6408" max="6408" width="13.81640625" style="441" customWidth="1"/>
    <col min="6409" max="6409" width="13" style="441" customWidth="1"/>
    <col min="6410" max="6410" width="15.1796875" style="441" customWidth="1"/>
    <col min="6411" max="6411" width="14.7265625" style="441" customWidth="1"/>
    <col min="6412" max="6412" width="11.1796875" style="441" bestFit="1" customWidth="1"/>
    <col min="6413" max="6654" width="8.7265625" style="441"/>
    <col min="6655" max="6655" width="14.54296875" style="441" customWidth="1"/>
    <col min="6656" max="6657" width="8.7265625" style="441"/>
    <col min="6658" max="6658" width="14.7265625" style="441" customWidth="1"/>
    <col min="6659" max="6659" width="14.26953125" style="441" customWidth="1"/>
    <col min="6660" max="6660" width="13.81640625" style="441" customWidth="1"/>
    <col min="6661" max="6661" width="11.7265625" style="441" customWidth="1"/>
    <col min="6662" max="6662" width="12" style="441" customWidth="1"/>
    <col min="6663" max="6663" width="8.7265625" style="441"/>
    <col min="6664" max="6664" width="13.81640625" style="441" customWidth="1"/>
    <col min="6665" max="6665" width="13" style="441" customWidth="1"/>
    <col min="6666" max="6666" width="15.1796875" style="441" customWidth="1"/>
    <col min="6667" max="6667" width="14.7265625" style="441" customWidth="1"/>
    <col min="6668" max="6668" width="11.1796875" style="441" bestFit="1" customWidth="1"/>
    <col min="6669" max="6910" width="8.7265625" style="441"/>
    <col min="6911" max="6911" width="14.54296875" style="441" customWidth="1"/>
    <col min="6912" max="6913" width="8.7265625" style="441"/>
    <col min="6914" max="6914" width="14.7265625" style="441" customWidth="1"/>
    <col min="6915" max="6915" width="14.26953125" style="441" customWidth="1"/>
    <col min="6916" max="6916" width="13.81640625" style="441" customWidth="1"/>
    <col min="6917" max="6917" width="11.7265625" style="441" customWidth="1"/>
    <col min="6918" max="6918" width="12" style="441" customWidth="1"/>
    <col min="6919" max="6919" width="8.7265625" style="441"/>
    <col min="6920" max="6920" width="13.81640625" style="441" customWidth="1"/>
    <col min="6921" max="6921" width="13" style="441" customWidth="1"/>
    <col min="6922" max="6922" width="15.1796875" style="441" customWidth="1"/>
    <col min="6923" max="6923" width="14.7265625" style="441" customWidth="1"/>
    <col min="6924" max="6924" width="11.1796875" style="441" bestFit="1" customWidth="1"/>
    <col min="6925" max="7166" width="8.7265625" style="441"/>
    <col min="7167" max="7167" width="14.54296875" style="441" customWidth="1"/>
    <col min="7168" max="7169" width="8.7265625" style="441"/>
    <col min="7170" max="7170" width="14.7265625" style="441" customWidth="1"/>
    <col min="7171" max="7171" width="14.26953125" style="441" customWidth="1"/>
    <col min="7172" max="7172" width="13.81640625" style="441" customWidth="1"/>
    <col min="7173" max="7173" width="11.7265625" style="441" customWidth="1"/>
    <col min="7174" max="7174" width="12" style="441" customWidth="1"/>
    <col min="7175" max="7175" width="8.7265625" style="441"/>
    <col min="7176" max="7176" width="13.81640625" style="441" customWidth="1"/>
    <col min="7177" max="7177" width="13" style="441" customWidth="1"/>
    <col min="7178" max="7178" width="15.1796875" style="441" customWidth="1"/>
    <col min="7179" max="7179" width="14.7265625" style="441" customWidth="1"/>
    <col min="7180" max="7180" width="11.1796875" style="441" bestFit="1" customWidth="1"/>
    <col min="7181" max="7422" width="8.7265625" style="441"/>
    <col min="7423" max="7423" width="14.54296875" style="441" customWidth="1"/>
    <col min="7424" max="7425" width="8.7265625" style="441"/>
    <col min="7426" max="7426" width="14.7265625" style="441" customWidth="1"/>
    <col min="7427" max="7427" width="14.26953125" style="441" customWidth="1"/>
    <col min="7428" max="7428" width="13.81640625" style="441" customWidth="1"/>
    <col min="7429" max="7429" width="11.7265625" style="441" customWidth="1"/>
    <col min="7430" max="7430" width="12" style="441" customWidth="1"/>
    <col min="7431" max="7431" width="8.7265625" style="441"/>
    <col min="7432" max="7432" width="13.81640625" style="441" customWidth="1"/>
    <col min="7433" max="7433" width="13" style="441" customWidth="1"/>
    <col min="7434" max="7434" width="15.1796875" style="441" customWidth="1"/>
    <col min="7435" max="7435" width="14.7265625" style="441" customWidth="1"/>
    <col min="7436" max="7436" width="11.1796875" style="441" bestFit="1" customWidth="1"/>
    <col min="7437" max="7678" width="8.7265625" style="441"/>
    <col min="7679" max="7679" width="14.54296875" style="441" customWidth="1"/>
    <col min="7680" max="7681" width="8.7265625" style="441"/>
    <col min="7682" max="7682" width="14.7265625" style="441" customWidth="1"/>
    <col min="7683" max="7683" width="14.26953125" style="441" customWidth="1"/>
    <col min="7684" max="7684" width="13.81640625" style="441" customWidth="1"/>
    <col min="7685" max="7685" width="11.7265625" style="441" customWidth="1"/>
    <col min="7686" max="7686" width="12" style="441" customWidth="1"/>
    <col min="7687" max="7687" width="8.7265625" style="441"/>
    <col min="7688" max="7688" width="13.81640625" style="441" customWidth="1"/>
    <col min="7689" max="7689" width="13" style="441" customWidth="1"/>
    <col min="7690" max="7690" width="15.1796875" style="441" customWidth="1"/>
    <col min="7691" max="7691" width="14.7265625" style="441" customWidth="1"/>
    <col min="7692" max="7692" width="11.1796875" style="441" bestFit="1" customWidth="1"/>
    <col min="7693" max="7934" width="8.7265625" style="441"/>
    <col min="7935" max="7935" width="14.54296875" style="441" customWidth="1"/>
    <col min="7936" max="7937" width="8.7265625" style="441"/>
    <col min="7938" max="7938" width="14.7265625" style="441" customWidth="1"/>
    <col min="7939" max="7939" width="14.26953125" style="441" customWidth="1"/>
    <col min="7940" max="7940" width="13.81640625" style="441" customWidth="1"/>
    <col min="7941" max="7941" width="11.7265625" style="441" customWidth="1"/>
    <col min="7942" max="7942" width="12" style="441" customWidth="1"/>
    <col min="7943" max="7943" width="8.7265625" style="441"/>
    <col min="7944" max="7944" width="13.81640625" style="441" customWidth="1"/>
    <col min="7945" max="7945" width="13" style="441" customWidth="1"/>
    <col min="7946" max="7946" width="15.1796875" style="441" customWidth="1"/>
    <col min="7947" max="7947" width="14.7265625" style="441" customWidth="1"/>
    <col min="7948" max="7948" width="11.1796875" style="441" bestFit="1" customWidth="1"/>
    <col min="7949" max="8190" width="8.7265625" style="441"/>
    <col min="8191" max="8191" width="14.54296875" style="441" customWidth="1"/>
    <col min="8192" max="8193" width="8.7265625" style="441"/>
    <col min="8194" max="8194" width="14.7265625" style="441" customWidth="1"/>
    <col min="8195" max="8195" width="14.26953125" style="441" customWidth="1"/>
    <col min="8196" max="8196" width="13.81640625" style="441" customWidth="1"/>
    <col min="8197" max="8197" width="11.7265625" style="441" customWidth="1"/>
    <col min="8198" max="8198" width="12" style="441" customWidth="1"/>
    <col min="8199" max="8199" width="8.7265625" style="441"/>
    <col min="8200" max="8200" width="13.81640625" style="441" customWidth="1"/>
    <col min="8201" max="8201" width="13" style="441" customWidth="1"/>
    <col min="8202" max="8202" width="15.1796875" style="441" customWidth="1"/>
    <col min="8203" max="8203" width="14.7265625" style="441" customWidth="1"/>
    <col min="8204" max="8204" width="11.1796875" style="441" bestFit="1" customWidth="1"/>
    <col min="8205" max="8446" width="8.7265625" style="441"/>
    <col min="8447" max="8447" width="14.54296875" style="441" customWidth="1"/>
    <col min="8448" max="8449" width="8.7265625" style="441"/>
    <col min="8450" max="8450" width="14.7265625" style="441" customWidth="1"/>
    <col min="8451" max="8451" width="14.26953125" style="441" customWidth="1"/>
    <col min="8452" max="8452" width="13.81640625" style="441" customWidth="1"/>
    <col min="8453" max="8453" width="11.7265625" style="441" customWidth="1"/>
    <col min="8454" max="8454" width="12" style="441" customWidth="1"/>
    <col min="8455" max="8455" width="8.7265625" style="441"/>
    <col min="8456" max="8456" width="13.81640625" style="441" customWidth="1"/>
    <col min="8457" max="8457" width="13" style="441" customWidth="1"/>
    <col min="8458" max="8458" width="15.1796875" style="441" customWidth="1"/>
    <col min="8459" max="8459" width="14.7265625" style="441" customWidth="1"/>
    <col min="8460" max="8460" width="11.1796875" style="441" bestFit="1" customWidth="1"/>
    <col min="8461" max="8702" width="8.7265625" style="441"/>
    <col min="8703" max="8703" width="14.54296875" style="441" customWidth="1"/>
    <col min="8704" max="8705" width="8.7265625" style="441"/>
    <col min="8706" max="8706" width="14.7265625" style="441" customWidth="1"/>
    <col min="8707" max="8707" width="14.26953125" style="441" customWidth="1"/>
    <col min="8708" max="8708" width="13.81640625" style="441" customWidth="1"/>
    <col min="8709" max="8709" width="11.7265625" style="441" customWidth="1"/>
    <col min="8710" max="8710" width="12" style="441" customWidth="1"/>
    <col min="8711" max="8711" width="8.7265625" style="441"/>
    <col min="8712" max="8712" width="13.81640625" style="441" customWidth="1"/>
    <col min="8713" max="8713" width="13" style="441" customWidth="1"/>
    <col min="8714" max="8714" width="15.1796875" style="441" customWidth="1"/>
    <col min="8715" max="8715" width="14.7265625" style="441" customWidth="1"/>
    <col min="8716" max="8716" width="11.1796875" style="441" bestFit="1" customWidth="1"/>
    <col min="8717" max="8958" width="8.7265625" style="441"/>
    <col min="8959" max="8959" width="14.54296875" style="441" customWidth="1"/>
    <col min="8960" max="8961" width="8.7265625" style="441"/>
    <col min="8962" max="8962" width="14.7265625" style="441" customWidth="1"/>
    <col min="8963" max="8963" width="14.26953125" style="441" customWidth="1"/>
    <col min="8964" max="8964" width="13.81640625" style="441" customWidth="1"/>
    <col min="8965" max="8965" width="11.7265625" style="441" customWidth="1"/>
    <col min="8966" max="8966" width="12" style="441" customWidth="1"/>
    <col min="8967" max="8967" width="8.7265625" style="441"/>
    <col min="8968" max="8968" width="13.81640625" style="441" customWidth="1"/>
    <col min="8969" max="8969" width="13" style="441" customWidth="1"/>
    <col min="8970" max="8970" width="15.1796875" style="441" customWidth="1"/>
    <col min="8971" max="8971" width="14.7265625" style="441" customWidth="1"/>
    <col min="8972" max="8972" width="11.1796875" style="441" bestFit="1" customWidth="1"/>
    <col min="8973" max="9214" width="8.7265625" style="441"/>
    <col min="9215" max="9215" width="14.54296875" style="441" customWidth="1"/>
    <col min="9216" max="9217" width="8.7265625" style="441"/>
    <col min="9218" max="9218" width="14.7265625" style="441" customWidth="1"/>
    <col min="9219" max="9219" width="14.26953125" style="441" customWidth="1"/>
    <col min="9220" max="9220" width="13.81640625" style="441" customWidth="1"/>
    <col min="9221" max="9221" width="11.7265625" style="441" customWidth="1"/>
    <col min="9222" max="9222" width="12" style="441" customWidth="1"/>
    <col min="9223" max="9223" width="8.7265625" style="441"/>
    <col min="9224" max="9224" width="13.81640625" style="441" customWidth="1"/>
    <col min="9225" max="9225" width="13" style="441" customWidth="1"/>
    <col min="9226" max="9226" width="15.1796875" style="441" customWidth="1"/>
    <col min="9227" max="9227" width="14.7265625" style="441" customWidth="1"/>
    <col min="9228" max="9228" width="11.1796875" style="441" bestFit="1" customWidth="1"/>
    <col min="9229" max="9470" width="8.7265625" style="441"/>
    <col min="9471" max="9471" width="14.54296875" style="441" customWidth="1"/>
    <col min="9472" max="9473" width="8.7265625" style="441"/>
    <col min="9474" max="9474" width="14.7265625" style="441" customWidth="1"/>
    <col min="9475" max="9475" width="14.26953125" style="441" customWidth="1"/>
    <col min="9476" max="9476" width="13.81640625" style="441" customWidth="1"/>
    <col min="9477" max="9477" width="11.7265625" style="441" customWidth="1"/>
    <col min="9478" max="9478" width="12" style="441" customWidth="1"/>
    <col min="9479" max="9479" width="8.7265625" style="441"/>
    <col min="9480" max="9480" width="13.81640625" style="441" customWidth="1"/>
    <col min="9481" max="9481" width="13" style="441" customWidth="1"/>
    <col min="9482" max="9482" width="15.1796875" style="441" customWidth="1"/>
    <col min="9483" max="9483" width="14.7265625" style="441" customWidth="1"/>
    <col min="9484" max="9484" width="11.1796875" style="441" bestFit="1" customWidth="1"/>
    <col min="9485" max="9726" width="8.7265625" style="441"/>
    <col min="9727" max="9727" width="14.54296875" style="441" customWidth="1"/>
    <col min="9728" max="9729" width="8.7265625" style="441"/>
    <col min="9730" max="9730" width="14.7265625" style="441" customWidth="1"/>
    <col min="9731" max="9731" width="14.26953125" style="441" customWidth="1"/>
    <col min="9732" max="9732" width="13.81640625" style="441" customWidth="1"/>
    <col min="9733" max="9733" width="11.7265625" style="441" customWidth="1"/>
    <col min="9734" max="9734" width="12" style="441" customWidth="1"/>
    <col min="9735" max="9735" width="8.7265625" style="441"/>
    <col min="9736" max="9736" width="13.81640625" style="441" customWidth="1"/>
    <col min="9737" max="9737" width="13" style="441" customWidth="1"/>
    <col min="9738" max="9738" width="15.1796875" style="441" customWidth="1"/>
    <col min="9739" max="9739" width="14.7265625" style="441" customWidth="1"/>
    <col min="9740" max="9740" width="11.1796875" style="441" bestFit="1" customWidth="1"/>
    <col min="9741" max="9982" width="8.7265625" style="441"/>
    <col min="9983" max="9983" width="14.54296875" style="441" customWidth="1"/>
    <col min="9984" max="9985" width="8.7265625" style="441"/>
    <col min="9986" max="9986" width="14.7265625" style="441" customWidth="1"/>
    <col min="9987" max="9987" width="14.26953125" style="441" customWidth="1"/>
    <col min="9988" max="9988" width="13.81640625" style="441" customWidth="1"/>
    <col min="9989" max="9989" width="11.7265625" style="441" customWidth="1"/>
    <col min="9990" max="9990" width="12" style="441" customWidth="1"/>
    <col min="9991" max="9991" width="8.7265625" style="441"/>
    <col min="9992" max="9992" width="13.81640625" style="441" customWidth="1"/>
    <col min="9993" max="9993" width="13" style="441" customWidth="1"/>
    <col min="9994" max="9994" width="15.1796875" style="441" customWidth="1"/>
    <col min="9995" max="9995" width="14.7265625" style="441" customWidth="1"/>
    <col min="9996" max="9996" width="11.1796875" style="441" bestFit="1" customWidth="1"/>
    <col min="9997" max="10238" width="8.7265625" style="441"/>
    <col min="10239" max="10239" width="14.54296875" style="441" customWidth="1"/>
    <col min="10240" max="10241" width="8.7265625" style="441"/>
    <col min="10242" max="10242" width="14.7265625" style="441" customWidth="1"/>
    <col min="10243" max="10243" width="14.26953125" style="441" customWidth="1"/>
    <col min="10244" max="10244" width="13.81640625" style="441" customWidth="1"/>
    <col min="10245" max="10245" width="11.7265625" style="441" customWidth="1"/>
    <col min="10246" max="10246" width="12" style="441" customWidth="1"/>
    <col min="10247" max="10247" width="8.7265625" style="441"/>
    <col min="10248" max="10248" width="13.81640625" style="441" customWidth="1"/>
    <col min="10249" max="10249" width="13" style="441" customWidth="1"/>
    <col min="10250" max="10250" width="15.1796875" style="441" customWidth="1"/>
    <col min="10251" max="10251" width="14.7265625" style="441" customWidth="1"/>
    <col min="10252" max="10252" width="11.1796875" style="441" bestFit="1" customWidth="1"/>
    <col min="10253" max="10494" width="8.7265625" style="441"/>
    <col min="10495" max="10495" width="14.54296875" style="441" customWidth="1"/>
    <col min="10496" max="10497" width="8.7265625" style="441"/>
    <col min="10498" max="10498" width="14.7265625" style="441" customWidth="1"/>
    <col min="10499" max="10499" width="14.26953125" style="441" customWidth="1"/>
    <col min="10500" max="10500" width="13.81640625" style="441" customWidth="1"/>
    <col min="10501" max="10501" width="11.7265625" style="441" customWidth="1"/>
    <col min="10502" max="10502" width="12" style="441" customWidth="1"/>
    <col min="10503" max="10503" width="8.7265625" style="441"/>
    <col min="10504" max="10504" width="13.81640625" style="441" customWidth="1"/>
    <col min="10505" max="10505" width="13" style="441" customWidth="1"/>
    <col min="10506" max="10506" width="15.1796875" style="441" customWidth="1"/>
    <col min="10507" max="10507" width="14.7265625" style="441" customWidth="1"/>
    <col min="10508" max="10508" width="11.1796875" style="441" bestFit="1" customWidth="1"/>
    <col min="10509" max="10750" width="8.7265625" style="441"/>
    <col min="10751" max="10751" width="14.54296875" style="441" customWidth="1"/>
    <col min="10752" max="10753" width="8.7265625" style="441"/>
    <col min="10754" max="10754" width="14.7265625" style="441" customWidth="1"/>
    <col min="10755" max="10755" width="14.26953125" style="441" customWidth="1"/>
    <col min="10756" max="10756" width="13.81640625" style="441" customWidth="1"/>
    <col min="10757" max="10757" width="11.7265625" style="441" customWidth="1"/>
    <col min="10758" max="10758" width="12" style="441" customWidth="1"/>
    <col min="10759" max="10759" width="8.7265625" style="441"/>
    <col min="10760" max="10760" width="13.81640625" style="441" customWidth="1"/>
    <col min="10761" max="10761" width="13" style="441" customWidth="1"/>
    <col min="10762" max="10762" width="15.1796875" style="441" customWidth="1"/>
    <col min="10763" max="10763" width="14.7265625" style="441" customWidth="1"/>
    <col min="10764" max="10764" width="11.1796875" style="441" bestFit="1" customWidth="1"/>
    <col min="10765" max="11006" width="8.7265625" style="441"/>
    <col min="11007" max="11007" width="14.54296875" style="441" customWidth="1"/>
    <col min="11008" max="11009" width="8.7265625" style="441"/>
    <col min="11010" max="11010" width="14.7265625" style="441" customWidth="1"/>
    <col min="11011" max="11011" width="14.26953125" style="441" customWidth="1"/>
    <col min="11012" max="11012" width="13.81640625" style="441" customWidth="1"/>
    <col min="11013" max="11013" width="11.7265625" style="441" customWidth="1"/>
    <col min="11014" max="11014" width="12" style="441" customWidth="1"/>
    <col min="11015" max="11015" width="8.7265625" style="441"/>
    <col min="11016" max="11016" width="13.81640625" style="441" customWidth="1"/>
    <col min="11017" max="11017" width="13" style="441" customWidth="1"/>
    <col min="11018" max="11018" width="15.1796875" style="441" customWidth="1"/>
    <col min="11019" max="11019" width="14.7265625" style="441" customWidth="1"/>
    <col min="11020" max="11020" width="11.1796875" style="441" bestFit="1" customWidth="1"/>
    <col min="11021" max="11262" width="8.7265625" style="441"/>
    <col min="11263" max="11263" width="14.54296875" style="441" customWidth="1"/>
    <col min="11264" max="11265" width="8.7265625" style="441"/>
    <col min="11266" max="11266" width="14.7265625" style="441" customWidth="1"/>
    <col min="11267" max="11267" width="14.26953125" style="441" customWidth="1"/>
    <col min="11268" max="11268" width="13.81640625" style="441" customWidth="1"/>
    <col min="11269" max="11269" width="11.7265625" style="441" customWidth="1"/>
    <col min="11270" max="11270" width="12" style="441" customWidth="1"/>
    <col min="11271" max="11271" width="8.7265625" style="441"/>
    <col min="11272" max="11272" width="13.81640625" style="441" customWidth="1"/>
    <col min="11273" max="11273" width="13" style="441" customWidth="1"/>
    <col min="11274" max="11274" width="15.1796875" style="441" customWidth="1"/>
    <col min="11275" max="11275" width="14.7265625" style="441" customWidth="1"/>
    <col min="11276" max="11276" width="11.1796875" style="441" bestFit="1" customWidth="1"/>
    <col min="11277" max="11518" width="8.7265625" style="441"/>
    <col min="11519" max="11519" width="14.54296875" style="441" customWidth="1"/>
    <col min="11520" max="11521" width="8.7265625" style="441"/>
    <col min="11522" max="11522" width="14.7265625" style="441" customWidth="1"/>
    <col min="11523" max="11523" width="14.26953125" style="441" customWidth="1"/>
    <col min="11524" max="11524" width="13.81640625" style="441" customWidth="1"/>
    <col min="11525" max="11525" width="11.7265625" style="441" customWidth="1"/>
    <col min="11526" max="11526" width="12" style="441" customWidth="1"/>
    <col min="11527" max="11527" width="8.7265625" style="441"/>
    <col min="11528" max="11528" width="13.81640625" style="441" customWidth="1"/>
    <col min="11529" max="11529" width="13" style="441" customWidth="1"/>
    <col min="11530" max="11530" width="15.1796875" style="441" customWidth="1"/>
    <col min="11531" max="11531" width="14.7265625" style="441" customWidth="1"/>
    <col min="11532" max="11532" width="11.1796875" style="441" bestFit="1" customWidth="1"/>
    <col min="11533" max="11774" width="8.7265625" style="441"/>
    <col min="11775" max="11775" width="14.54296875" style="441" customWidth="1"/>
    <col min="11776" max="11777" width="8.7265625" style="441"/>
    <col min="11778" max="11778" width="14.7265625" style="441" customWidth="1"/>
    <col min="11779" max="11779" width="14.26953125" style="441" customWidth="1"/>
    <col min="11780" max="11780" width="13.81640625" style="441" customWidth="1"/>
    <col min="11781" max="11781" width="11.7265625" style="441" customWidth="1"/>
    <col min="11782" max="11782" width="12" style="441" customWidth="1"/>
    <col min="11783" max="11783" width="8.7265625" style="441"/>
    <col min="11784" max="11784" width="13.81640625" style="441" customWidth="1"/>
    <col min="11785" max="11785" width="13" style="441" customWidth="1"/>
    <col min="11786" max="11786" width="15.1796875" style="441" customWidth="1"/>
    <col min="11787" max="11787" width="14.7265625" style="441" customWidth="1"/>
    <col min="11788" max="11788" width="11.1796875" style="441" bestFit="1" customWidth="1"/>
    <col min="11789" max="12030" width="8.7265625" style="441"/>
    <col min="12031" max="12031" width="14.54296875" style="441" customWidth="1"/>
    <col min="12032" max="12033" width="8.7265625" style="441"/>
    <col min="12034" max="12034" width="14.7265625" style="441" customWidth="1"/>
    <col min="12035" max="12035" width="14.26953125" style="441" customWidth="1"/>
    <col min="12036" max="12036" width="13.81640625" style="441" customWidth="1"/>
    <col min="12037" max="12037" width="11.7265625" style="441" customWidth="1"/>
    <col min="12038" max="12038" width="12" style="441" customWidth="1"/>
    <col min="12039" max="12039" width="8.7265625" style="441"/>
    <col min="12040" max="12040" width="13.81640625" style="441" customWidth="1"/>
    <col min="12041" max="12041" width="13" style="441" customWidth="1"/>
    <col min="12042" max="12042" width="15.1796875" style="441" customWidth="1"/>
    <col min="12043" max="12043" width="14.7265625" style="441" customWidth="1"/>
    <col min="12044" max="12044" width="11.1796875" style="441" bestFit="1" customWidth="1"/>
    <col min="12045" max="12286" width="8.7265625" style="441"/>
    <col min="12287" max="12287" width="14.54296875" style="441" customWidth="1"/>
    <col min="12288" max="12289" width="8.7265625" style="441"/>
    <col min="12290" max="12290" width="14.7265625" style="441" customWidth="1"/>
    <col min="12291" max="12291" width="14.26953125" style="441" customWidth="1"/>
    <col min="12292" max="12292" width="13.81640625" style="441" customWidth="1"/>
    <col min="12293" max="12293" width="11.7265625" style="441" customWidth="1"/>
    <col min="12294" max="12294" width="12" style="441" customWidth="1"/>
    <col min="12295" max="12295" width="8.7265625" style="441"/>
    <col min="12296" max="12296" width="13.81640625" style="441" customWidth="1"/>
    <col min="12297" max="12297" width="13" style="441" customWidth="1"/>
    <col min="12298" max="12298" width="15.1796875" style="441" customWidth="1"/>
    <col min="12299" max="12299" width="14.7265625" style="441" customWidth="1"/>
    <col min="12300" max="12300" width="11.1796875" style="441" bestFit="1" customWidth="1"/>
    <col min="12301" max="12542" width="8.7265625" style="441"/>
    <col min="12543" max="12543" width="14.54296875" style="441" customWidth="1"/>
    <col min="12544" max="12545" width="8.7265625" style="441"/>
    <col min="12546" max="12546" width="14.7265625" style="441" customWidth="1"/>
    <col min="12547" max="12547" width="14.26953125" style="441" customWidth="1"/>
    <col min="12548" max="12548" width="13.81640625" style="441" customWidth="1"/>
    <col min="12549" max="12549" width="11.7265625" style="441" customWidth="1"/>
    <col min="12550" max="12550" width="12" style="441" customWidth="1"/>
    <col min="12551" max="12551" width="8.7265625" style="441"/>
    <col min="12552" max="12552" width="13.81640625" style="441" customWidth="1"/>
    <col min="12553" max="12553" width="13" style="441" customWidth="1"/>
    <col min="12554" max="12554" width="15.1796875" style="441" customWidth="1"/>
    <col min="12555" max="12555" width="14.7265625" style="441" customWidth="1"/>
    <col min="12556" max="12556" width="11.1796875" style="441" bestFit="1" customWidth="1"/>
    <col min="12557" max="12798" width="8.7265625" style="441"/>
    <col min="12799" max="12799" width="14.54296875" style="441" customWidth="1"/>
    <col min="12800" max="12801" width="8.7265625" style="441"/>
    <col min="12802" max="12802" width="14.7265625" style="441" customWidth="1"/>
    <col min="12803" max="12803" width="14.26953125" style="441" customWidth="1"/>
    <col min="12804" max="12804" width="13.81640625" style="441" customWidth="1"/>
    <col min="12805" max="12805" width="11.7265625" style="441" customWidth="1"/>
    <col min="12806" max="12806" width="12" style="441" customWidth="1"/>
    <col min="12807" max="12807" width="8.7265625" style="441"/>
    <col min="12808" max="12808" width="13.81640625" style="441" customWidth="1"/>
    <col min="12809" max="12809" width="13" style="441" customWidth="1"/>
    <col min="12810" max="12810" width="15.1796875" style="441" customWidth="1"/>
    <col min="12811" max="12811" width="14.7265625" style="441" customWidth="1"/>
    <col min="12812" max="12812" width="11.1796875" style="441" bestFit="1" customWidth="1"/>
    <col min="12813" max="13054" width="8.7265625" style="441"/>
    <col min="13055" max="13055" width="14.54296875" style="441" customWidth="1"/>
    <col min="13056" max="13057" width="8.7265625" style="441"/>
    <col min="13058" max="13058" width="14.7265625" style="441" customWidth="1"/>
    <col min="13059" max="13059" width="14.26953125" style="441" customWidth="1"/>
    <col min="13060" max="13060" width="13.81640625" style="441" customWidth="1"/>
    <col min="13061" max="13061" width="11.7265625" style="441" customWidth="1"/>
    <col min="13062" max="13062" width="12" style="441" customWidth="1"/>
    <col min="13063" max="13063" width="8.7265625" style="441"/>
    <col min="13064" max="13064" width="13.81640625" style="441" customWidth="1"/>
    <col min="13065" max="13065" width="13" style="441" customWidth="1"/>
    <col min="13066" max="13066" width="15.1796875" style="441" customWidth="1"/>
    <col min="13067" max="13067" width="14.7265625" style="441" customWidth="1"/>
    <col min="13068" max="13068" width="11.1796875" style="441" bestFit="1" customWidth="1"/>
    <col min="13069" max="13310" width="8.7265625" style="441"/>
    <col min="13311" max="13311" width="14.54296875" style="441" customWidth="1"/>
    <col min="13312" max="13313" width="8.7265625" style="441"/>
    <col min="13314" max="13314" width="14.7265625" style="441" customWidth="1"/>
    <col min="13315" max="13315" width="14.26953125" style="441" customWidth="1"/>
    <col min="13316" max="13316" width="13.81640625" style="441" customWidth="1"/>
    <col min="13317" max="13317" width="11.7265625" style="441" customWidth="1"/>
    <col min="13318" max="13318" width="12" style="441" customWidth="1"/>
    <col min="13319" max="13319" width="8.7265625" style="441"/>
    <col min="13320" max="13320" width="13.81640625" style="441" customWidth="1"/>
    <col min="13321" max="13321" width="13" style="441" customWidth="1"/>
    <col min="13322" max="13322" width="15.1796875" style="441" customWidth="1"/>
    <col min="13323" max="13323" width="14.7265625" style="441" customWidth="1"/>
    <col min="13324" max="13324" width="11.1796875" style="441" bestFit="1" customWidth="1"/>
    <col min="13325" max="13566" width="8.7265625" style="441"/>
    <col min="13567" max="13567" width="14.54296875" style="441" customWidth="1"/>
    <col min="13568" max="13569" width="8.7265625" style="441"/>
    <col min="13570" max="13570" width="14.7265625" style="441" customWidth="1"/>
    <col min="13571" max="13571" width="14.26953125" style="441" customWidth="1"/>
    <col min="13572" max="13572" width="13.81640625" style="441" customWidth="1"/>
    <col min="13573" max="13573" width="11.7265625" style="441" customWidth="1"/>
    <col min="13574" max="13574" width="12" style="441" customWidth="1"/>
    <col min="13575" max="13575" width="8.7265625" style="441"/>
    <col min="13576" max="13576" width="13.81640625" style="441" customWidth="1"/>
    <col min="13577" max="13577" width="13" style="441" customWidth="1"/>
    <col min="13578" max="13578" width="15.1796875" style="441" customWidth="1"/>
    <col min="13579" max="13579" width="14.7265625" style="441" customWidth="1"/>
    <col min="13580" max="13580" width="11.1796875" style="441" bestFit="1" customWidth="1"/>
    <col min="13581" max="13822" width="8.7265625" style="441"/>
    <col min="13823" max="13823" width="14.54296875" style="441" customWidth="1"/>
    <col min="13824" max="13825" width="8.7265625" style="441"/>
    <col min="13826" max="13826" width="14.7265625" style="441" customWidth="1"/>
    <col min="13827" max="13827" width="14.26953125" style="441" customWidth="1"/>
    <col min="13828" max="13828" width="13.81640625" style="441" customWidth="1"/>
    <col min="13829" max="13829" width="11.7265625" style="441" customWidth="1"/>
    <col min="13830" max="13830" width="12" style="441" customWidth="1"/>
    <col min="13831" max="13831" width="8.7265625" style="441"/>
    <col min="13832" max="13832" width="13.81640625" style="441" customWidth="1"/>
    <col min="13833" max="13833" width="13" style="441" customWidth="1"/>
    <col min="13834" max="13834" width="15.1796875" style="441" customWidth="1"/>
    <col min="13835" max="13835" width="14.7265625" style="441" customWidth="1"/>
    <col min="13836" max="13836" width="11.1796875" style="441" bestFit="1" customWidth="1"/>
    <col min="13837" max="14078" width="8.7265625" style="441"/>
    <col min="14079" max="14079" width="14.54296875" style="441" customWidth="1"/>
    <col min="14080" max="14081" width="8.7265625" style="441"/>
    <col min="14082" max="14082" width="14.7265625" style="441" customWidth="1"/>
    <col min="14083" max="14083" width="14.26953125" style="441" customWidth="1"/>
    <col min="14084" max="14084" width="13.81640625" style="441" customWidth="1"/>
    <col min="14085" max="14085" width="11.7265625" style="441" customWidth="1"/>
    <col min="14086" max="14086" width="12" style="441" customWidth="1"/>
    <col min="14087" max="14087" width="8.7265625" style="441"/>
    <col min="14088" max="14088" width="13.81640625" style="441" customWidth="1"/>
    <col min="14089" max="14089" width="13" style="441" customWidth="1"/>
    <col min="14090" max="14090" width="15.1796875" style="441" customWidth="1"/>
    <col min="14091" max="14091" width="14.7265625" style="441" customWidth="1"/>
    <col min="14092" max="14092" width="11.1796875" style="441" bestFit="1" customWidth="1"/>
    <col min="14093" max="14334" width="8.7265625" style="441"/>
    <col min="14335" max="14335" width="14.54296875" style="441" customWidth="1"/>
    <col min="14336" max="14337" width="8.7265625" style="441"/>
    <col min="14338" max="14338" width="14.7265625" style="441" customWidth="1"/>
    <col min="14339" max="14339" width="14.26953125" style="441" customWidth="1"/>
    <col min="14340" max="14340" width="13.81640625" style="441" customWidth="1"/>
    <col min="14341" max="14341" width="11.7265625" style="441" customWidth="1"/>
    <col min="14342" max="14342" width="12" style="441" customWidth="1"/>
    <col min="14343" max="14343" width="8.7265625" style="441"/>
    <col min="14344" max="14344" width="13.81640625" style="441" customWidth="1"/>
    <col min="14345" max="14345" width="13" style="441" customWidth="1"/>
    <col min="14346" max="14346" width="15.1796875" style="441" customWidth="1"/>
    <col min="14347" max="14347" width="14.7265625" style="441" customWidth="1"/>
    <col min="14348" max="14348" width="11.1796875" style="441" bestFit="1" customWidth="1"/>
    <col min="14349" max="14590" width="8.7265625" style="441"/>
    <col min="14591" max="14591" width="14.54296875" style="441" customWidth="1"/>
    <col min="14592" max="14593" width="8.7265625" style="441"/>
    <col min="14594" max="14594" width="14.7265625" style="441" customWidth="1"/>
    <col min="14595" max="14595" width="14.26953125" style="441" customWidth="1"/>
    <col min="14596" max="14596" width="13.81640625" style="441" customWidth="1"/>
    <col min="14597" max="14597" width="11.7265625" style="441" customWidth="1"/>
    <col min="14598" max="14598" width="12" style="441" customWidth="1"/>
    <col min="14599" max="14599" width="8.7265625" style="441"/>
    <col min="14600" max="14600" width="13.81640625" style="441" customWidth="1"/>
    <col min="14601" max="14601" width="13" style="441" customWidth="1"/>
    <col min="14602" max="14602" width="15.1796875" style="441" customWidth="1"/>
    <col min="14603" max="14603" width="14.7265625" style="441" customWidth="1"/>
    <col min="14604" max="14604" width="11.1796875" style="441" bestFit="1" customWidth="1"/>
    <col min="14605" max="14846" width="8.7265625" style="441"/>
    <col min="14847" max="14847" width="14.54296875" style="441" customWidth="1"/>
    <col min="14848" max="14849" width="8.7265625" style="441"/>
    <col min="14850" max="14850" width="14.7265625" style="441" customWidth="1"/>
    <col min="14851" max="14851" width="14.26953125" style="441" customWidth="1"/>
    <col min="14852" max="14852" width="13.81640625" style="441" customWidth="1"/>
    <col min="14853" max="14853" width="11.7265625" style="441" customWidth="1"/>
    <col min="14854" max="14854" width="12" style="441" customWidth="1"/>
    <col min="14855" max="14855" width="8.7265625" style="441"/>
    <col min="14856" max="14856" width="13.81640625" style="441" customWidth="1"/>
    <col min="14857" max="14857" width="13" style="441" customWidth="1"/>
    <col min="14858" max="14858" width="15.1796875" style="441" customWidth="1"/>
    <col min="14859" max="14859" width="14.7265625" style="441" customWidth="1"/>
    <col min="14860" max="14860" width="11.1796875" style="441" bestFit="1" customWidth="1"/>
    <col min="14861" max="15102" width="8.7265625" style="441"/>
    <col min="15103" max="15103" width="14.54296875" style="441" customWidth="1"/>
    <col min="15104" max="15105" width="8.7265625" style="441"/>
    <col min="15106" max="15106" width="14.7265625" style="441" customWidth="1"/>
    <col min="15107" max="15107" width="14.26953125" style="441" customWidth="1"/>
    <col min="15108" max="15108" width="13.81640625" style="441" customWidth="1"/>
    <col min="15109" max="15109" width="11.7265625" style="441" customWidth="1"/>
    <col min="15110" max="15110" width="12" style="441" customWidth="1"/>
    <col min="15111" max="15111" width="8.7265625" style="441"/>
    <col min="15112" max="15112" width="13.81640625" style="441" customWidth="1"/>
    <col min="15113" max="15113" width="13" style="441" customWidth="1"/>
    <col min="15114" max="15114" width="15.1796875" style="441" customWidth="1"/>
    <col min="15115" max="15115" width="14.7265625" style="441" customWidth="1"/>
    <col min="15116" max="15116" width="11.1796875" style="441" bestFit="1" customWidth="1"/>
    <col min="15117" max="15358" width="8.7265625" style="441"/>
    <col min="15359" max="15359" width="14.54296875" style="441" customWidth="1"/>
    <col min="15360" max="15361" width="8.7265625" style="441"/>
    <col min="15362" max="15362" width="14.7265625" style="441" customWidth="1"/>
    <col min="15363" max="15363" width="14.26953125" style="441" customWidth="1"/>
    <col min="15364" max="15364" width="13.81640625" style="441" customWidth="1"/>
    <col min="15365" max="15365" width="11.7265625" style="441" customWidth="1"/>
    <col min="15366" max="15366" width="12" style="441" customWidth="1"/>
    <col min="15367" max="15367" width="8.7265625" style="441"/>
    <col min="15368" max="15368" width="13.81640625" style="441" customWidth="1"/>
    <col min="15369" max="15369" width="13" style="441" customWidth="1"/>
    <col min="15370" max="15370" width="15.1796875" style="441" customWidth="1"/>
    <col min="15371" max="15371" width="14.7265625" style="441" customWidth="1"/>
    <col min="15372" max="15372" width="11.1796875" style="441" bestFit="1" customWidth="1"/>
    <col min="15373" max="15614" width="8.7265625" style="441"/>
    <col min="15615" max="15615" width="14.54296875" style="441" customWidth="1"/>
    <col min="15616" max="15617" width="8.7265625" style="441"/>
    <col min="15618" max="15618" width="14.7265625" style="441" customWidth="1"/>
    <col min="15619" max="15619" width="14.26953125" style="441" customWidth="1"/>
    <col min="15620" max="15620" width="13.81640625" style="441" customWidth="1"/>
    <col min="15621" max="15621" width="11.7265625" style="441" customWidth="1"/>
    <col min="15622" max="15622" width="12" style="441" customWidth="1"/>
    <col min="15623" max="15623" width="8.7265625" style="441"/>
    <col min="15624" max="15624" width="13.81640625" style="441" customWidth="1"/>
    <col min="15625" max="15625" width="13" style="441" customWidth="1"/>
    <col min="15626" max="15626" width="15.1796875" style="441" customWidth="1"/>
    <col min="15627" max="15627" width="14.7265625" style="441" customWidth="1"/>
    <col min="15628" max="15628" width="11.1796875" style="441" bestFit="1" customWidth="1"/>
    <col min="15629" max="15870" width="8.7265625" style="441"/>
    <col min="15871" max="15871" width="14.54296875" style="441" customWidth="1"/>
    <col min="15872" max="15873" width="8.7265625" style="441"/>
    <col min="15874" max="15874" width="14.7265625" style="441" customWidth="1"/>
    <col min="15875" max="15875" width="14.26953125" style="441" customWidth="1"/>
    <col min="15876" max="15876" width="13.81640625" style="441" customWidth="1"/>
    <col min="15877" max="15877" width="11.7265625" style="441" customWidth="1"/>
    <col min="15878" max="15878" width="12" style="441" customWidth="1"/>
    <col min="15879" max="15879" width="8.7265625" style="441"/>
    <col min="15880" max="15880" width="13.81640625" style="441" customWidth="1"/>
    <col min="15881" max="15881" width="13" style="441" customWidth="1"/>
    <col min="15882" max="15882" width="15.1796875" style="441" customWidth="1"/>
    <col min="15883" max="15883" width="14.7265625" style="441" customWidth="1"/>
    <col min="15884" max="15884" width="11.1796875" style="441" bestFit="1" customWidth="1"/>
    <col min="15885" max="16126" width="8.7265625" style="441"/>
    <col min="16127" max="16127" width="14.54296875" style="441" customWidth="1"/>
    <col min="16128" max="16129" width="8.7265625" style="441"/>
    <col min="16130" max="16130" width="14.7265625" style="441" customWidth="1"/>
    <col min="16131" max="16131" width="14.26953125" style="441" customWidth="1"/>
    <col min="16132" max="16132" width="13.81640625" style="441" customWidth="1"/>
    <col min="16133" max="16133" width="11.7265625" style="441" customWidth="1"/>
    <col min="16134" max="16134" width="12" style="441" customWidth="1"/>
    <col min="16135" max="16135" width="8.7265625" style="441"/>
    <col min="16136" max="16136" width="13.81640625" style="441" customWidth="1"/>
    <col min="16137" max="16137" width="13" style="441" customWidth="1"/>
    <col min="16138" max="16138" width="15.1796875" style="441" customWidth="1"/>
    <col min="16139" max="16139" width="14.7265625" style="441" customWidth="1"/>
    <col min="16140" max="16140" width="11.1796875" style="441" bestFit="1" customWidth="1"/>
    <col min="16141" max="16384" width="8.7265625" style="441"/>
  </cols>
  <sheetData>
    <row r="4" spans="2:16" ht="12.5">
      <c r="B4" s="1068" t="s">
        <v>555</v>
      </c>
      <c r="C4" s="1068"/>
      <c r="D4" s="1068"/>
      <c r="E4" s="1068"/>
      <c r="F4" s="1068"/>
      <c r="G4" s="1068"/>
      <c r="H4" s="1068"/>
      <c r="I4" s="440" t="s">
        <v>556</v>
      </c>
      <c r="J4" s="1068" t="s">
        <v>557</v>
      </c>
      <c r="K4" s="1068"/>
      <c r="L4" s="1068"/>
      <c r="M4" s="440" t="s">
        <v>558</v>
      </c>
    </row>
    <row r="5" spans="2:16" ht="13">
      <c r="B5" s="442"/>
      <c r="C5" s="443" t="s">
        <v>559</v>
      </c>
      <c r="D5" s="444" t="s">
        <v>560</v>
      </c>
      <c r="E5" s="443" t="s">
        <v>561</v>
      </c>
      <c r="F5" s="444" t="s">
        <v>562</v>
      </c>
      <c r="G5" s="444" t="s">
        <v>563</v>
      </c>
      <c r="H5" s="444" t="s">
        <v>564</v>
      </c>
      <c r="I5" s="445"/>
      <c r="J5" s="446" t="s">
        <v>565</v>
      </c>
      <c r="K5" s="444" t="s">
        <v>566</v>
      </c>
      <c r="L5" s="444" t="s">
        <v>567</v>
      </c>
      <c r="M5" s="445"/>
      <c r="N5" s="447" t="s">
        <v>568</v>
      </c>
      <c r="O5" s="447" t="s">
        <v>569</v>
      </c>
      <c r="P5" s="448" t="s">
        <v>570</v>
      </c>
    </row>
    <row r="6" spans="2:16" ht="13.5" thickBot="1">
      <c r="B6" s="449" t="s">
        <v>571</v>
      </c>
      <c r="C6" s="450"/>
      <c r="D6" s="450"/>
      <c r="E6" s="451"/>
      <c r="F6" s="450"/>
      <c r="G6" s="450"/>
      <c r="H6" s="450"/>
      <c r="I6" s="450"/>
      <c r="J6" s="450"/>
      <c r="K6" s="450"/>
      <c r="L6" s="450"/>
      <c r="M6" s="452"/>
      <c r="N6" s="453" t="s">
        <v>572</v>
      </c>
      <c r="O6" s="453" t="s">
        <v>573</v>
      </c>
      <c r="P6" s="454" t="s">
        <v>574</v>
      </c>
    </row>
    <row r="7" spans="2:16">
      <c r="B7" s="455" t="s">
        <v>575</v>
      </c>
      <c r="C7" s="456">
        <v>44203</v>
      </c>
      <c r="D7" s="457">
        <v>3240</v>
      </c>
      <c r="E7" s="458" t="s">
        <v>576</v>
      </c>
      <c r="F7" s="459">
        <f>G7+H7</f>
        <v>485715000</v>
      </c>
      <c r="G7" s="459">
        <v>485715000</v>
      </c>
      <c r="H7" s="459">
        <v>0</v>
      </c>
      <c r="I7" s="459">
        <f t="shared" ref="I7:I29" si="0">+G7+H7</f>
        <v>485715000</v>
      </c>
      <c r="J7" s="460"/>
      <c r="K7" s="459"/>
      <c r="L7" s="459"/>
      <c r="M7" s="459"/>
      <c r="N7" s="461"/>
      <c r="O7" s="462"/>
      <c r="P7" s="462"/>
    </row>
    <row r="8" spans="2:16">
      <c r="B8" s="455" t="s">
        <v>577</v>
      </c>
      <c r="C8" s="456">
        <v>44203</v>
      </c>
      <c r="D8" s="457">
        <v>3240</v>
      </c>
      <c r="E8" s="458" t="s">
        <v>576</v>
      </c>
      <c r="F8" s="459">
        <f t="shared" ref="F8:F29" si="1">G8+H8</f>
        <v>214285000</v>
      </c>
      <c r="G8" s="459">
        <v>214285000</v>
      </c>
      <c r="H8" s="459">
        <v>0</v>
      </c>
      <c r="I8" s="459">
        <f t="shared" si="0"/>
        <v>214285000</v>
      </c>
      <c r="J8" s="460"/>
      <c r="K8" s="459"/>
      <c r="L8" s="459"/>
      <c r="M8" s="459"/>
      <c r="N8" s="461"/>
      <c r="O8" s="462"/>
      <c r="P8" s="462"/>
    </row>
    <row r="9" spans="2:16">
      <c r="B9" s="455" t="s">
        <v>578</v>
      </c>
      <c r="C9" s="456">
        <v>44208</v>
      </c>
      <c r="D9" s="457">
        <v>180</v>
      </c>
      <c r="E9" s="458" t="s">
        <v>579</v>
      </c>
      <c r="F9" s="459">
        <f t="shared" si="1"/>
        <v>50005000</v>
      </c>
      <c r="G9" s="459">
        <v>49756218.905472644</v>
      </c>
      <c r="H9" s="459">
        <v>248781.09452735633</v>
      </c>
      <c r="I9" s="459">
        <f t="shared" si="0"/>
        <v>50005000</v>
      </c>
      <c r="J9" s="460"/>
      <c r="K9" s="459"/>
      <c r="L9" s="459"/>
      <c r="M9" s="459"/>
      <c r="N9" s="461"/>
      <c r="O9" s="462"/>
      <c r="P9" s="462"/>
    </row>
    <row r="10" spans="2:16">
      <c r="B10" s="455" t="s">
        <v>580</v>
      </c>
      <c r="C10" s="456">
        <v>44208</v>
      </c>
      <c r="D10" s="457">
        <v>180</v>
      </c>
      <c r="E10" s="458" t="s">
        <v>579</v>
      </c>
      <c r="F10" s="459">
        <f t="shared" si="1"/>
        <v>49999000</v>
      </c>
      <c r="G10" s="459">
        <v>49750248.75621891</v>
      </c>
      <c r="H10" s="459">
        <v>248751.24378108978</v>
      </c>
      <c r="I10" s="459">
        <f t="shared" si="0"/>
        <v>49999000</v>
      </c>
      <c r="J10" s="460"/>
      <c r="K10" s="459"/>
      <c r="L10" s="459"/>
      <c r="M10" s="459"/>
      <c r="N10" s="461"/>
      <c r="O10" s="462"/>
      <c r="P10" s="462"/>
    </row>
    <row r="11" spans="2:16">
      <c r="B11" s="455" t="s">
        <v>581</v>
      </c>
      <c r="C11" s="456">
        <v>44208</v>
      </c>
      <c r="D11" s="457">
        <v>180</v>
      </c>
      <c r="E11" s="458" t="s">
        <v>579</v>
      </c>
      <c r="F11" s="459">
        <f t="shared" si="1"/>
        <v>49999000</v>
      </c>
      <c r="G11" s="459">
        <v>49750248.75621891</v>
      </c>
      <c r="H11" s="459">
        <v>248751.24378108978</v>
      </c>
      <c r="I11" s="459">
        <f t="shared" si="0"/>
        <v>49999000</v>
      </c>
      <c r="J11" s="460"/>
      <c r="K11" s="459"/>
      <c r="L11" s="459"/>
      <c r="M11" s="459"/>
      <c r="N11" s="461"/>
      <c r="O11" s="462"/>
      <c r="P11" s="462"/>
    </row>
    <row r="12" spans="2:16">
      <c r="B12" s="455" t="s">
        <v>577</v>
      </c>
      <c r="C12" s="456">
        <v>44208</v>
      </c>
      <c r="D12" s="457">
        <v>180</v>
      </c>
      <c r="E12" s="458" t="s">
        <v>579</v>
      </c>
      <c r="F12" s="459">
        <f t="shared" si="1"/>
        <v>49999000</v>
      </c>
      <c r="G12" s="459">
        <v>49750248.75621891</v>
      </c>
      <c r="H12" s="459">
        <v>248751.24378108978</v>
      </c>
      <c r="I12" s="459">
        <f t="shared" si="0"/>
        <v>49999000</v>
      </c>
      <c r="J12" s="460"/>
      <c r="K12" s="459"/>
      <c r="L12" s="459"/>
      <c r="M12" s="459"/>
      <c r="N12" s="461"/>
      <c r="O12" s="462"/>
      <c r="P12" s="462"/>
    </row>
    <row r="13" spans="2:16">
      <c r="B13" s="455" t="s">
        <v>575</v>
      </c>
      <c r="C13" s="456">
        <v>44208</v>
      </c>
      <c r="D13" s="457">
        <v>180</v>
      </c>
      <c r="E13" s="458" t="s">
        <v>579</v>
      </c>
      <c r="F13" s="459">
        <f t="shared" si="1"/>
        <v>49999000</v>
      </c>
      <c r="G13" s="459">
        <v>49750248.75621891</v>
      </c>
      <c r="H13" s="459">
        <v>248751.24378108978</v>
      </c>
      <c r="I13" s="459">
        <f t="shared" si="0"/>
        <v>49999000</v>
      </c>
      <c r="J13" s="460"/>
      <c r="K13" s="459"/>
      <c r="L13" s="459"/>
      <c r="M13" s="459"/>
      <c r="N13" s="461"/>
      <c r="O13" s="462"/>
      <c r="P13" s="462"/>
    </row>
    <row r="14" spans="2:16">
      <c r="B14" s="455" t="s">
        <v>575</v>
      </c>
      <c r="C14" s="456">
        <v>44211</v>
      </c>
      <c r="D14" s="457">
        <v>720</v>
      </c>
      <c r="E14" s="458" t="s">
        <v>576</v>
      </c>
      <c r="F14" s="459">
        <f t="shared" si="1"/>
        <v>201216000</v>
      </c>
      <c r="G14" s="459">
        <v>201216000</v>
      </c>
      <c r="H14" s="459">
        <v>0</v>
      </c>
      <c r="I14" s="459">
        <f t="shared" si="0"/>
        <v>201216000</v>
      </c>
      <c r="J14" s="460"/>
      <c r="K14" s="459"/>
      <c r="L14" s="459"/>
      <c r="M14" s="459"/>
      <c r="N14" s="461"/>
      <c r="O14" s="462"/>
      <c r="P14" s="462"/>
    </row>
    <row r="15" spans="2:16">
      <c r="B15" s="455" t="s">
        <v>578</v>
      </c>
      <c r="C15" s="456">
        <v>44211</v>
      </c>
      <c r="D15" s="457">
        <v>720</v>
      </c>
      <c r="E15" s="458" t="s">
        <v>576</v>
      </c>
      <c r="F15" s="459">
        <f t="shared" si="1"/>
        <v>43068000</v>
      </c>
      <c r="G15" s="459">
        <v>43068000</v>
      </c>
      <c r="H15" s="459">
        <v>0</v>
      </c>
      <c r="I15" s="459">
        <f t="shared" si="0"/>
        <v>43068000</v>
      </c>
      <c r="J15" s="460"/>
      <c r="K15" s="459"/>
      <c r="L15" s="459"/>
      <c r="M15" s="459"/>
      <c r="N15" s="461"/>
      <c r="O15" s="462"/>
      <c r="P15" s="462"/>
    </row>
    <row r="16" spans="2:16">
      <c r="B16" s="455" t="s">
        <v>577</v>
      </c>
      <c r="C16" s="456">
        <v>44211</v>
      </c>
      <c r="D16" s="457">
        <v>720</v>
      </c>
      <c r="E16" s="458" t="s">
        <v>576</v>
      </c>
      <c r="F16" s="459">
        <f t="shared" si="1"/>
        <v>39576000</v>
      </c>
      <c r="G16" s="459">
        <v>39576000</v>
      </c>
      <c r="H16" s="459">
        <v>0</v>
      </c>
      <c r="I16" s="459">
        <f t="shared" si="0"/>
        <v>39576000</v>
      </c>
      <c r="J16" s="460"/>
      <c r="K16" s="459"/>
      <c r="L16" s="459"/>
      <c r="M16" s="459"/>
      <c r="N16" s="461"/>
      <c r="O16" s="462"/>
      <c r="P16" s="462"/>
    </row>
    <row r="17" spans="2:16">
      <c r="B17" s="455" t="s">
        <v>582</v>
      </c>
      <c r="C17" s="456">
        <v>44211</v>
      </c>
      <c r="D17" s="457">
        <v>720</v>
      </c>
      <c r="E17" s="458" t="s">
        <v>576</v>
      </c>
      <c r="F17" s="459">
        <f t="shared" si="1"/>
        <v>30000000</v>
      </c>
      <c r="G17" s="459">
        <v>30000000</v>
      </c>
      <c r="H17" s="459">
        <v>0</v>
      </c>
      <c r="I17" s="459">
        <f t="shared" si="0"/>
        <v>30000000</v>
      </c>
      <c r="J17" s="460"/>
      <c r="K17" s="459"/>
      <c r="L17" s="459"/>
      <c r="M17" s="459"/>
      <c r="N17" s="461"/>
      <c r="O17" s="462"/>
      <c r="P17" s="462"/>
    </row>
    <row r="18" spans="2:16">
      <c r="B18" s="455" t="s">
        <v>582</v>
      </c>
      <c r="C18" s="456">
        <v>44211</v>
      </c>
      <c r="D18" s="457">
        <v>720</v>
      </c>
      <c r="E18" s="458" t="s">
        <v>576</v>
      </c>
      <c r="F18" s="459">
        <f t="shared" si="1"/>
        <v>5000000</v>
      </c>
      <c r="G18" s="459">
        <v>5000000</v>
      </c>
      <c r="H18" s="459">
        <v>0</v>
      </c>
      <c r="I18" s="459">
        <f t="shared" si="0"/>
        <v>5000000</v>
      </c>
      <c r="J18" s="460"/>
      <c r="K18" s="459"/>
      <c r="L18" s="459"/>
      <c r="M18" s="459"/>
      <c r="N18" s="461"/>
      <c r="O18" s="462"/>
      <c r="P18" s="462"/>
    </row>
    <row r="19" spans="2:16">
      <c r="B19" s="455" t="s">
        <v>583</v>
      </c>
      <c r="C19" s="456">
        <v>44211</v>
      </c>
      <c r="D19" s="457">
        <v>720</v>
      </c>
      <c r="E19" s="458" t="s">
        <v>576</v>
      </c>
      <c r="F19" s="459">
        <f t="shared" si="1"/>
        <v>15000000</v>
      </c>
      <c r="G19" s="459">
        <v>15000000</v>
      </c>
      <c r="H19" s="459">
        <v>0</v>
      </c>
      <c r="I19" s="459">
        <f t="shared" si="0"/>
        <v>15000000</v>
      </c>
      <c r="J19" s="460"/>
      <c r="K19" s="459"/>
      <c r="L19" s="459"/>
      <c r="M19" s="459"/>
      <c r="N19" s="461"/>
      <c r="O19" s="462"/>
      <c r="P19" s="462"/>
    </row>
    <row r="20" spans="2:16">
      <c r="B20" s="455" t="s">
        <v>580</v>
      </c>
      <c r="C20" s="456">
        <v>44215</v>
      </c>
      <c r="D20" s="457">
        <v>270</v>
      </c>
      <c r="E20" s="458" t="s">
        <v>579</v>
      </c>
      <c r="F20" s="459">
        <f t="shared" si="1"/>
        <v>72729000</v>
      </c>
      <c r="G20" s="459">
        <v>72187593.052109182</v>
      </c>
      <c r="H20" s="459">
        <v>541406.94789081812</v>
      </c>
      <c r="I20" s="459">
        <f t="shared" si="0"/>
        <v>72729000</v>
      </c>
      <c r="J20" s="460"/>
      <c r="K20" s="459"/>
      <c r="L20" s="459"/>
      <c r="M20" s="459"/>
      <c r="N20" s="461"/>
      <c r="O20" s="462"/>
      <c r="P20" s="462"/>
    </row>
    <row r="21" spans="2:16">
      <c r="B21" s="455" t="s">
        <v>577</v>
      </c>
      <c r="C21" s="456">
        <v>44215</v>
      </c>
      <c r="D21" s="457">
        <v>270</v>
      </c>
      <c r="E21" s="458" t="s">
        <v>579</v>
      </c>
      <c r="F21" s="459">
        <f t="shared" si="1"/>
        <v>72727000</v>
      </c>
      <c r="G21" s="459">
        <v>72185607.940446645</v>
      </c>
      <c r="H21" s="459">
        <v>541392.05955335498</v>
      </c>
      <c r="I21" s="459">
        <f t="shared" si="0"/>
        <v>72727000</v>
      </c>
      <c r="J21" s="460"/>
      <c r="K21" s="459"/>
      <c r="L21" s="459"/>
      <c r="M21" s="459"/>
      <c r="N21" s="461"/>
      <c r="O21" s="462"/>
      <c r="P21" s="462"/>
    </row>
    <row r="22" spans="2:16">
      <c r="B22" s="455" t="s">
        <v>575</v>
      </c>
      <c r="C22" s="456">
        <v>44215</v>
      </c>
      <c r="D22" s="457">
        <v>270</v>
      </c>
      <c r="E22" s="458" t="s">
        <v>579</v>
      </c>
      <c r="F22" s="459">
        <f t="shared" si="1"/>
        <v>72727000</v>
      </c>
      <c r="G22" s="459">
        <v>72185607.940446645</v>
      </c>
      <c r="H22" s="459">
        <v>541392.05955335498</v>
      </c>
      <c r="I22" s="459">
        <f t="shared" si="0"/>
        <v>72727000</v>
      </c>
      <c r="J22" s="460"/>
      <c r="K22" s="459"/>
      <c r="L22" s="459"/>
      <c r="M22" s="459"/>
      <c r="N22" s="461"/>
      <c r="O22" s="462"/>
      <c r="P22" s="462"/>
    </row>
    <row r="23" spans="2:16">
      <c r="B23" s="455" t="s">
        <v>581</v>
      </c>
      <c r="C23" s="456">
        <v>44215</v>
      </c>
      <c r="D23" s="457">
        <v>270</v>
      </c>
      <c r="E23" s="458" t="s">
        <v>579</v>
      </c>
      <c r="F23" s="459">
        <f t="shared" si="1"/>
        <v>36363000</v>
      </c>
      <c r="G23" s="459">
        <v>36092307.692307688</v>
      </c>
      <c r="H23" s="459">
        <v>270692.3076923117</v>
      </c>
      <c r="I23" s="459">
        <f t="shared" si="0"/>
        <v>36363000</v>
      </c>
      <c r="J23" s="460"/>
      <c r="K23" s="459"/>
      <c r="L23" s="459"/>
      <c r="M23" s="459"/>
      <c r="N23" s="461"/>
      <c r="O23" s="462"/>
      <c r="P23" s="462"/>
    </row>
    <row r="24" spans="2:16">
      <c r="B24" s="455" t="s">
        <v>578</v>
      </c>
      <c r="C24" s="456">
        <v>44215</v>
      </c>
      <c r="D24" s="457">
        <v>270</v>
      </c>
      <c r="E24" s="458" t="s">
        <v>579</v>
      </c>
      <c r="F24" s="459">
        <f t="shared" si="1"/>
        <v>72727000</v>
      </c>
      <c r="G24" s="459">
        <v>72185607.940446645</v>
      </c>
      <c r="H24" s="459">
        <v>541392.05955335498</v>
      </c>
      <c r="I24" s="459">
        <f t="shared" si="0"/>
        <v>72727000</v>
      </c>
      <c r="J24" s="460"/>
      <c r="K24" s="459"/>
      <c r="L24" s="459"/>
      <c r="M24" s="459"/>
      <c r="N24" s="461"/>
      <c r="O24" s="462"/>
      <c r="P24" s="462"/>
    </row>
    <row r="25" spans="2:16">
      <c r="B25" s="455" t="s">
        <v>578</v>
      </c>
      <c r="C25" s="456">
        <v>44218</v>
      </c>
      <c r="D25" s="457">
        <v>1800</v>
      </c>
      <c r="E25" s="458" t="s">
        <v>576</v>
      </c>
      <c r="F25" s="459">
        <f t="shared" si="1"/>
        <v>271264000</v>
      </c>
      <c r="G25" s="459">
        <v>271264000</v>
      </c>
      <c r="H25" s="459">
        <v>0</v>
      </c>
      <c r="I25" s="459">
        <f t="shared" si="0"/>
        <v>271264000</v>
      </c>
      <c r="J25" s="460"/>
      <c r="K25" s="459"/>
      <c r="L25" s="459"/>
      <c r="M25" s="459"/>
      <c r="N25" s="461"/>
      <c r="O25" s="462"/>
      <c r="P25" s="462"/>
    </row>
    <row r="26" spans="2:16">
      <c r="B26" s="455" t="s">
        <v>581</v>
      </c>
      <c r="C26" s="456">
        <v>44218</v>
      </c>
      <c r="D26" s="457">
        <v>1800</v>
      </c>
      <c r="E26" s="458" t="s">
        <v>576</v>
      </c>
      <c r="F26" s="459">
        <f t="shared" si="1"/>
        <v>42103000</v>
      </c>
      <c r="G26" s="459">
        <v>42103000</v>
      </c>
      <c r="H26" s="459">
        <v>0</v>
      </c>
      <c r="I26" s="459">
        <f t="shared" si="0"/>
        <v>42103000</v>
      </c>
      <c r="J26" s="460"/>
      <c r="K26" s="459"/>
      <c r="L26" s="459"/>
      <c r="M26" s="459"/>
      <c r="N26" s="461"/>
      <c r="O26" s="462"/>
      <c r="P26" s="462"/>
    </row>
    <row r="27" spans="2:16">
      <c r="B27" s="455" t="s">
        <v>580</v>
      </c>
      <c r="C27" s="456">
        <v>44218</v>
      </c>
      <c r="D27" s="457">
        <v>1800</v>
      </c>
      <c r="E27" s="458" t="s">
        <v>576</v>
      </c>
      <c r="F27" s="459">
        <f t="shared" si="1"/>
        <v>84633000</v>
      </c>
      <c r="G27" s="459">
        <v>84633000</v>
      </c>
      <c r="H27" s="459">
        <v>0</v>
      </c>
      <c r="I27" s="459">
        <f t="shared" si="0"/>
        <v>84633000</v>
      </c>
      <c r="J27" s="460"/>
      <c r="K27" s="459"/>
      <c r="L27" s="459"/>
      <c r="M27" s="459"/>
      <c r="N27" s="461"/>
      <c r="O27" s="462"/>
      <c r="P27" s="462"/>
    </row>
    <row r="28" spans="2:16">
      <c r="B28" s="455" t="s">
        <v>583</v>
      </c>
      <c r="C28" s="456">
        <v>44218</v>
      </c>
      <c r="D28" s="457">
        <v>1800</v>
      </c>
      <c r="E28" s="458" t="s">
        <v>576</v>
      </c>
      <c r="F28" s="459">
        <f t="shared" si="1"/>
        <v>10000000</v>
      </c>
      <c r="G28" s="459">
        <v>10000000</v>
      </c>
      <c r="H28" s="459">
        <v>0</v>
      </c>
      <c r="I28" s="459">
        <f t="shared" si="0"/>
        <v>10000000</v>
      </c>
      <c r="J28" s="460"/>
      <c r="K28" s="459"/>
      <c r="L28" s="459"/>
      <c r="M28" s="459"/>
      <c r="N28" s="461"/>
      <c r="O28" s="462"/>
      <c r="P28" s="462"/>
    </row>
    <row r="29" spans="2:16">
      <c r="B29" s="455" t="s">
        <v>582</v>
      </c>
      <c r="C29" s="456">
        <v>44218</v>
      </c>
      <c r="D29" s="457">
        <v>1800</v>
      </c>
      <c r="E29" s="458" t="s">
        <v>576</v>
      </c>
      <c r="F29" s="459">
        <f t="shared" si="1"/>
        <v>30000000</v>
      </c>
      <c r="G29" s="459">
        <v>30000000</v>
      </c>
      <c r="H29" s="459">
        <v>0</v>
      </c>
      <c r="I29" s="459">
        <f t="shared" si="0"/>
        <v>30000000</v>
      </c>
      <c r="J29" s="460"/>
      <c r="K29" s="459"/>
      <c r="L29" s="459"/>
      <c r="M29" s="459"/>
      <c r="N29" s="461"/>
      <c r="O29" s="462"/>
      <c r="P29" s="462"/>
    </row>
    <row r="30" spans="2:16">
      <c r="B30" s="455" t="s">
        <v>575</v>
      </c>
      <c r="C30" s="463"/>
      <c r="D30" s="464"/>
      <c r="E30" s="458" t="s">
        <v>576</v>
      </c>
      <c r="F30" s="459"/>
      <c r="G30" s="465"/>
      <c r="H30" s="465"/>
      <c r="I30" s="465"/>
      <c r="J30" s="456">
        <v>44200</v>
      </c>
      <c r="K30" s="459">
        <v>0</v>
      </c>
      <c r="L30" s="459">
        <v>4668958</v>
      </c>
      <c r="M30" s="459">
        <f t="shared" ref="M30:M81" si="2">+K30+L30</f>
        <v>4668958</v>
      </c>
      <c r="N30" s="461"/>
      <c r="O30" s="462"/>
      <c r="P30" s="462"/>
    </row>
    <row r="31" spans="2:16">
      <c r="B31" s="455" t="s">
        <v>584</v>
      </c>
      <c r="C31" s="463"/>
      <c r="D31" s="464"/>
      <c r="E31" s="458" t="s">
        <v>576</v>
      </c>
      <c r="F31" s="459"/>
      <c r="G31" s="465"/>
      <c r="H31" s="465"/>
      <c r="I31" s="465"/>
      <c r="J31" s="456">
        <v>44200</v>
      </c>
      <c r="K31" s="459">
        <v>0</v>
      </c>
      <c r="L31" s="459">
        <v>36724</v>
      </c>
      <c r="M31" s="459">
        <f t="shared" si="2"/>
        <v>36724</v>
      </c>
      <c r="N31" s="461"/>
      <c r="O31" s="462"/>
      <c r="P31" s="462"/>
    </row>
    <row r="32" spans="2:16">
      <c r="B32" s="455" t="s">
        <v>580</v>
      </c>
      <c r="C32" s="463"/>
      <c r="D32" s="464"/>
      <c r="E32" s="458" t="s">
        <v>576</v>
      </c>
      <c r="F32" s="459"/>
      <c r="G32" s="465"/>
      <c r="H32" s="465"/>
      <c r="I32" s="465"/>
      <c r="J32" s="456">
        <v>44200</v>
      </c>
      <c r="K32" s="459">
        <v>0</v>
      </c>
      <c r="L32" s="459">
        <v>3632824</v>
      </c>
      <c r="M32" s="459">
        <f t="shared" si="2"/>
        <v>3632824</v>
      </c>
      <c r="N32" s="461"/>
      <c r="O32" s="462"/>
      <c r="P32" s="462"/>
    </row>
    <row r="33" spans="2:16">
      <c r="B33" s="455" t="s">
        <v>577</v>
      </c>
      <c r="C33" s="463"/>
      <c r="D33" s="464"/>
      <c r="E33" s="458" t="s">
        <v>576</v>
      </c>
      <c r="F33" s="459"/>
      <c r="G33" s="465"/>
      <c r="H33" s="465"/>
      <c r="I33" s="465"/>
      <c r="J33" s="456">
        <v>44200</v>
      </c>
      <c r="K33" s="459">
        <v>0</v>
      </c>
      <c r="L33" s="459">
        <v>21887800</v>
      </c>
      <c r="M33" s="459">
        <f t="shared" si="2"/>
        <v>21887800</v>
      </c>
      <c r="N33" s="461"/>
      <c r="O33" s="462"/>
      <c r="P33" s="462"/>
    </row>
    <row r="34" spans="2:16">
      <c r="B34" s="455" t="s">
        <v>580</v>
      </c>
      <c r="C34" s="463"/>
      <c r="D34" s="464"/>
      <c r="E34" s="458" t="s">
        <v>576</v>
      </c>
      <c r="F34" s="459"/>
      <c r="G34" s="465"/>
      <c r="H34" s="465"/>
      <c r="I34" s="465"/>
      <c r="J34" s="456">
        <v>44204</v>
      </c>
      <c r="K34" s="459">
        <v>0</v>
      </c>
      <c r="L34" s="459">
        <v>6762525</v>
      </c>
      <c r="M34" s="459">
        <f t="shared" si="2"/>
        <v>6762525</v>
      </c>
      <c r="N34" s="461"/>
      <c r="O34" s="462"/>
      <c r="P34" s="462"/>
    </row>
    <row r="35" spans="2:16">
      <c r="B35" s="455" t="s">
        <v>575</v>
      </c>
      <c r="C35" s="463"/>
      <c r="D35" s="464"/>
      <c r="E35" s="458" t="s">
        <v>576</v>
      </c>
      <c r="F35" s="459"/>
      <c r="G35" s="465"/>
      <c r="H35" s="465"/>
      <c r="I35" s="465"/>
      <c r="J35" s="456">
        <v>44204</v>
      </c>
      <c r="K35" s="459">
        <v>0</v>
      </c>
      <c r="L35" s="459">
        <v>5624975</v>
      </c>
      <c r="M35" s="459">
        <f t="shared" si="2"/>
        <v>5624975</v>
      </c>
      <c r="N35" s="461"/>
      <c r="O35" s="462"/>
      <c r="P35" s="462"/>
    </row>
    <row r="36" spans="2:16">
      <c r="B36" s="455" t="s">
        <v>575</v>
      </c>
      <c r="C36" s="463"/>
      <c r="D36" s="464"/>
      <c r="E36" s="458" t="s">
        <v>576</v>
      </c>
      <c r="F36" s="459"/>
      <c r="G36" s="465"/>
      <c r="H36" s="465"/>
      <c r="I36" s="465"/>
      <c r="J36" s="456">
        <v>44204</v>
      </c>
      <c r="K36" s="466">
        <v>224999000</v>
      </c>
      <c r="L36" s="466">
        <v>0</v>
      </c>
      <c r="M36" s="466">
        <f t="shared" si="2"/>
        <v>224999000</v>
      </c>
      <c r="N36" s="461"/>
      <c r="O36" s="462"/>
      <c r="P36" s="462"/>
    </row>
    <row r="37" spans="2:16">
      <c r="B37" s="455" t="s">
        <v>580</v>
      </c>
      <c r="C37" s="463"/>
      <c r="D37" s="464"/>
      <c r="E37" s="458" t="s">
        <v>576</v>
      </c>
      <c r="F37" s="459"/>
      <c r="G37" s="465"/>
      <c r="H37" s="465"/>
      <c r="I37" s="465"/>
      <c r="J37" s="456">
        <v>44204</v>
      </c>
      <c r="K37" s="466">
        <v>270501000</v>
      </c>
      <c r="L37" s="466">
        <v>0</v>
      </c>
      <c r="M37" s="466">
        <f t="shared" si="2"/>
        <v>270501000</v>
      </c>
      <c r="N37" s="461"/>
      <c r="O37" s="462"/>
      <c r="P37" s="462"/>
    </row>
    <row r="38" spans="2:16">
      <c r="B38" s="455" t="s">
        <v>577</v>
      </c>
      <c r="C38" s="463"/>
      <c r="D38" s="464"/>
      <c r="E38" s="458" t="s">
        <v>576</v>
      </c>
      <c r="F38" s="459"/>
      <c r="G38" s="465"/>
      <c r="H38" s="465"/>
      <c r="I38" s="465"/>
      <c r="J38" s="456">
        <v>44207</v>
      </c>
      <c r="K38" s="459">
        <v>0</v>
      </c>
      <c r="L38" s="459">
        <v>8932500</v>
      </c>
      <c r="M38" s="459">
        <f t="shared" si="2"/>
        <v>8932500</v>
      </c>
      <c r="N38" s="461"/>
      <c r="O38" s="462"/>
      <c r="P38" s="462"/>
    </row>
    <row r="39" spans="2:16">
      <c r="B39" s="455" t="s">
        <v>575</v>
      </c>
      <c r="C39" s="463"/>
      <c r="D39" s="464"/>
      <c r="E39" s="458" t="s">
        <v>576</v>
      </c>
      <c r="F39" s="459"/>
      <c r="G39" s="465"/>
      <c r="H39" s="465"/>
      <c r="I39" s="465"/>
      <c r="J39" s="456">
        <v>44207</v>
      </c>
      <c r="K39" s="459">
        <v>0</v>
      </c>
      <c r="L39" s="459">
        <v>10625000</v>
      </c>
      <c r="M39" s="459">
        <f t="shared" si="2"/>
        <v>10625000</v>
      </c>
      <c r="N39" s="461"/>
      <c r="O39" s="462"/>
      <c r="P39" s="462"/>
    </row>
    <row r="40" spans="2:16">
      <c r="B40" s="455" t="s">
        <v>575</v>
      </c>
      <c r="C40" s="463"/>
      <c r="D40" s="464"/>
      <c r="E40" s="458" t="s">
        <v>576</v>
      </c>
      <c r="F40" s="459"/>
      <c r="G40" s="465"/>
      <c r="H40" s="465"/>
      <c r="I40" s="465"/>
      <c r="J40" s="456">
        <v>44208</v>
      </c>
      <c r="K40" s="459">
        <v>0</v>
      </c>
      <c r="L40" s="459">
        <v>9010938</v>
      </c>
      <c r="M40" s="459">
        <f t="shared" si="2"/>
        <v>9010938</v>
      </c>
      <c r="N40" s="461"/>
      <c r="O40" s="462"/>
      <c r="P40" s="462"/>
    </row>
    <row r="41" spans="2:16">
      <c r="B41" s="455" t="s">
        <v>582</v>
      </c>
      <c r="C41" s="463"/>
      <c r="D41" s="464"/>
      <c r="E41" s="458" t="s">
        <v>576</v>
      </c>
      <c r="F41" s="459"/>
      <c r="G41" s="465"/>
      <c r="H41" s="465"/>
      <c r="I41" s="465"/>
      <c r="J41" s="456">
        <v>44208</v>
      </c>
      <c r="K41" s="459">
        <v>0</v>
      </c>
      <c r="L41" s="459">
        <v>33281</v>
      </c>
      <c r="M41" s="459">
        <f t="shared" si="2"/>
        <v>33281</v>
      </c>
      <c r="N41" s="461"/>
      <c r="O41" s="462"/>
      <c r="P41" s="462"/>
    </row>
    <row r="42" spans="2:16">
      <c r="B42" s="455" t="s">
        <v>575</v>
      </c>
      <c r="C42" s="463"/>
      <c r="D42" s="464"/>
      <c r="E42" s="458" t="s">
        <v>576</v>
      </c>
      <c r="F42" s="459"/>
      <c r="G42" s="465"/>
      <c r="H42" s="465"/>
      <c r="I42" s="465"/>
      <c r="J42" s="456">
        <v>44208</v>
      </c>
      <c r="K42" s="459">
        <v>0</v>
      </c>
      <c r="L42" s="459">
        <v>6343768</v>
      </c>
      <c r="M42" s="459">
        <f t="shared" si="2"/>
        <v>6343768</v>
      </c>
      <c r="N42" s="461"/>
      <c r="O42" s="462"/>
      <c r="P42" s="462"/>
    </row>
    <row r="43" spans="2:16">
      <c r="B43" s="455" t="s">
        <v>575</v>
      </c>
      <c r="C43" s="463"/>
      <c r="D43" s="464"/>
      <c r="E43" s="458" t="s">
        <v>576</v>
      </c>
      <c r="F43" s="459"/>
      <c r="G43" s="465"/>
      <c r="H43" s="465"/>
      <c r="I43" s="465"/>
      <c r="J43" s="456">
        <v>44208</v>
      </c>
      <c r="K43" s="459">
        <v>0</v>
      </c>
      <c r="L43" s="459">
        <v>1893860</v>
      </c>
      <c r="M43" s="459">
        <f t="shared" si="2"/>
        <v>1893860</v>
      </c>
      <c r="N43" s="461"/>
      <c r="O43" s="462"/>
      <c r="P43" s="462"/>
    </row>
    <row r="44" spans="2:16">
      <c r="B44" s="455" t="s">
        <v>585</v>
      </c>
      <c r="C44" s="463"/>
      <c r="D44" s="464"/>
      <c r="E44" s="458" t="s">
        <v>576</v>
      </c>
      <c r="F44" s="459"/>
      <c r="G44" s="465"/>
      <c r="H44" s="465"/>
      <c r="I44" s="465"/>
      <c r="J44" s="456">
        <v>44208</v>
      </c>
      <c r="K44" s="459">
        <v>0</v>
      </c>
      <c r="L44" s="459">
        <v>6552302</v>
      </c>
      <c r="M44" s="459">
        <f t="shared" si="2"/>
        <v>6552302</v>
      </c>
      <c r="N44" s="461"/>
      <c r="O44" s="462"/>
      <c r="P44" s="462"/>
    </row>
    <row r="45" spans="2:16">
      <c r="B45" s="455" t="s">
        <v>582</v>
      </c>
      <c r="C45" s="463"/>
      <c r="D45" s="464"/>
      <c r="E45" s="458" t="s">
        <v>576</v>
      </c>
      <c r="F45" s="459"/>
      <c r="G45" s="465"/>
      <c r="H45" s="465"/>
      <c r="I45" s="465"/>
      <c r="J45" s="456">
        <v>44210</v>
      </c>
      <c r="K45" s="459">
        <v>0</v>
      </c>
      <c r="L45" s="459">
        <v>143438</v>
      </c>
      <c r="M45" s="459">
        <f t="shared" si="2"/>
        <v>143438</v>
      </c>
      <c r="N45" s="461"/>
      <c r="O45" s="462"/>
      <c r="P45" s="462"/>
    </row>
    <row r="46" spans="2:16">
      <c r="B46" s="455" t="s">
        <v>582</v>
      </c>
      <c r="C46" s="463"/>
      <c r="D46" s="464"/>
      <c r="E46" s="458" t="s">
        <v>576</v>
      </c>
      <c r="F46" s="459"/>
      <c r="G46" s="465"/>
      <c r="H46" s="465"/>
      <c r="I46" s="465"/>
      <c r="J46" s="456">
        <v>44210</v>
      </c>
      <c r="K46" s="459">
        <v>0</v>
      </c>
      <c r="L46" s="459">
        <v>108281</v>
      </c>
      <c r="M46" s="459">
        <f t="shared" si="2"/>
        <v>108281</v>
      </c>
      <c r="N46" s="461"/>
      <c r="O46" s="462"/>
      <c r="P46" s="462"/>
    </row>
    <row r="47" spans="2:16">
      <c r="B47" s="455" t="s">
        <v>585</v>
      </c>
      <c r="C47" s="463"/>
      <c r="D47" s="464"/>
      <c r="E47" s="458" t="s">
        <v>576</v>
      </c>
      <c r="F47" s="459"/>
      <c r="G47" s="465"/>
      <c r="H47" s="465"/>
      <c r="I47" s="465"/>
      <c r="J47" s="456">
        <v>44210</v>
      </c>
      <c r="K47" s="459">
        <v>0</v>
      </c>
      <c r="L47" s="459">
        <v>6115247</v>
      </c>
      <c r="M47" s="459">
        <f t="shared" si="2"/>
        <v>6115247</v>
      </c>
      <c r="N47" s="461"/>
      <c r="O47" s="462"/>
      <c r="P47" s="462"/>
    </row>
    <row r="48" spans="2:16">
      <c r="B48" s="455" t="s">
        <v>577</v>
      </c>
      <c r="C48" s="463"/>
      <c r="D48" s="464"/>
      <c r="E48" s="458" t="s">
        <v>576</v>
      </c>
      <c r="F48" s="459"/>
      <c r="G48" s="465"/>
      <c r="H48" s="465"/>
      <c r="I48" s="465"/>
      <c r="J48" s="456">
        <v>44210</v>
      </c>
      <c r="K48" s="459">
        <v>0</v>
      </c>
      <c r="L48" s="459">
        <v>11910938</v>
      </c>
      <c r="M48" s="459">
        <f t="shared" si="2"/>
        <v>11910938</v>
      </c>
      <c r="N48" s="461"/>
      <c r="O48" s="462"/>
      <c r="P48" s="462"/>
    </row>
    <row r="49" spans="2:16">
      <c r="B49" s="455" t="s">
        <v>586</v>
      </c>
      <c r="C49" s="463"/>
      <c r="D49" s="464"/>
      <c r="E49" s="458" t="s">
        <v>576</v>
      </c>
      <c r="F49" s="459"/>
      <c r="G49" s="465"/>
      <c r="H49" s="465"/>
      <c r="I49" s="465"/>
      <c r="J49" s="456">
        <v>44210</v>
      </c>
      <c r="K49" s="459">
        <v>0</v>
      </c>
      <c r="L49" s="459">
        <v>38125</v>
      </c>
      <c r="M49" s="459">
        <f t="shared" si="2"/>
        <v>38125</v>
      </c>
      <c r="N49" s="461"/>
      <c r="O49" s="462"/>
      <c r="P49" s="462"/>
    </row>
    <row r="50" spans="2:16">
      <c r="B50" s="455" t="s">
        <v>586</v>
      </c>
      <c r="C50" s="463"/>
      <c r="D50" s="464"/>
      <c r="E50" s="458" t="s">
        <v>576</v>
      </c>
      <c r="F50" s="459"/>
      <c r="G50" s="465"/>
      <c r="H50" s="465"/>
      <c r="I50" s="465"/>
      <c r="J50" s="456">
        <v>44210</v>
      </c>
      <c r="K50" s="459">
        <v>0</v>
      </c>
      <c r="L50" s="459">
        <v>32406</v>
      </c>
      <c r="M50" s="459">
        <f t="shared" si="2"/>
        <v>32406</v>
      </c>
      <c r="N50" s="461"/>
      <c r="O50" s="462"/>
      <c r="P50" s="462"/>
    </row>
    <row r="51" spans="2:16">
      <c r="B51" s="455" t="s">
        <v>577</v>
      </c>
      <c r="C51" s="463"/>
      <c r="D51" s="464"/>
      <c r="E51" s="458" t="s">
        <v>576</v>
      </c>
      <c r="F51" s="459"/>
      <c r="G51" s="465"/>
      <c r="H51" s="465"/>
      <c r="I51" s="465"/>
      <c r="J51" s="456">
        <v>44214</v>
      </c>
      <c r="K51" s="459">
        <v>0</v>
      </c>
      <c r="L51" s="459">
        <v>2684825</v>
      </c>
      <c r="M51" s="459">
        <f t="shared" si="2"/>
        <v>2684825</v>
      </c>
      <c r="N51" s="461"/>
      <c r="O51" s="462"/>
      <c r="P51" s="462"/>
    </row>
    <row r="52" spans="2:16">
      <c r="B52" s="455" t="s">
        <v>585</v>
      </c>
      <c r="C52" s="463"/>
      <c r="D52" s="464"/>
      <c r="E52" s="458" t="s">
        <v>576</v>
      </c>
      <c r="F52" s="459"/>
      <c r="G52" s="465"/>
      <c r="H52" s="465"/>
      <c r="I52" s="465"/>
      <c r="J52" s="456">
        <v>44214</v>
      </c>
      <c r="K52" s="459">
        <v>0</v>
      </c>
      <c r="L52" s="459">
        <v>2617408</v>
      </c>
      <c r="M52" s="459">
        <f t="shared" si="2"/>
        <v>2617408</v>
      </c>
      <c r="N52" s="461"/>
      <c r="O52" s="462"/>
      <c r="P52" s="462"/>
    </row>
    <row r="53" spans="2:16">
      <c r="B53" s="455" t="s">
        <v>577</v>
      </c>
      <c r="C53" s="463"/>
      <c r="D53" s="464"/>
      <c r="E53" s="458" t="s">
        <v>576</v>
      </c>
      <c r="F53" s="459"/>
      <c r="G53" s="465"/>
      <c r="H53" s="465"/>
      <c r="I53" s="465"/>
      <c r="J53" s="456">
        <v>44214</v>
      </c>
      <c r="K53" s="459">
        <v>0</v>
      </c>
      <c r="L53" s="459">
        <v>5664062</v>
      </c>
      <c r="M53" s="459">
        <f t="shared" si="2"/>
        <v>5664062</v>
      </c>
      <c r="N53" s="461"/>
      <c r="O53" s="462"/>
      <c r="P53" s="462"/>
    </row>
    <row r="54" spans="2:16">
      <c r="B54" s="455" t="s">
        <v>585</v>
      </c>
      <c r="C54" s="463"/>
      <c r="D54" s="464"/>
      <c r="E54" s="458" t="s">
        <v>576</v>
      </c>
      <c r="F54" s="459"/>
      <c r="G54" s="465"/>
      <c r="H54" s="465"/>
      <c r="I54" s="465"/>
      <c r="J54" s="456">
        <v>44214</v>
      </c>
      <c r="K54" s="459">
        <v>0</v>
      </c>
      <c r="L54" s="459">
        <v>2599066</v>
      </c>
      <c r="M54" s="459">
        <f t="shared" si="2"/>
        <v>2599066</v>
      </c>
      <c r="N54" s="461"/>
      <c r="O54" s="462"/>
      <c r="P54" s="462"/>
    </row>
    <row r="55" spans="2:16">
      <c r="B55" s="455" t="s">
        <v>575</v>
      </c>
      <c r="C55" s="463"/>
      <c r="D55" s="464"/>
      <c r="E55" s="458" t="s">
        <v>576</v>
      </c>
      <c r="F55" s="459"/>
      <c r="G55" s="465"/>
      <c r="H55" s="465"/>
      <c r="I55" s="465"/>
      <c r="J55" s="456">
        <v>44214</v>
      </c>
      <c r="K55" s="459">
        <v>0</v>
      </c>
      <c r="L55" s="459">
        <v>8510267</v>
      </c>
      <c r="M55" s="459">
        <f t="shared" si="2"/>
        <v>8510267</v>
      </c>
      <c r="N55" s="461"/>
      <c r="O55" s="462"/>
      <c r="P55" s="462"/>
    </row>
    <row r="56" spans="2:16">
      <c r="B56" s="455" t="s">
        <v>577</v>
      </c>
      <c r="C56" s="463"/>
      <c r="D56" s="464"/>
      <c r="E56" s="458" t="s">
        <v>576</v>
      </c>
      <c r="F56" s="459"/>
      <c r="G56" s="465"/>
      <c r="H56" s="465"/>
      <c r="I56" s="465"/>
      <c r="J56" s="456">
        <v>44214</v>
      </c>
      <c r="K56" s="459">
        <v>0</v>
      </c>
      <c r="L56" s="459">
        <v>5851177</v>
      </c>
      <c r="M56" s="459">
        <f t="shared" si="2"/>
        <v>5851177</v>
      </c>
      <c r="N56" s="461"/>
      <c r="O56" s="462"/>
      <c r="P56" s="462"/>
    </row>
    <row r="57" spans="2:16">
      <c r="B57" s="455" t="s">
        <v>580</v>
      </c>
      <c r="C57" s="463"/>
      <c r="D57" s="464"/>
      <c r="E57" s="458" t="s">
        <v>576</v>
      </c>
      <c r="F57" s="459"/>
      <c r="G57" s="465"/>
      <c r="H57" s="465"/>
      <c r="I57" s="465"/>
      <c r="J57" s="456">
        <v>44214</v>
      </c>
      <c r="K57" s="459">
        <v>0</v>
      </c>
      <c r="L57" s="459">
        <v>2599133</v>
      </c>
      <c r="M57" s="459">
        <f t="shared" si="2"/>
        <v>2599133</v>
      </c>
      <c r="N57" s="461"/>
      <c r="O57" s="462"/>
      <c r="P57" s="462"/>
    </row>
    <row r="58" spans="2:16">
      <c r="B58" s="455" t="s">
        <v>580</v>
      </c>
      <c r="C58" s="463"/>
      <c r="D58" s="464"/>
      <c r="E58" s="458" t="s">
        <v>576</v>
      </c>
      <c r="F58" s="459"/>
      <c r="G58" s="465"/>
      <c r="H58" s="465"/>
      <c r="I58" s="465"/>
      <c r="J58" s="456">
        <v>44214</v>
      </c>
      <c r="K58" s="459">
        <v>0</v>
      </c>
      <c r="L58" s="459">
        <v>3398438</v>
      </c>
      <c r="M58" s="459">
        <f t="shared" si="2"/>
        <v>3398438</v>
      </c>
      <c r="N58" s="461"/>
      <c r="O58" s="462"/>
      <c r="P58" s="462"/>
    </row>
    <row r="59" spans="2:16">
      <c r="B59" s="455" t="s">
        <v>585</v>
      </c>
      <c r="C59" s="463"/>
      <c r="D59" s="464"/>
      <c r="E59" s="458" t="s">
        <v>576</v>
      </c>
      <c r="F59" s="459"/>
      <c r="G59" s="465"/>
      <c r="H59" s="465"/>
      <c r="I59" s="465"/>
      <c r="J59" s="456">
        <v>44214</v>
      </c>
      <c r="K59" s="459">
        <v>0</v>
      </c>
      <c r="L59" s="459">
        <v>2441221</v>
      </c>
      <c r="M59" s="459">
        <f t="shared" si="2"/>
        <v>2441221</v>
      </c>
      <c r="N59" s="461"/>
      <c r="O59" s="462"/>
      <c r="P59" s="462"/>
    </row>
    <row r="60" spans="2:16">
      <c r="B60" s="455" t="s">
        <v>575</v>
      </c>
      <c r="C60" s="463"/>
      <c r="D60" s="464"/>
      <c r="E60" s="458" t="s">
        <v>576</v>
      </c>
      <c r="F60" s="459"/>
      <c r="G60" s="465"/>
      <c r="H60" s="465"/>
      <c r="I60" s="465"/>
      <c r="J60" s="456">
        <v>44214</v>
      </c>
      <c r="K60" s="459">
        <v>0</v>
      </c>
      <c r="L60" s="459">
        <v>8951279</v>
      </c>
      <c r="M60" s="459">
        <f t="shared" si="2"/>
        <v>8951279</v>
      </c>
      <c r="N60" s="461"/>
      <c r="O60" s="462"/>
      <c r="P60" s="462"/>
    </row>
    <row r="61" spans="2:16">
      <c r="B61" s="455" t="s">
        <v>585</v>
      </c>
      <c r="C61" s="463"/>
      <c r="D61" s="464"/>
      <c r="E61" s="458" t="s">
        <v>576</v>
      </c>
      <c r="F61" s="459"/>
      <c r="G61" s="465"/>
      <c r="H61" s="465"/>
      <c r="I61" s="465"/>
      <c r="J61" s="456">
        <v>44214</v>
      </c>
      <c r="K61" s="466">
        <v>83999000</v>
      </c>
      <c r="L61" s="466">
        <v>0</v>
      </c>
      <c r="M61" s="466">
        <f t="shared" si="2"/>
        <v>83999000</v>
      </c>
      <c r="N61" s="461"/>
      <c r="O61" s="462"/>
      <c r="P61" s="462"/>
    </row>
    <row r="62" spans="2:16">
      <c r="B62" s="455" t="s">
        <v>575</v>
      </c>
      <c r="C62" s="463"/>
      <c r="D62" s="464"/>
      <c r="E62" s="458" t="s">
        <v>576</v>
      </c>
      <c r="F62" s="459"/>
      <c r="G62" s="465"/>
      <c r="H62" s="465"/>
      <c r="I62" s="465"/>
      <c r="J62" s="456">
        <v>44214</v>
      </c>
      <c r="K62" s="466">
        <v>308001000</v>
      </c>
      <c r="L62" s="466">
        <v>0</v>
      </c>
      <c r="M62" s="466">
        <f t="shared" si="2"/>
        <v>308001000</v>
      </c>
      <c r="N62" s="461"/>
      <c r="O62" s="462"/>
      <c r="P62" s="462"/>
    </row>
    <row r="63" spans="2:16">
      <c r="B63" s="455" t="s">
        <v>580</v>
      </c>
      <c r="C63" s="463"/>
      <c r="D63" s="464"/>
      <c r="E63" s="458" t="s">
        <v>576</v>
      </c>
      <c r="F63" s="459"/>
      <c r="G63" s="465"/>
      <c r="H63" s="465"/>
      <c r="I63" s="465"/>
      <c r="J63" s="456">
        <v>44217</v>
      </c>
      <c r="K63" s="459">
        <v>0</v>
      </c>
      <c r="L63" s="459">
        <v>7006250</v>
      </c>
      <c r="M63" s="459">
        <f t="shared" si="2"/>
        <v>7006250</v>
      </c>
      <c r="N63" s="461"/>
      <c r="O63" s="462"/>
      <c r="P63" s="462"/>
    </row>
    <row r="64" spans="2:16">
      <c r="B64" s="455" t="s">
        <v>577</v>
      </c>
      <c r="C64" s="463"/>
      <c r="D64" s="464"/>
      <c r="E64" s="458" t="s">
        <v>576</v>
      </c>
      <c r="F64" s="459"/>
      <c r="G64" s="465"/>
      <c r="H64" s="465"/>
      <c r="I64" s="465"/>
      <c r="J64" s="456">
        <v>44217</v>
      </c>
      <c r="K64" s="459">
        <v>0</v>
      </c>
      <c r="L64" s="459">
        <v>5925258</v>
      </c>
      <c r="M64" s="459">
        <f t="shared" si="2"/>
        <v>5925258</v>
      </c>
      <c r="N64" s="461"/>
      <c r="O64" s="462"/>
      <c r="P64" s="462"/>
    </row>
    <row r="65" spans="2:16">
      <c r="B65" s="455" t="s">
        <v>587</v>
      </c>
      <c r="C65" s="463"/>
      <c r="D65" s="464"/>
      <c r="E65" s="458" t="s">
        <v>576</v>
      </c>
      <c r="F65" s="459"/>
      <c r="G65" s="465"/>
      <c r="H65" s="465"/>
      <c r="I65" s="465"/>
      <c r="J65" s="456">
        <v>44217</v>
      </c>
      <c r="K65" s="459">
        <v>0</v>
      </c>
      <c r="L65" s="459">
        <v>5563</v>
      </c>
      <c r="M65" s="459">
        <f t="shared" si="2"/>
        <v>5563</v>
      </c>
      <c r="N65" s="461"/>
      <c r="O65" s="462"/>
      <c r="P65" s="462"/>
    </row>
    <row r="66" spans="2:16">
      <c r="B66" s="455" t="s">
        <v>586</v>
      </c>
      <c r="C66" s="463"/>
      <c r="D66" s="464"/>
      <c r="E66" s="458" t="s">
        <v>576</v>
      </c>
      <c r="F66" s="459"/>
      <c r="G66" s="465"/>
      <c r="H66" s="465"/>
      <c r="I66" s="465"/>
      <c r="J66" s="456">
        <v>44217</v>
      </c>
      <c r="K66" s="459">
        <v>0</v>
      </c>
      <c r="L66" s="459">
        <v>3563</v>
      </c>
      <c r="M66" s="459">
        <f t="shared" si="2"/>
        <v>3563</v>
      </c>
      <c r="N66" s="461"/>
      <c r="O66" s="462"/>
      <c r="P66" s="462"/>
    </row>
    <row r="67" spans="2:16">
      <c r="B67" s="455" t="s">
        <v>584</v>
      </c>
      <c r="C67" s="463"/>
      <c r="D67" s="464"/>
      <c r="E67" s="458" t="s">
        <v>576</v>
      </c>
      <c r="F67" s="459"/>
      <c r="G67" s="465"/>
      <c r="H67" s="465"/>
      <c r="I67" s="465"/>
      <c r="J67" s="456">
        <v>44221</v>
      </c>
      <c r="K67" s="459">
        <v>0</v>
      </c>
      <c r="L67" s="459">
        <v>513124</v>
      </c>
      <c r="M67" s="459">
        <f t="shared" si="2"/>
        <v>513124</v>
      </c>
      <c r="N67" s="461"/>
      <c r="O67" s="462"/>
      <c r="P67" s="462"/>
    </row>
    <row r="68" spans="2:16">
      <c r="B68" s="455" t="s">
        <v>577</v>
      </c>
      <c r="C68" s="463"/>
      <c r="D68" s="464"/>
      <c r="E68" s="458" t="s">
        <v>576</v>
      </c>
      <c r="F68" s="459"/>
      <c r="G68" s="465"/>
      <c r="H68" s="465"/>
      <c r="I68" s="465"/>
      <c r="J68" s="456">
        <v>44221</v>
      </c>
      <c r="K68" s="459">
        <v>0</v>
      </c>
      <c r="L68" s="459">
        <v>743647</v>
      </c>
      <c r="M68" s="459">
        <f t="shared" si="2"/>
        <v>743647</v>
      </c>
      <c r="N68" s="461"/>
      <c r="O68" s="462"/>
      <c r="P68" s="462"/>
    </row>
    <row r="69" spans="2:16">
      <c r="B69" s="455" t="s">
        <v>585</v>
      </c>
      <c r="C69" s="463"/>
      <c r="D69" s="464"/>
      <c r="E69" s="458" t="s">
        <v>576</v>
      </c>
      <c r="F69" s="459"/>
      <c r="G69" s="465"/>
      <c r="H69" s="465"/>
      <c r="I69" s="465"/>
      <c r="J69" s="456">
        <v>44221</v>
      </c>
      <c r="K69" s="459">
        <v>0</v>
      </c>
      <c r="L69" s="459">
        <v>3456435</v>
      </c>
      <c r="M69" s="459">
        <f t="shared" si="2"/>
        <v>3456435</v>
      </c>
      <c r="N69" s="461"/>
      <c r="O69" s="462"/>
      <c r="P69" s="462"/>
    </row>
    <row r="70" spans="2:16">
      <c r="B70" s="455" t="s">
        <v>577</v>
      </c>
      <c r="C70" s="463"/>
      <c r="D70" s="464"/>
      <c r="E70" s="458" t="s">
        <v>576</v>
      </c>
      <c r="F70" s="459"/>
      <c r="G70" s="465"/>
      <c r="H70" s="465"/>
      <c r="I70" s="465"/>
      <c r="J70" s="456">
        <v>44221</v>
      </c>
      <c r="K70" s="459">
        <v>0</v>
      </c>
      <c r="L70" s="459">
        <v>680158</v>
      </c>
      <c r="M70" s="459">
        <f t="shared" si="2"/>
        <v>680158</v>
      </c>
      <c r="N70" s="461"/>
      <c r="O70" s="462"/>
      <c r="P70" s="462"/>
    </row>
    <row r="71" spans="2:16">
      <c r="B71" s="455" t="s">
        <v>580</v>
      </c>
      <c r="C71" s="463"/>
      <c r="D71" s="464"/>
      <c r="E71" s="458" t="s">
        <v>576</v>
      </c>
      <c r="F71" s="459"/>
      <c r="G71" s="465"/>
      <c r="H71" s="465"/>
      <c r="I71" s="465"/>
      <c r="J71" s="456">
        <v>44221</v>
      </c>
      <c r="K71" s="459">
        <v>0</v>
      </c>
      <c r="L71" s="459">
        <v>3456391</v>
      </c>
      <c r="M71" s="459">
        <f t="shared" si="2"/>
        <v>3456391</v>
      </c>
      <c r="N71" s="461"/>
      <c r="O71" s="462"/>
      <c r="P71" s="462"/>
    </row>
    <row r="72" spans="2:16">
      <c r="B72" s="455" t="s">
        <v>577</v>
      </c>
      <c r="C72" s="463"/>
      <c r="D72" s="464"/>
      <c r="E72" s="458" t="s">
        <v>576</v>
      </c>
      <c r="F72" s="459"/>
      <c r="G72" s="465"/>
      <c r="H72" s="465"/>
      <c r="I72" s="465"/>
      <c r="J72" s="456">
        <v>44221</v>
      </c>
      <c r="K72" s="459">
        <v>0</v>
      </c>
      <c r="L72" s="459">
        <v>6264188</v>
      </c>
      <c r="M72" s="459">
        <f t="shared" si="2"/>
        <v>6264188</v>
      </c>
      <c r="N72" s="461"/>
      <c r="O72" s="462"/>
      <c r="P72" s="462"/>
    </row>
    <row r="73" spans="2:16">
      <c r="B73" s="455" t="s">
        <v>575</v>
      </c>
      <c r="C73" s="463"/>
      <c r="D73" s="464"/>
      <c r="E73" s="458" t="s">
        <v>576</v>
      </c>
      <c r="F73" s="459"/>
      <c r="G73" s="465"/>
      <c r="H73" s="465"/>
      <c r="I73" s="465"/>
      <c r="J73" s="456">
        <v>44221</v>
      </c>
      <c r="K73" s="459">
        <v>0</v>
      </c>
      <c r="L73" s="459">
        <v>3431250</v>
      </c>
      <c r="M73" s="459">
        <f t="shared" si="2"/>
        <v>3431250</v>
      </c>
      <c r="N73" s="461"/>
      <c r="O73" s="462"/>
      <c r="P73" s="462"/>
    </row>
    <row r="74" spans="2:16">
      <c r="B74" s="455" t="s">
        <v>577</v>
      </c>
      <c r="C74" s="463"/>
      <c r="D74" s="464"/>
      <c r="E74" s="458" t="s">
        <v>576</v>
      </c>
      <c r="F74" s="459"/>
      <c r="G74" s="465"/>
      <c r="H74" s="465"/>
      <c r="I74" s="465"/>
      <c r="J74" s="456">
        <v>44221</v>
      </c>
      <c r="K74" s="459">
        <v>0</v>
      </c>
      <c r="L74" s="459">
        <v>2287500</v>
      </c>
      <c r="M74" s="459">
        <f t="shared" si="2"/>
        <v>2287500</v>
      </c>
      <c r="N74" s="461"/>
      <c r="O74" s="462"/>
      <c r="P74" s="462"/>
    </row>
    <row r="75" spans="2:16">
      <c r="B75" s="455" t="s">
        <v>575</v>
      </c>
      <c r="C75" s="463"/>
      <c r="D75" s="464"/>
      <c r="E75" s="458" t="s">
        <v>576</v>
      </c>
      <c r="F75" s="459"/>
      <c r="G75" s="465"/>
      <c r="H75" s="465"/>
      <c r="I75" s="465"/>
      <c r="J75" s="456">
        <v>44221</v>
      </c>
      <c r="K75" s="459">
        <v>0</v>
      </c>
      <c r="L75" s="459">
        <v>894915</v>
      </c>
      <c r="M75" s="459">
        <f t="shared" si="2"/>
        <v>894915</v>
      </c>
      <c r="N75" s="461"/>
      <c r="O75" s="462"/>
      <c r="P75" s="462"/>
    </row>
    <row r="76" spans="2:16">
      <c r="B76" s="455" t="s">
        <v>575</v>
      </c>
      <c r="C76" s="463"/>
      <c r="D76" s="464"/>
      <c r="E76" s="458" t="s">
        <v>576</v>
      </c>
      <c r="F76" s="459"/>
      <c r="G76" s="465"/>
      <c r="H76" s="465"/>
      <c r="I76" s="465"/>
      <c r="J76" s="456">
        <v>44221</v>
      </c>
      <c r="K76" s="459">
        <v>0</v>
      </c>
      <c r="L76" s="459">
        <v>2230980</v>
      </c>
      <c r="M76" s="459">
        <f t="shared" si="2"/>
        <v>2230980</v>
      </c>
      <c r="N76" s="461"/>
      <c r="O76" s="462"/>
      <c r="P76" s="462"/>
    </row>
    <row r="77" spans="2:16">
      <c r="B77" s="455" t="s">
        <v>575</v>
      </c>
      <c r="C77" s="463"/>
      <c r="D77" s="464"/>
      <c r="E77" s="458" t="s">
        <v>576</v>
      </c>
      <c r="F77" s="459"/>
      <c r="G77" s="465"/>
      <c r="H77" s="465"/>
      <c r="I77" s="465"/>
      <c r="J77" s="456">
        <v>44222</v>
      </c>
      <c r="K77" s="459">
        <v>0</v>
      </c>
      <c r="L77" s="459">
        <v>1607130</v>
      </c>
      <c r="M77" s="459">
        <f t="shared" si="2"/>
        <v>1607130</v>
      </c>
      <c r="N77" s="461"/>
      <c r="O77" s="462"/>
      <c r="P77" s="462"/>
    </row>
    <row r="78" spans="2:16">
      <c r="B78" s="455" t="s">
        <v>583</v>
      </c>
      <c r="C78" s="463"/>
      <c r="D78" s="464"/>
      <c r="E78" s="458" t="s">
        <v>576</v>
      </c>
      <c r="F78" s="459"/>
      <c r="G78" s="465"/>
      <c r="H78" s="465"/>
      <c r="I78" s="465"/>
      <c r="J78" s="456">
        <v>44225</v>
      </c>
      <c r="K78" s="459">
        <v>0</v>
      </c>
      <c r="L78" s="459">
        <v>126250</v>
      </c>
      <c r="M78" s="459">
        <f t="shared" si="2"/>
        <v>126250</v>
      </c>
      <c r="N78" s="461"/>
      <c r="O78" s="462"/>
      <c r="P78" s="462"/>
    </row>
    <row r="79" spans="2:16">
      <c r="B79" s="455" t="s">
        <v>575</v>
      </c>
      <c r="C79" s="463"/>
      <c r="D79" s="464"/>
      <c r="E79" s="458" t="s">
        <v>576</v>
      </c>
      <c r="F79" s="459"/>
      <c r="G79" s="465"/>
      <c r="H79" s="465"/>
      <c r="I79" s="465"/>
      <c r="J79" s="456">
        <v>44225</v>
      </c>
      <c r="K79" s="459">
        <v>0</v>
      </c>
      <c r="L79" s="459">
        <v>4937500</v>
      </c>
      <c r="M79" s="459">
        <f t="shared" si="2"/>
        <v>4937500</v>
      </c>
      <c r="N79" s="461"/>
      <c r="O79" s="462"/>
      <c r="P79" s="462"/>
    </row>
    <row r="80" spans="2:16">
      <c r="B80" s="455" t="s">
        <v>585</v>
      </c>
      <c r="C80" s="463"/>
      <c r="D80" s="464"/>
      <c r="E80" s="458" t="s">
        <v>576</v>
      </c>
      <c r="F80" s="459"/>
      <c r="G80" s="465"/>
      <c r="H80" s="465"/>
      <c r="I80" s="465"/>
      <c r="J80" s="456">
        <v>44225</v>
      </c>
      <c r="K80" s="459">
        <v>0</v>
      </c>
      <c r="L80" s="459">
        <v>5937500</v>
      </c>
      <c r="M80" s="459">
        <f t="shared" si="2"/>
        <v>5937500</v>
      </c>
      <c r="N80" s="461"/>
      <c r="O80" s="462"/>
      <c r="P80" s="462"/>
    </row>
    <row r="81" spans="2:16">
      <c r="B81" s="455" t="s">
        <v>582</v>
      </c>
      <c r="C81" s="463"/>
      <c r="D81" s="464"/>
      <c r="E81" s="458" t="s">
        <v>576</v>
      </c>
      <c r="F81" s="459"/>
      <c r="G81" s="465"/>
      <c r="H81" s="465"/>
      <c r="I81" s="465"/>
      <c r="J81" s="456">
        <v>44225</v>
      </c>
      <c r="K81" s="459">
        <v>0</v>
      </c>
      <c r="L81" s="459">
        <v>75000</v>
      </c>
      <c r="M81" s="459">
        <f t="shared" si="2"/>
        <v>75000</v>
      </c>
      <c r="N81" s="461"/>
      <c r="O81" s="462"/>
      <c r="P81" s="462"/>
    </row>
    <row r="82" spans="2:16">
      <c r="B82" s="467" t="s">
        <v>588</v>
      </c>
      <c r="C82" s="468"/>
      <c r="D82" s="469"/>
      <c r="E82" s="470"/>
      <c r="F82" s="459"/>
      <c r="G82" s="471">
        <f>(D608-C608)*1000000</f>
        <v>49901276.000000738</v>
      </c>
      <c r="H82" s="465"/>
      <c r="I82" s="465"/>
      <c r="J82" s="472"/>
      <c r="K82" s="473"/>
      <c r="L82" s="473"/>
      <c r="M82" s="473"/>
      <c r="N82" s="461"/>
      <c r="O82" s="462"/>
      <c r="P82" s="462"/>
    </row>
    <row r="83" spans="2:16">
      <c r="B83" s="467" t="s">
        <v>589</v>
      </c>
      <c r="C83" s="468"/>
      <c r="D83" s="469"/>
      <c r="E83" s="470" t="s">
        <v>590</v>
      </c>
      <c r="F83" s="459"/>
      <c r="G83" s="471"/>
      <c r="H83" s="465"/>
      <c r="I83" s="465"/>
      <c r="J83" s="472">
        <v>44212</v>
      </c>
      <c r="K83" s="473">
        <v>57074265.179068856</v>
      </c>
      <c r="L83" s="473">
        <v>15713710.980220115</v>
      </c>
      <c r="M83" s="473">
        <f t="shared" ref="M83:M84" si="3">+K83+L83</f>
        <v>72787976.159288973</v>
      </c>
      <c r="N83" s="461"/>
      <c r="O83" s="462"/>
      <c r="P83" s="462"/>
    </row>
    <row r="84" spans="2:16">
      <c r="B84" s="467" t="s">
        <v>591</v>
      </c>
      <c r="C84" s="468"/>
      <c r="D84" s="469"/>
      <c r="E84" s="470" t="s">
        <v>592</v>
      </c>
      <c r="F84" s="459"/>
      <c r="G84" s="471"/>
      <c r="H84" s="465"/>
      <c r="I84" s="465"/>
      <c r="J84" s="472">
        <v>44216</v>
      </c>
      <c r="K84" s="473">
        <v>17803435.591066342</v>
      </c>
      <c r="L84" s="473">
        <v>8822395.0373320319</v>
      </c>
      <c r="M84" s="473">
        <f t="shared" si="3"/>
        <v>26625830.628398374</v>
      </c>
      <c r="N84" s="461"/>
      <c r="O84" s="462"/>
      <c r="P84" s="462"/>
    </row>
    <row r="85" spans="2:16" ht="12.5">
      <c r="B85" s="474" t="s">
        <v>593</v>
      </c>
      <c r="C85" s="475"/>
      <c r="D85" s="475"/>
      <c r="E85" s="476"/>
      <c r="F85" s="477">
        <f>SUM(F7:F84)</f>
        <v>2049134000</v>
      </c>
      <c r="G85" s="477">
        <f t="shared" ref="G85:I85" si="4">SUM(G7:G84)</f>
        <v>2095355214.4961059</v>
      </c>
      <c r="H85" s="477">
        <f t="shared" si="4"/>
        <v>3680061.5038949102</v>
      </c>
      <c r="I85" s="477">
        <f t="shared" si="4"/>
        <v>2049134000</v>
      </c>
      <c r="J85" s="477"/>
      <c r="K85" s="477">
        <f>SUM(K7:K84)</f>
        <v>962377700.77013516</v>
      </c>
      <c r="L85" s="477">
        <f>SUM(L7:L84)</f>
        <v>223789474.01755214</v>
      </c>
      <c r="M85" s="477">
        <f t="shared" ref="M85" si="5">SUM(M7:M84)</f>
        <v>1186167174.7876873</v>
      </c>
      <c r="N85" s="478">
        <f>+G85-K85</f>
        <v>1132977513.7259707</v>
      </c>
      <c r="O85" s="478">
        <f>+(D598-C598)*1000000</f>
        <v>1299223053.4235764</v>
      </c>
      <c r="P85" s="478">
        <f>N85-O85</f>
        <v>-166245539.69760561</v>
      </c>
    </row>
    <row r="86" spans="2:16" ht="12.5">
      <c r="B86" s="455" t="s">
        <v>594</v>
      </c>
      <c r="C86" s="479">
        <v>44208</v>
      </c>
      <c r="D86" s="457">
        <v>180</v>
      </c>
      <c r="E86" s="480" t="s">
        <v>579</v>
      </c>
      <c r="F86" s="459">
        <f t="shared" ref="F86:F89" si="6">G86+H86</f>
        <v>49999000</v>
      </c>
      <c r="G86" s="459">
        <v>49750248.75621891</v>
      </c>
      <c r="H86" s="459">
        <v>248751.24378108978</v>
      </c>
      <c r="I86" s="459">
        <f t="shared" ref="I86:I89" si="7">+G86+H86</f>
        <v>49999000</v>
      </c>
      <c r="J86" s="468"/>
      <c r="K86" s="481"/>
      <c r="L86" s="481"/>
      <c r="M86" s="481"/>
      <c r="N86" s="482"/>
      <c r="O86" s="482"/>
      <c r="P86" s="483"/>
    </row>
    <row r="87" spans="2:16" ht="12.5">
      <c r="B87" s="455" t="s">
        <v>594</v>
      </c>
      <c r="C87" s="479">
        <v>44211</v>
      </c>
      <c r="D87" s="457">
        <v>720</v>
      </c>
      <c r="E87" s="480" t="s">
        <v>576</v>
      </c>
      <c r="F87" s="459">
        <f t="shared" si="6"/>
        <v>86140000</v>
      </c>
      <c r="G87" s="459">
        <v>86140000</v>
      </c>
      <c r="H87" s="459">
        <v>0</v>
      </c>
      <c r="I87" s="459">
        <f t="shared" si="7"/>
        <v>86140000</v>
      </c>
      <c r="J87" s="468"/>
      <c r="K87" s="481"/>
      <c r="L87" s="481"/>
      <c r="M87" s="481"/>
      <c r="N87" s="482"/>
      <c r="O87" s="482"/>
      <c r="P87" s="483"/>
    </row>
    <row r="88" spans="2:16" ht="12.5">
      <c r="B88" s="455" t="s">
        <v>594</v>
      </c>
      <c r="C88" s="479">
        <v>44215</v>
      </c>
      <c r="D88" s="457">
        <v>270</v>
      </c>
      <c r="E88" s="480" t="s">
        <v>579</v>
      </c>
      <c r="F88" s="459">
        <f t="shared" si="6"/>
        <v>72727000</v>
      </c>
      <c r="G88" s="459">
        <v>72185607.940446645</v>
      </c>
      <c r="H88" s="459">
        <v>541392.05955335498</v>
      </c>
      <c r="I88" s="459">
        <f t="shared" si="7"/>
        <v>72727000</v>
      </c>
      <c r="J88" s="468"/>
      <c r="K88" s="481"/>
      <c r="L88" s="481"/>
      <c r="M88" s="481"/>
      <c r="N88" s="482"/>
      <c r="O88" s="482"/>
      <c r="P88" s="483"/>
    </row>
    <row r="89" spans="2:16" ht="12.5">
      <c r="B89" s="455" t="s">
        <v>594</v>
      </c>
      <c r="C89" s="479">
        <v>44224</v>
      </c>
      <c r="D89" s="457">
        <v>3600</v>
      </c>
      <c r="E89" s="480" t="s">
        <v>576</v>
      </c>
      <c r="F89" s="459">
        <f t="shared" si="6"/>
        <v>800000000</v>
      </c>
      <c r="G89" s="459">
        <v>800000000</v>
      </c>
      <c r="H89" s="459">
        <v>0</v>
      </c>
      <c r="I89" s="459">
        <f t="shared" si="7"/>
        <v>800000000</v>
      </c>
      <c r="J89" s="468"/>
      <c r="K89" s="481"/>
      <c r="L89" s="481"/>
      <c r="M89" s="481"/>
      <c r="N89" s="482"/>
      <c r="O89" s="482"/>
      <c r="P89" s="483"/>
    </row>
    <row r="90" spans="2:16" ht="12.5">
      <c r="B90" s="455" t="s">
        <v>594</v>
      </c>
      <c r="C90" s="468"/>
      <c r="D90" s="469"/>
      <c r="E90" s="480" t="s">
        <v>576</v>
      </c>
      <c r="F90" s="465"/>
      <c r="G90" s="465"/>
      <c r="H90" s="465"/>
      <c r="I90" s="465"/>
      <c r="J90" s="456">
        <v>44200</v>
      </c>
      <c r="K90" s="459">
        <v>0</v>
      </c>
      <c r="L90" s="459">
        <v>135947</v>
      </c>
      <c r="M90" s="484">
        <f t="shared" ref="M90:M104" si="8">+K90+L90</f>
        <v>135947</v>
      </c>
      <c r="N90" s="481"/>
      <c r="O90" s="462"/>
      <c r="P90" s="482"/>
    </row>
    <row r="91" spans="2:16" ht="12.5">
      <c r="B91" s="455" t="s">
        <v>594</v>
      </c>
      <c r="C91" s="468"/>
      <c r="D91" s="469"/>
      <c r="E91" s="480" t="s">
        <v>576</v>
      </c>
      <c r="F91" s="465"/>
      <c r="G91" s="465"/>
      <c r="H91" s="465"/>
      <c r="I91" s="465"/>
      <c r="J91" s="456">
        <v>44207</v>
      </c>
      <c r="K91" s="459">
        <v>0</v>
      </c>
      <c r="L91" s="459">
        <v>2537482</v>
      </c>
      <c r="M91" s="484">
        <f t="shared" si="8"/>
        <v>2537482</v>
      </c>
      <c r="N91" s="481"/>
      <c r="O91" s="462"/>
      <c r="P91" s="482"/>
    </row>
    <row r="92" spans="2:16" ht="12.5">
      <c r="B92" s="455" t="s">
        <v>594</v>
      </c>
      <c r="C92" s="468"/>
      <c r="D92" s="469"/>
      <c r="E92" s="480" t="s">
        <v>576</v>
      </c>
      <c r="F92" s="465"/>
      <c r="G92" s="465"/>
      <c r="H92" s="465"/>
      <c r="I92" s="465"/>
      <c r="J92" s="456">
        <v>44207</v>
      </c>
      <c r="K92" s="459">
        <v>0</v>
      </c>
      <c r="L92" s="459">
        <v>3812500</v>
      </c>
      <c r="M92" s="484">
        <f t="shared" si="8"/>
        <v>3812500</v>
      </c>
      <c r="N92" s="481"/>
      <c r="O92" s="462"/>
      <c r="P92" s="482"/>
    </row>
    <row r="93" spans="2:16" ht="12.5">
      <c r="B93" s="455" t="s">
        <v>594</v>
      </c>
      <c r="C93" s="468"/>
      <c r="D93" s="469"/>
      <c r="E93" s="480" t="s">
        <v>576</v>
      </c>
      <c r="F93" s="465"/>
      <c r="G93" s="465"/>
      <c r="H93" s="465"/>
      <c r="I93" s="465"/>
      <c r="J93" s="456">
        <v>44208</v>
      </c>
      <c r="K93" s="459">
        <v>0</v>
      </c>
      <c r="L93" s="459">
        <v>1887188</v>
      </c>
      <c r="M93" s="484">
        <f t="shared" si="8"/>
        <v>1887188</v>
      </c>
      <c r="N93" s="481"/>
      <c r="O93" s="462"/>
      <c r="P93" s="482"/>
    </row>
    <row r="94" spans="2:16" ht="12.5">
      <c r="B94" s="455" t="s">
        <v>594</v>
      </c>
      <c r="C94" s="468"/>
      <c r="D94" s="469"/>
      <c r="E94" s="480" t="s">
        <v>576</v>
      </c>
      <c r="F94" s="465"/>
      <c r="G94" s="465"/>
      <c r="H94" s="465"/>
      <c r="I94" s="465"/>
      <c r="J94" s="456">
        <v>44208</v>
      </c>
      <c r="K94" s="459">
        <v>0</v>
      </c>
      <c r="L94" s="459">
        <v>2289417</v>
      </c>
      <c r="M94" s="484">
        <f t="shared" si="8"/>
        <v>2289417</v>
      </c>
      <c r="N94" s="481"/>
      <c r="O94" s="462"/>
      <c r="P94" s="482"/>
    </row>
    <row r="95" spans="2:16" ht="12.5">
      <c r="B95" s="455" t="s">
        <v>594</v>
      </c>
      <c r="C95" s="468"/>
      <c r="D95" s="469"/>
      <c r="E95" s="480" t="s">
        <v>576</v>
      </c>
      <c r="F95" s="465"/>
      <c r="G95" s="465"/>
      <c r="H95" s="465"/>
      <c r="I95" s="465"/>
      <c r="J95" s="456">
        <v>44210</v>
      </c>
      <c r="K95" s="459">
        <v>0</v>
      </c>
      <c r="L95" s="459">
        <v>4994128</v>
      </c>
      <c r="M95" s="484">
        <f t="shared" si="8"/>
        <v>4994128</v>
      </c>
      <c r="N95" s="481"/>
      <c r="O95" s="462"/>
      <c r="P95" s="482"/>
    </row>
    <row r="96" spans="2:16" ht="12.5">
      <c r="B96" s="455" t="s">
        <v>594</v>
      </c>
      <c r="C96" s="468"/>
      <c r="D96" s="469"/>
      <c r="E96" s="480" t="s">
        <v>576</v>
      </c>
      <c r="F96" s="465"/>
      <c r="G96" s="465"/>
      <c r="H96" s="465"/>
      <c r="I96" s="465"/>
      <c r="J96" s="456">
        <v>44210</v>
      </c>
      <c r="K96" s="459">
        <v>0</v>
      </c>
      <c r="L96" s="459">
        <v>9340625</v>
      </c>
      <c r="M96" s="484">
        <f t="shared" si="8"/>
        <v>9340625</v>
      </c>
      <c r="N96" s="481"/>
      <c r="O96" s="462"/>
      <c r="P96" s="482"/>
    </row>
    <row r="97" spans="2:16" ht="12.5">
      <c r="B97" s="455" t="s">
        <v>594</v>
      </c>
      <c r="C97" s="468"/>
      <c r="D97" s="469"/>
      <c r="E97" s="480" t="s">
        <v>576</v>
      </c>
      <c r="F97" s="465"/>
      <c r="G97" s="465"/>
      <c r="H97" s="465"/>
      <c r="I97" s="465"/>
      <c r="J97" s="456">
        <v>44214</v>
      </c>
      <c r="K97" s="459">
        <v>0</v>
      </c>
      <c r="L97" s="459">
        <v>9687500</v>
      </c>
      <c r="M97" s="484">
        <f t="shared" si="8"/>
        <v>9687500</v>
      </c>
      <c r="N97" s="481"/>
      <c r="O97" s="462"/>
      <c r="P97" s="482"/>
    </row>
    <row r="98" spans="2:16" ht="12.5">
      <c r="B98" s="455" t="s">
        <v>594</v>
      </c>
      <c r="C98" s="468"/>
      <c r="D98" s="469"/>
      <c r="E98" s="480" t="s">
        <v>576</v>
      </c>
      <c r="F98" s="465"/>
      <c r="G98" s="465"/>
      <c r="H98" s="465"/>
      <c r="I98" s="465"/>
      <c r="J98" s="456">
        <v>44217</v>
      </c>
      <c r="K98" s="459">
        <v>0</v>
      </c>
      <c r="L98" s="459">
        <v>7702867</v>
      </c>
      <c r="M98" s="484">
        <f t="shared" si="8"/>
        <v>7702867</v>
      </c>
      <c r="N98" s="481"/>
      <c r="O98" s="462"/>
      <c r="P98" s="482"/>
    </row>
    <row r="99" spans="2:16" ht="12.5">
      <c r="B99" s="455" t="s">
        <v>594</v>
      </c>
      <c r="C99" s="468"/>
      <c r="D99" s="469"/>
      <c r="E99" s="480" t="s">
        <v>576</v>
      </c>
      <c r="F99" s="465"/>
      <c r="G99" s="465"/>
      <c r="H99" s="465"/>
      <c r="I99" s="465"/>
      <c r="J99" s="456">
        <v>44218</v>
      </c>
      <c r="K99" s="459">
        <v>0</v>
      </c>
      <c r="L99" s="459">
        <v>8932500</v>
      </c>
      <c r="M99" s="484">
        <f t="shared" si="8"/>
        <v>8932500</v>
      </c>
      <c r="N99" s="481"/>
      <c r="O99" s="462"/>
      <c r="P99" s="482"/>
    </row>
    <row r="100" spans="2:16" ht="12.5">
      <c r="B100" s="455" t="s">
        <v>594</v>
      </c>
      <c r="C100" s="468"/>
      <c r="D100" s="469"/>
      <c r="E100" s="480" t="s">
        <v>576</v>
      </c>
      <c r="F100" s="465"/>
      <c r="G100" s="465"/>
      <c r="H100" s="465"/>
      <c r="I100" s="465"/>
      <c r="J100" s="456">
        <v>44221</v>
      </c>
      <c r="K100" s="459">
        <v>0</v>
      </c>
      <c r="L100" s="459">
        <v>2684647</v>
      </c>
      <c r="M100" s="484">
        <f t="shared" si="8"/>
        <v>2684647</v>
      </c>
      <c r="N100" s="481"/>
      <c r="O100" s="462"/>
      <c r="P100" s="482"/>
    </row>
    <row r="101" spans="2:16" ht="12.5">
      <c r="B101" s="455" t="s">
        <v>594</v>
      </c>
      <c r="C101" s="468"/>
      <c r="D101" s="469"/>
      <c r="E101" s="480" t="s">
        <v>576</v>
      </c>
      <c r="F101" s="465"/>
      <c r="G101" s="465"/>
      <c r="H101" s="465"/>
      <c r="I101" s="465"/>
      <c r="J101" s="456">
        <v>44221</v>
      </c>
      <c r="K101" s="459">
        <v>0</v>
      </c>
      <c r="L101" s="459">
        <v>3456391</v>
      </c>
      <c r="M101" s="484">
        <f t="shared" si="8"/>
        <v>3456391</v>
      </c>
      <c r="N101" s="481"/>
      <c r="O101" s="462"/>
      <c r="P101" s="482"/>
    </row>
    <row r="102" spans="2:16" ht="12.5">
      <c r="B102" s="455" t="s">
        <v>594</v>
      </c>
      <c r="C102" s="468"/>
      <c r="D102" s="469"/>
      <c r="E102" s="480" t="s">
        <v>576</v>
      </c>
      <c r="F102" s="465"/>
      <c r="G102" s="465"/>
      <c r="H102" s="465"/>
      <c r="I102" s="465"/>
      <c r="J102" s="456">
        <v>44221</v>
      </c>
      <c r="K102" s="459">
        <v>0</v>
      </c>
      <c r="L102" s="459">
        <v>2230999</v>
      </c>
      <c r="M102" s="484">
        <f t="shared" si="8"/>
        <v>2230999</v>
      </c>
      <c r="N102" s="481"/>
      <c r="O102" s="462"/>
      <c r="P102" s="482"/>
    </row>
    <row r="103" spans="2:16" ht="12.5">
      <c r="B103" s="455" t="s">
        <v>594</v>
      </c>
      <c r="C103" s="468"/>
      <c r="D103" s="469"/>
      <c r="E103" s="480" t="s">
        <v>576</v>
      </c>
      <c r="F103" s="465"/>
      <c r="G103" s="465"/>
      <c r="H103" s="465"/>
      <c r="I103" s="465"/>
      <c r="J103" s="456">
        <v>44222</v>
      </c>
      <c r="K103" s="459">
        <v>0</v>
      </c>
      <c r="L103" s="459">
        <v>7347870</v>
      </c>
      <c r="M103" s="484">
        <f t="shared" si="8"/>
        <v>7347870</v>
      </c>
      <c r="N103" s="481"/>
      <c r="O103" s="462"/>
      <c r="P103" s="482"/>
    </row>
    <row r="104" spans="2:16" ht="12.5">
      <c r="B104" s="455" t="s">
        <v>594</v>
      </c>
      <c r="C104" s="468"/>
      <c r="D104" s="469"/>
      <c r="E104" s="480" t="s">
        <v>576</v>
      </c>
      <c r="F104" s="465"/>
      <c r="G104" s="465"/>
      <c r="H104" s="465"/>
      <c r="I104" s="465"/>
      <c r="J104" s="456">
        <v>44225</v>
      </c>
      <c r="K104" s="459">
        <v>0</v>
      </c>
      <c r="L104" s="459">
        <v>4937500</v>
      </c>
      <c r="M104" s="484">
        <f t="shared" si="8"/>
        <v>4937500</v>
      </c>
      <c r="N104" s="481"/>
      <c r="O104" s="462"/>
      <c r="P104" s="482"/>
    </row>
    <row r="105" spans="2:16" ht="12.5">
      <c r="B105" s="485" t="s">
        <v>595</v>
      </c>
      <c r="C105" s="486"/>
      <c r="D105" s="486"/>
      <c r="E105" s="487"/>
      <c r="F105" s="488">
        <f>SUM(F86:F104)</f>
        <v>1008866000</v>
      </c>
      <c r="G105" s="488">
        <f t="shared" ref="G105:I105" si="9">SUM(G86:G104)</f>
        <v>1008075856.6966655</v>
      </c>
      <c r="H105" s="488">
        <f t="shared" si="9"/>
        <v>790143.30333444476</v>
      </c>
      <c r="I105" s="488">
        <f t="shared" si="9"/>
        <v>1008866000</v>
      </c>
      <c r="J105" s="488"/>
      <c r="K105" s="488">
        <f>SUM(K86:K104)</f>
        <v>0</v>
      </c>
      <c r="L105" s="488">
        <f>SUM(L86:L104)</f>
        <v>71977561</v>
      </c>
      <c r="M105" s="488">
        <f>SUM(M86:M104)</f>
        <v>71977561</v>
      </c>
      <c r="N105" s="478">
        <f>+G105-K105</f>
        <v>1008075856.6966655</v>
      </c>
      <c r="O105" s="478"/>
      <c r="P105" s="478">
        <f>+N105-O105</f>
        <v>1008075856.6966655</v>
      </c>
    </row>
    <row r="106" spans="2:16">
      <c r="B106" s="455" t="s">
        <v>580</v>
      </c>
      <c r="C106" s="456">
        <v>44229</v>
      </c>
      <c r="D106" s="457">
        <v>2160</v>
      </c>
      <c r="E106" s="458" t="s">
        <v>576</v>
      </c>
      <c r="F106" s="459">
        <f t="shared" ref="F106:F125" si="10">G106+H106</f>
        <v>242465000</v>
      </c>
      <c r="G106" s="459">
        <v>242465000</v>
      </c>
      <c r="H106" s="459">
        <v>0</v>
      </c>
      <c r="I106" s="459">
        <f t="shared" ref="I106:I125" si="11">+G106+H106</f>
        <v>242465000</v>
      </c>
      <c r="J106" s="460"/>
      <c r="K106" s="460"/>
      <c r="L106" s="460"/>
      <c r="M106" s="459"/>
      <c r="N106" s="461"/>
      <c r="O106" s="462"/>
      <c r="P106" s="462"/>
    </row>
    <row r="107" spans="2:16">
      <c r="B107" s="455" t="s">
        <v>577</v>
      </c>
      <c r="C107" s="456">
        <v>44229</v>
      </c>
      <c r="D107" s="457">
        <v>2160</v>
      </c>
      <c r="E107" s="458" t="s">
        <v>576</v>
      </c>
      <c r="F107" s="459">
        <f t="shared" si="10"/>
        <v>63013000</v>
      </c>
      <c r="G107" s="459">
        <v>63013000</v>
      </c>
      <c r="H107" s="459">
        <v>0</v>
      </c>
      <c r="I107" s="459">
        <f t="shared" si="11"/>
        <v>63013000</v>
      </c>
      <c r="J107" s="460"/>
      <c r="K107" s="460"/>
      <c r="L107" s="460"/>
      <c r="M107" s="459"/>
      <c r="N107" s="461"/>
      <c r="O107" s="462"/>
      <c r="P107" s="462"/>
    </row>
    <row r="108" spans="2:16">
      <c r="B108" s="455" t="s">
        <v>575</v>
      </c>
      <c r="C108" s="456">
        <v>44229</v>
      </c>
      <c r="D108" s="457">
        <v>2160</v>
      </c>
      <c r="E108" s="458" t="s">
        <v>576</v>
      </c>
      <c r="F108" s="459">
        <f t="shared" si="10"/>
        <v>94522000</v>
      </c>
      <c r="G108" s="459">
        <v>94522000</v>
      </c>
      <c r="H108" s="459">
        <v>0</v>
      </c>
      <c r="I108" s="459">
        <f t="shared" si="11"/>
        <v>94522000</v>
      </c>
      <c r="J108" s="460"/>
      <c r="K108" s="460"/>
      <c r="L108" s="460"/>
      <c r="M108" s="459"/>
      <c r="N108" s="461"/>
      <c r="O108" s="462"/>
      <c r="P108" s="462"/>
    </row>
    <row r="109" spans="2:16">
      <c r="B109" s="455" t="s">
        <v>577</v>
      </c>
      <c r="C109" s="456">
        <v>44232</v>
      </c>
      <c r="D109" s="457">
        <v>180</v>
      </c>
      <c r="E109" s="458" t="s">
        <v>579</v>
      </c>
      <c r="F109" s="459">
        <f t="shared" si="10"/>
        <v>49999000</v>
      </c>
      <c r="G109" s="459">
        <v>49750248.75621891</v>
      </c>
      <c r="H109" s="459">
        <v>248751.24378108978</v>
      </c>
      <c r="I109" s="459">
        <f t="shared" si="11"/>
        <v>49999000</v>
      </c>
      <c r="J109" s="460"/>
      <c r="K109" s="460"/>
      <c r="L109" s="460"/>
      <c r="M109" s="459"/>
      <c r="N109" s="461"/>
      <c r="O109" s="462"/>
      <c r="P109" s="462"/>
    </row>
    <row r="110" spans="2:16">
      <c r="B110" s="455" t="s">
        <v>575</v>
      </c>
      <c r="C110" s="456">
        <v>44232</v>
      </c>
      <c r="D110" s="457">
        <v>180</v>
      </c>
      <c r="E110" s="458" t="s">
        <v>579</v>
      </c>
      <c r="F110" s="459">
        <f t="shared" si="10"/>
        <v>49999000</v>
      </c>
      <c r="G110" s="459">
        <v>49750248.75621891</v>
      </c>
      <c r="H110" s="459">
        <v>248751.24378108978</v>
      </c>
      <c r="I110" s="459">
        <f t="shared" si="11"/>
        <v>49999000</v>
      </c>
      <c r="J110" s="460"/>
      <c r="K110" s="460"/>
      <c r="L110" s="460"/>
      <c r="M110" s="459"/>
      <c r="N110" s="461"/>
      <c r="O110" s="462"/>
      <c r="P110" s="462"/>
    </row>
    <row r="111" spans="2:16">
      <c r="B111" s="455" t="s">
        <v>580</v>
      </c>
      <c r="C111" s="456">
        <v>44232</v>
      </c>
      <c r="D111" s="457">
        <v>180</v>
      </c>
      <c r="E111" s="458" t="s">
        <v>579</v>
      </c>
      <c r="F111" s="459">
        <f t="shared" si="10"/>
        <v>49999000</v>
      </c>
      <c r="G111" s="459">
        <v>49750248.75621891</v>
      </c>
      <c r="H111" s="459">
        <v>248751.24378108978</v>
      </c>
      <c r="I111" s="459">
        <f t="shared" si="11"/>
        <v>49999000</v>
      </c>
      <c r="J111" s="460"/>
      <c r="K111" s="460"/>
      <c r="L111" s="460"/>
      <c r="M111" s="459"/>
      <c r="N111" s="461"/>
      <c r="O111" s="462"/>
      <c r="P111" s="462"/>
    </row>
    <row r="112" spans="2:16">
      <c r="B112" s="455" t="s">
        <v>581</v>
      </c>
      <c r="C112" s="456">
        <v>44232</v>
      </c>
      <c r="D112" s="457">
        <v>180</v>
      </c>
      <c r="E112" s="458" t="s">
        <v>579</v>
      </c>
      <c r="F112" s="459">
        <f t="shared" si="10"/>
        <v>49999000</v>
      </c>
      <c r="G112" s="459">
        <v>49750248.75621891</v>
      </c>
      <c r="H112" s="459">
        <v>248751.24378108978</v>
      </c>
      <c r="I112" s="459">
        <f t="shared" si="11"/>
        <v>49999000</v>
      </c>
      <c r="J112" s="460"/>
      <c r="K112" s="459"/>
      <c r="L112" s="459"/>
      <c r="M112" s="459"/>
      <c r="N112" s="461"/>
      <c r="O112" s="462"/>
      <c r="P112" s="462"/>
    </row>
    <row r="113" spans="2:16">
      <c r="B113" s="455" t="s">
        <v>578</v>
      </c>
      <c r="C113" s="456">
        <v>44232</v>
      </c>
      <c r="D113" s="457">
        <v>180</v>
      </c>
      <c r="E113" s="458" t="s">
        <v>579</v>
      </c>
      <c r="F113" s="459">
        <f t="shared" si="10"/>
        <v>49999000</v>
      </c>
      <c r="G113" s="459">
        <v>49750248.75621891</v>
      </c>
      <c r="H113" s="459">
        <v>248751.24378108978</v>
      </c>
      <c r="I113" s="459">
        <f t="shared" si="11"/>
        <v>49999000</v>
      </c>
      <c r="J113" s="460"/>
      <c r="K113" s="459"/>
      <c r="L113" s="459"/>
      <c r="M113" s="459"/>
      <c r="N113" s="461"/>
      <c r="O113" s="462"/>
      <c r="P113" s="462"/>
    </row>
    <row r="114" spans="2:16">
      <c r="B114" s="455" t="s">
        <v>575</v>
      </c>
      <c r="C114" s="456">
        <v>44236</v>
      </c>
      <c r="D114" s="457">
        <v>2520</v>
      </c>
      <c r="E114" s="458" t="s">
        <v>576</v>
      </c>
      <c r="F114" s="459">
        <f t="shared" si="10"/>
        <v>239888000</v>
      </c>
      <c r="G114" s="459">
        <v>239888000</v>
      </c>
      <c r="H114" s="459">
        <v>0</v>
      </c>
      <c r="I114" s="459">
        <f t="shared" si="11"/>
        <v>239888000</v>
      </c>
      <c r="J114" s="460"/>
      <c r="K114" s="459"/>
      <c r="L114" s="459"/>
      <c r="M114" s="459"/>
      <c r="N114" s="461"/>
      <c r="O114" s="462"/>
      <c r="P114" s="462"/>
    </row>
    <row r="115" spans="2:16">
      <c r="B115" s="455" t="s">
        <v>577</v>
      </c>
      <c r="C115" s="456">
        <v>44236</v>
      </c>
      <c r="D115" s="457">
        <v>2520</v>
      </c>
      <c r="E115" s="458" t="s">
        <v>576</v>
      </c>
      <c r="F115" s="459">
        <f t="shared" si="10"/>
        <v>110112000</v>
      </c>
      <c r="G115" s="459">
        <v>110112000</v>
      </c>
      <c r="H115" s="459">
        <v>0</v>
      </c>
      <c r="I115" s="459">
        <f t="shared" si="11"/>
        <v>110112000</v>
      </c>
      <c r="J115" s="460"/>
      <c r="K115" s="459"/>
      <c r="L115" s="459"/>
      <c r="M115" s="459"/>
      <c r="N115" s="461"/>
      <c r="O115" s="462"/>
      <c r="P115" s="462"/>
    </row>
    <row r="116" spans="2:16">
      <c r="B116" s="455" t="s">
        <v>581</v>
      </c>
      <c r="C116" s="456">
        <v>44239</v>
      </c>
      <c r="D116" s="457">
        <v>210</v>
      </c>
      <c r="E116" s="458" t="s">
        <v>579</v>
      </c>
      <c r="F116" s="459">
        <f t="shared" si="10"/>
        <v>70000000</v>
      </c>
      <c r="G116" s="459">
        <v>69594034.797017395</v>
      </c>
      <c r="H116" s="459">
        <v>405965.2029826045</v>
      </c>
      <c r="I116" s="459">
        <f t="shared" si="11"/>
        <v>70000000</v>
      </c>
      <c r="J116" s="460"/>
      <c r="K116" s="459"/>
      <c r="L116" s="459"/>
      <c r="M116" s="459"/>
      <c r="N116" s="461"/>
      <c r="O116" s="462"/>
      <c r="P116" s="462"/>
    </row>
    <row r="117" spans="2:16">
      <c r="B117" s="455" t="s">
        <v>575</v>
      </c>
      <c r="C117" s="456">
        <v>44239</v>
      </c>
      <c r="D117" s="457">
        <v>210</v>
      </c>
      <c r="E117" s="458" t="s">
        <v>579</v>
      </c>
      <c r="F117" s="459">
        <f t="shared" si="10"/>
        <v>70000000</v>
      </c>
      <c r="G117" s="459">
        <v>69594034.797017395</v>
      </c>
      <c r="H117" s="459">
        <v>405965.2029826045</v>
      </c>
      <c r="I117" s="459">
        <f t="shared" si="11"/>
        <v>70000000</v>
      </c>
      <c r="J117" s="460"/>
      <c r="K117" s="459"/>
      <c r="L117" s="459"/>
      <c r="M117" s="459"/>
      <c r="N117" s="461"/>
      <c r="O117" s="462"/>
      <c r="P117" s="462"/>
    </row>
    <row r="118" spans="2:16">
      <c r="B118" s="455" t="s">
        <v>577</v>
      </c>
      <c r="C118" s="456">
        <v>44239</v>
      </c>
      <c r="D118" s="457">
        <v>210</v>
      </c>
      <c r="E118" s="458" t="s">
        <v>579</v>
      </c>
      <c r="F118" s="459">
        <f t="shared" si="10"/>
        <v>70000000</v>
      </c>
      <c r="G118" s="459">
        <v>69594034.797017395</v>
      </c>
      <c r="H118" s="459">
        <v>405965.2029826045</v>
      </c>
      <c r="I118" s="459">
        <f t="shared" si="11"/>
        <v>70000000</v>
      </c>
      <c r="J118" s="460"/>
      <c r="K118" s="459"/>
      <c r="L118" s="459"/>
      <c r="M118" s="459"/>
      <c r="N118" s="461"/>
      <c r="O118" s="462"/>
      <c r="P118" s="462"/>
    </row>
    <row r="119" spans="2:16">
      <c r="B119" s="455" t="s">
        <v>580</v>
      </c>
      <c r="C119" s="456">
        <v>44239</v>
      </c>
      <c r="D119" s="457">
        <v>210</v>
      </c>
      <c r="E119" s="458" t="s">
        <v>579</v>
      </c>
      <c r="F119" s="459">
        <f t="shared" si="10"/>
        <v>70000000</v>
      </c>
      <c r="G119" s="459">
        <v>69594034.797017395</v>
      </c>
      <c r="H119" s="459">
        <v>405965.2029826045</v>
      </c>
      <c r="I119" s="459">
        <f t="shared" si="11"/>
        <v>70000000</v>
      </c>
      <c r="J119" s="460"/>
      <c r="K119" s="459"/>
      <c r="L119" s="459"/>
      <c r="M119" s="459"/>
      <c r="N119" s="461"/>
      <c r="O119" s="462"/>
      <c r="P119" s="462"/>
    </row>
    <row r="120" spans="2:16">
      <c r="B120" s="455" t="s">
        <v>575</v>
      </c>
      <c r="C120" s="456">
        <v>44243</v>
      </c>
      <c r="D120" s="457">
        <v>3240</v>
      </c>
      <c r="E120" s="458" t="s">
        <v>576</v>
      </c>
      <c r="F120" s="459">
        <f t="shared" si="10"/>
        <v>240000000</v>
      </c>
      <c r="G120" s="459">
        <v>240000000</v>
      </c>
      <c r="H120" s="459">
        <v>0</v>
      </c>
      <c r="I120" s="459">
        <f t="shared" si="11"/>
        <v>240000000</v>
      </c>
      <c r="J120" s="460"/>
      <c r="K120" s="459"/>
      <c r="L120" s="459"/>
      <c r="M120" s="459"/>
      <c r="N120" s="461"/>
      <c r="O120" s="462"/>
      <c r="P120" s="462"/>
    </row>
    <row r="121" spans="2:16">
      <c r="B121" s="455" t="s">
        <v>578</v>
      </c>
      <c r="C121" s="456">
        <v>44250</v>
      </c>
      <c r="D121" s="457">
        <v>270</v>
      </c>
      <c r="E121" s="458" t="s">
        <v>579</v>
      </c>
      <c r="F121" s="459">
        <f t="shared" si="10"/>
        <v>69567000</v>
      </c>
      <c r="G121" s="459">
        <v>69049131.513647646</v>
      </c>
      <c r="H121" s="459">
        <v>517868.48635235429</v>
      </c>
      <c r="I121" s="459">
        <f t="shared" si="11"/>
        <v>69567000</v>
      </c>
      <c r="J121" s="460"/>
      <c r="K121" s="459"/>
      <c r="L121" s="459"/>
      <c r="M121" s="459"/>
      <c r="N121" s="461"/>
      <c r="O121" s="462"/>
      <c r="P121" s="462"/>
    </row>
    <row r="122" spans="2:16">
      <c r="B122" s="455" t="s">
        <v>581</v>
      </c>
      <c r="C122" s="456">
        <v>44250</v>
      </c>
      <c r="D122" s="457">
        <v>270</v>
      </c>
      <c r="E122" s="458" t="s">
        <v>579</v>
      </c>
      <c r="F122" s="459">
        <f t="shared" si="10"/>
        <v>69565000</v>
      </c>
      <c r="G122" s="459">
        <v>69047146.401985109</v>
      </c>
      <c r="H122" s="459">
        <v>517853.59801489115</v>
      </c>
      <c r="I122" s="459">
        <f t="shared" si="11"/>
        <v>69565000</v>
      </c>
      <c r="J122" s="460"/>
      <c r="K122" s="459"/>
      <c r="L122" s="459"/>
      <c r="M122" s="459"/>
      <c r="N122" s="461"/>
      <c r="O122" s="462"/>
      <c r="P122" s="462"/>
    </row>
    <row r="123" spans="2:16">
      <c r="B123" s="455" t="s">
        <v>577</v>
      </c>
      <c r="C123" s="456">
        <v>44250</v>
      </c>
      <c r="D123" s="457">
        <v>270</v>
      </c>
      <c r="E123" s="458" t="s">
        <v>579</v>
      </c>
      <c r="F123" s="459">
        <f t="shared" si="10"/>
        <v>69565000</v>
      </c>
      <c r="G123" s="459">
        <v>69047146.401985109</v>
      </c>
      <c r="H123" s="459">
        <v>517853.59801489115</v>
      </c>
      <c r="I123" s="459">
        <f t="shared" si="11"/>
        <v>69565000</v>
      </c>
      <c r="J123" s="460"/>
      <c r="K123" s="459"/>
      <c r="L123" s="459"/>
      <c r="M123" s="459"/>
      <c r="N123" s="461"/>
      <c r="O123" s="462"/>
      <c r="P123" s="462"/>
    </row>
    <row r="124" spans="2:16">
      <c r="B124" s="455" t="s">
        <v>580</v>
      </c>
      <c r="C124" s="456">
        <v>44250</v>
      </c>
      <c r="D124" s="457">
        <v>270</v>
      </c>
      <c r="E124" s="458" t="s">
        <v>579</v>
      </c>
      <c r="F124" s="459">
        <f t="shared" si="10"/>
        <v>69565000</v>
      </c>
      <c r="G124" s="459">
        <v>69047146.401985109</v>
      </c>
      <c r="H124" s="459">
        <v>517853.59801489115</v>
      </c>
      <c r="I124" s="459">
        <f t="shared" si="11"/>
        <v>69565000</v>
      </c>
      <c r="J124" s="460"/>
      <c r="K124" s="459"/>
      <c r="L124" s="459"/>
      <c r="M124" s="459"/>
      <c r="N124" s="461"/>
      <c r="O124" s="462"/>
      <c r="P124" s="462"/>
    </row>
    <row r="125" spans="2:16">
      <c r="B125" s="455" t="s">
        <v>575</v>
      </c>
      <c r="C125" s="456">
        <v>44250</v>
      </c>
      <c r="D125" s="457">
        <v>270</v>
      </c>
      <c r="E125" s="458" t="s">
        <v>579</v>
      </c>
      <c r="F125" s="459">
        <f t="shared" si="10"/>
        <v>52173000</v>
      </c>
      <c r="G125" s="459">
        <v>51784615.384615384</v>
      </c>
      <c r="H125" s="459">
        <v>388384.61538461596</v>
      </c>
      <c r="I125" s="459">
        <f t="shared" si="11"/>
        <v>52173000</v>
      </c>
      <c r="J125" s="460"/>
      <c r="K125" s="459"/>
      <c r="L125" s="459"/>
      <c r="M125" s="459"/>
      <c r="N125" s="461"/>
      <c r="O125" s="462"/>
      <c r="P125" s="462"/>
    </row>
    <row r="126" spans="2:16">
      <c r="B126" s="455" t="s">
        <v>582</v>
      </c>
      <c r="C126" s="456"/>
      <c r="D126" s="457"/>
      <c r="E126" s="458" t="s">
        <v>576</v>
      </c>
      <c r="F126" s="459"/>
      <c r="G126" s="459"/>
      <c r="H126" s="459"/>
      <c r="I126" s="459"/>
      <c r="J126" s="456">
        <v>44228</v>
      </c>
      <c r="K126" s="459">
        <v>0</v>
      </c>
      <c r="L126" s="459">
        <v>190625</v>
      </c>
      <c r="M126" s="459">
        <f t="shared" ref="M126:M183" si="12">+K126+L126</f>
        <v>190625</v>
      </c>
      <c r="N126" s="461"/>
      <c r="O126" s="462"/>
      <c r="P126" s="462"/>
    </row>
    <row r="127" spans="2:16">
      <c r="B127" s="455" t="s">
        <v>575</v>
      </c>
      <c r="C127" s="456"/>
      <c r="D127" s="457"/>
      <c r="E127" s="458" t="s">
        <v>576</v>
      </c>
      <c r="F127" s="459"/>
      <c r="G127" s="459"/>
      <c r="H127" s="459"/>
      <c r="I127" s="459"/>
      <c r="J127" s="456">
        <v>44228</v>
      </c>
      <c r="K127" s="459">
        <v>0</v>
      </c>
      <c r="L127" s="459">
        <v>7625000</v>
      </c>
      <c r="M127" s="459">
        <f t="shared" si="12"/>
        <v>7625000</v>
      </c>
      <c r="N127" s="461"/>
      <c r="O127" s="462"/>
      <c r="P127" s="462"/>
    </row>
    <row r="128" spans="2:16">
      <c r="B128" s="455" t="s">
        <v>575</v>
      </c>
      <c r="C128" s="456"/>
      <c r="D128" s="457"/>
      <c r="E128" s="458" t="s">
        <v>576</v>
      </c>
      <c r="F128" s="459"/>
      <c r="G128" s="459"/>
      <c r="H128" s="459"/>
      <c r="I128" s="459"/>
      <c r="J128" s="456">
        <v>44229</v>
      </c>
      <c r="K128" s="459">
        <v>0</v>
      </c>
      <c r="L128" s="459">
        <v>4477500</v>
      </c>
      <c r="M128" s="459">
        <f t="shared" si="12"/>
        <v>4477500</v>
      </c>
      <c r="N128" s="461"/>
      <c r="O128" s="462"/>
      <c r="P128" s="462"/>
    </row>
    <row r="129" spans="2:16">
      <c r="B129" s="455" t="s">
        <v>583</v>
      </c>
      <c r="C129" s="456"/>
      <c r="D129" s="457"/>
      <c r="E129" s="458" t="s">
        <v>576</v>
      </c>
      <c r="F129" s="459"/>
      <c r="G129" s="459"/>
      <c r="H129" s="459"/>
      <c r="I129" s="459"/>
      <c r="J129" s="456">
        <v>44230</v>
      </c>
      <c r="K129" s="459">
        <v>0</v>
      </c>
      <c r="L129" s="459">
        <v>139063</v>
      </c>
      <c r="M129" s="459">
        <f t="shared" si="12"/>
        <v>139063</v>
      </c>
      <c r="N129" s="461"/>
      <c r="O129" s="462"/>
      <c r="P129" s="462"/>
    </row>
    <row r="130" spans="2:16">
      <c r="B130" s="455" t="s">
        <v>577</v>
      </c>
      <c r="C130" s="456"/>
      <c r="D130" s="457"/>
      <c r="E130" s="458" t="s">
        <v>576</v>
      </c>
      <c r="F130" s="459"/>
      <c r="G130" s="459"/>
      <c r="H130" s="459"/>
      <c r="I130" s="459"/>
      <c r="J130" s="456">
        <v>44230</v>
      </c>
      <c r="K130" s="459">
        <v>0</v>
      </c>
      <c r="L130" s="459">
        <v>4102344</v>
      </c>
      <c r="M130" s="459">
        <f t="shared" si="12"/>
        <v>4102344</v>
      </c>
      <c r="N130" s="461"/>
      <c r="O130" s="462"/>
      <c r="P130" s="462"/>
    </row>
    <row r="131" spans="2:16">
      <c r="B131" s="455" t="s">
        <v>575</v>
      </c>
      <c r="C131" s="456"/>
      <c r="D131" s="457"/>
      <c r="E131" s="458" t="s">
        <v>576</v>
      </c>
      <c r="F131" s="459"/>
      <c r="G131" s="459"/>
      <c r="H131" s="459"/>
      <c r="I131" s="459"/>
      <c r="J131" s="456">
        <v>44230</v>
      </c>
      <c r="K131" s="459">
        <v>0</v>
      </c>
      <c r="L131" s="459">
        <v>4102344</v>
      </c>
      <c r="M131" s="459">
        <f t="shared" si="12"/>
        <v>4102344</v>
      </c>
      <c r="N131" s="461"/>
      <c r="O131" s="462"/>
      <c r="P131" s="462"/>
    </row>
    <row r="132" spans="2:16">
      <c r="B132" s="455" t="s">
        <v>586</v>
      </c>
      <c r="C132" s="456"/>
      <c r="D132" s="457"/>
      <c r="E132" s="458" t="s">
        <v>576</v>
      </c>
      <c r="F132" s="459"/>
      <c r="G132" s="459"/>
      <c r="H132" s="459"/>
      <c r="I132" s="459"/>
      <c r="J132" s="456">
        <v>44230</v>
      </c>
      <c r="K132" s="459">
        <v>0</v>
      </c>
      <c r="L132" s="459">
        <v>236406</v>
      </c>
      <c r="M132" s="459">
        <f t="shared" si="12"/>
        <v>236406</v>
      </c>
      <c r="N132" s="461"/>
      <c r="O132" s="462"/>
      <c r="P132" s="462"/>
    </row>
    <row r="133" spans="2:16">
      <c r="B133" s="455" t="s">
        <v>582</v>
      </c>
      <c r="C133" s="456"/>
      <c r="D133" s="457"/>
      <c r="E133" s="458" t="s">
        <v>576</v>
      </c>
      <c r="F133" s="459"/>
      <c r="G133" s="459"/>
      <c r="H133" s="459"/>
      <c r="I133" s="459"/>
      <c r="J133" s="456">
        <v>44230</v>
      </c>
      <c r="K133" s="459">
        <v>0</v>
      </c>
      <c r="L133" s="459">
        <v>21416</v>
      </c>
      <c r="M133" s="459">
        <f t="shared" si="12"/>
        <v>21416</v>
      </c>
      <c r="N133" s="461"/>
      <c r="O133" s="462"/>
      <c r="P133" s="462"/>
    </row>
    <row r="134" spans="2:16">
      <c r="B134" s="455" t="s">
        <v>582</v>
      </c>
      <c r="C134" s="456"/>
      <c r="D134" s="457"/>
      <c r="E134" s="458" t="s">
        <v>576</v>
      </c>
      <c r="F134" s="459"/>
      <c r="G134" s="459"/>
      <c r="H134" s="459"/>
      <c r="I134" s="459"/>
      <c r="J134" s="456">
        <v>44230</v>
      </c>
      <c r="K134" s="459">
        <v>0</v>
      </c>
      <c r="L134" s="459">
        <v>139063</v>
      </c>
      <c r="M134" s="459">
        <f t="shared" si="12"/>
        <v>139063</v>
      </c>
      <c r="N134" s="461"/>
      <c r="O134" s="462"/>
      <c r="P134" s="462"/>
    </row>
    <row r="135" spans="2:16">
      <c r="B135" s="455" t="s">
        <v>584</v>
      </c>
      <c r="C135" s="456"/>
      <c r="D135" s="457"/>
      <c r="E135" s="458" t="s">
        <v>576</v>
      </c>
      <c r="F135" s="459"/>
      <c r="G135" s="459"/>
      <c r="H135" s="459"/>
      <c r="I135" s="459"/>
      <c r="J135" s="456">
        <v>44232</v>
      </c>
      <c r="K135" s="459">
        <v>0</v>
      </c>
      <c r="L135" s="459">
        <v>1952025</v>
      </c>
      <c r="M135" s="459">
        <f t="shared" si="12"/>
        <v>1952025</v>
      </c>
      <c r="N135" s="461"/>
      <c r="O135" s="462"/>
      <c r="P135" s="462"/>
    </row>
    <row r="136" spans="2:16">
      <c r="B136" s="455" t="s">
        <v>575</v>
      </c>
      <c r="C136" s="456"/>
      <c r="D136" s="457"/>
      <c r="E136" s="458" t="s">
        <v>576</v>
      </c>
      <c r="F136" s="459"/>
      <c r="G136" s="459"/>
      <c r="H136" s="459"/>
      <c r="I136" s="459"/>
      <c r="J136" s="456">
        <v>44232</v>
      </c>
      <c r="K136" s="459">
        <v>0</v>
      </c>
      <c r="L136" s="459">
        <v>3961500</v>
      </c>
      <c r="M136" s="459">
        <f t="shared" si="12"/>
        <v>3961500</v>
      </c>
      <c r="N136" s="461"/>
      <c r="O136" s="462"/>
      <c r="P136" s="462"/>
    </row>
    <row r="137" spans="2:16">
      <c r="B137" s="455" t="s">
        <v>585</v>
      </c>
      <c r="C137" s="456"/>
      <c r="D137" s="457"/>
      <c r="E137" s="458" t="s">
        <v>576</v>
      </c>
      <c r="F137" s="459"/>
      <c r="G137" s="459"/>
      <c r="H137" s="459"/>
      <c r="I137" s="459"/>
      <c r="J137" s="456">
        <v>44235</v>
      </c>
      <c r="K137" s="459">
        <v>0</v>
      </c>
      <c r="L137" s="459">
        <v>1887735</v>
      </c>
      <c r="M137" s="459">
        <f t="shared" si="12"/>
        <v>1887735</v>
      </c>
      <c r="N137" s="461"/>
      <c r="O137" s="462"/>
      <c r="P137" s="462"/>
    </row>
    <row r="138" spans="2:16">
      <c r="B138" s="455" t="s">
        <v>577</v>
      </c>
      <c r="C138" s="456"/>
      <c r="D138" s="457"/>
      <c r="E138" s="458" t="s">
        <v>576</v>
      </c>
      <c r="F138" s="459"/>
      <c r="G138" s="459"/>
      <c r="H138" s="459"/>
      <c r="I138" s="459"/>
      <c r="J138" s="456">
        <v>44235</v>
      </c>
      <c r="K138" s="459">
        <v>0</v>
      </c>
      <c r="L138" s="459">
        <v>3167354</v>
      </c>
      <c r="M138" s="459">
        <f t="shared" si="12"/>
        <v>3167354</v>
      </c>
      <c r="N138" s="461"/>
      <c r="O138" s="462"/>
      <c r="P138" s="462"/>
    </row>
    <row r="139" spans="2:16">
      <c r="B139" s="455" t="s">
        <v>575</v>
      </c>
      <c r="C139" s="456"/>
      <c r="D139" s="457"/>
      <c r="E139" s="458" t="s">
        <v>576</v>
      </c>
      <c r="F139" s="459"/>
      <c r="G139" s="459"/>
      <c r="H139" s="459"/>
      <c r="I139" s="459"/>
      <c r="J139" s="456">
        <v>44235</v>
      </c>
      <c r="K139" s="459">
        <v>0</v>
      </c>
      <c r="L139" s="459">
        <v>6000000</v>
      </c>
      <c r="M139" s="459">
        <f t="shared" si="12"/>
        <v>6000000</v>
      </c>
      <c r="N139" s="461"/>
      <c r="O139" s="462"/>
      <c r="P139" s="462"/>
    </row>
    <row r="140" spans="2:16">
      <c r="B140" s="455" t="s">
        <v>582</v>
      </c>
      <c r="C140" s="456"/>
      <c r="D140" s="457"/>
      <c r="E140" s="458" t="s">
        <v>576</v>
      </c>
      <c r="F140" s="459"/>
      <c r="G140" s="459"/>
      <c r="H140" s="459"/>
      <c r="I140" s="459"/>
      <c r="J140" s="456">
        <v>44235</v>
      </c>
      <c r="K140" s="459">
        <v>0</v>
      </c>
      <c r="L140" s="459">
        <v>44375</v>
      </c>
      <c r="M140" s="459">
        <f t="shared" si="12"/>
        <v>44375</v>
      </c>
      <c r="N140" s="461"/>
      <c r="O140" s="462"/>
      <c r="P140" s="462"/>
    </row>
    <row r="141" spans="2:16">
      <c r="B141" s="455" t="s">
        <v>577</v>
      </c>
      <c r="C141" s="456"/>
      <c r="D141" s="457"/>
      <c r="E141" s="458" t="s">
        <v>576</v>
      </c>
      <c r="F141" s="459"/>
      <c r="G141" s="459"/>
      <c r="H141" s="459"/>
      <c r="I141" s="459"/>
      <c r="J141" s="456">
        <v>44235</v>
      </c>
      <c r="K141" s="459">
        <v>0</v>
      </c>
      <c r="L141" s="459">
        <v>1359375</v>
      </c>
      <c r="M141" s="459">
        <f t="shared" si="12"/>
        <v>1359375</v>
      </c>
      <c r="N141" s="461"/>
      <c r="O141" s="462"/>
      <c r="P141" s="462"/>
    </row>
    <row r="142" spans="2:16">
      <c r="B142" s="455" t="s">
        <v>580</v>
      </c>
      <c r="C142" s="456"/>
      <c r="D142" s="457"/>
      <c r="E142" s="458" t="s">
        <v>576</v>
      </c>
      <c r="F142" s="459"/>
      <c r="G142" s="459"/>
      <c r="H142" s="459"/>
      <c r="I142" s="459"/>
      <c r="J142" s="456">
        <v>44235</v>
      </c>
      <c r="K142" s="459">
        <v>0</v>
      </c>
      <c r="L142" s="459">
        <v>1887801</v>
      </c>
      <c r="M142" s="459">
        <f t="shared" si="12"/>
        <v>1887801</v>
      </c>
      <c r="N142" s="461"/>
      <c r="O142" s="462"/>
      <c r="P142" s="462"/>
    </row>
    <row r="143" spans="2:16">
      <c r="B143" s="455" t="s">
        <v>575</v>
      </c>
      <c r="C143" s="456"/>
      <c r="D143" s="457"/>
      <c r="E143" s="458" t="s">
        <v>576</v>
      </c>
      <c r="F143" s="459"/>
      <c r="G143" s="459"/>
      <c r="H143" s="459"/>
      <c r="I143" s="459"/>
      <c r="J143" s="456">
        <v>44235</v>
      </c>
      <c r="K143" s="459">
        <v>0</v>
      </c>
      <c r="L143" s="459">
        <v>2039063</v>
      </c>
      <c r="M143" s="459">
        <f t="shared" si="12"/>
        <v>2039063</v>
      </c>
      <c r="N143" s="461"/>
      <c r="O143" s="462"/>
      <c r="P143" s="462"/>
    </row>
    <row r="144" spans="2:16">
      <c r="B144" s="455" t="s">
        <v>582</v>
      </c>
      <c r="C144" s="456"/>
      <c r="D144" s="457"/>
      <c r="E144" s="458" t="s">
        <v>576</v>
      </c>
      <c r="F144" s="459"/>
      <c r="G144" s="459"/>
      <c r="H144" s="459"/>
      <c r="I144" s="459"/>
      <c r="J144" s="456">
        <v>44235</v>
      </c>
      <c r="K144" s="466">
        <v>2000000</v>
      </c>
      <c r="L144" s="466">
        <v>0</v>
      </c>
      <c r="M144" s="466">
        <f t="shared" si="12"/>
        <v>2000000</v>
      </c>
      <c r="N144" s="461"/>
      <c r="O144" s="462"/>
      <c r="P144" s="462"/>
    </row>
    <row r="145" spans="2:16">
      <c r="B145" s="455" t="s">
        <v>582</v>
      </c>
      <c r="C145" s="456"/>
      <c r="D145" s="457"/>
      <c r="E145" s="458" t="s">
        <v>576</v>
      </c>
      <c r="F145" s="459"/>
      <c r="G145" s="459"/>
      <c r="H145" s="459"/>
      <c r="I145" s="459"/>
      <c r="J145" s="456">
        <v>44235</v>
      </c>
      <c r="K145" s="466">
        <v>100000</v>
      </c>
      <c r="L145" s="466">
        <v>0</v>
      </c>
      <c r="M145" s="466">
        <f t="shared" si="12"/>
        <v>100000</v>
      </c>
      <c r="N145" s="461"/>
      <c r="O145" s="462"/>
      <c r="P145" s="462"/>
    </row>
    <row r="146" spans="2:16">
      <c r="B146" s="455" t="s">
        <v>575</v>
      </c>
      <c r="C146" s="456"/>
      <c r="D146" s="457"/>
      <c r="E146" s="458" t="s">
        <v>576</v>
      </c>
      <c r="F146" s="459"/>
      <c r="G146" s="459"/>
      <c r="H146" s="459"/>
      <c r="I146" s="459"/>
      <c r="J146" s="456">
        <v>44235</v>
      </c>
      <c r="K146" s="466">
        <v>200000000</v>
      </c>
      <c r="L146" s="466">
        <v>0</v>
      </c>
      <c r="M146" s="466">
        <f t="shared" si="12"/>
        <v>200000000</v>
      </c>
      <c r="N146" s="461"/>
      <c r="O146" s="462"/>
      <c r="P146" s="462"/>
    </row>
    <row r="147" spans="2:16">
      <c r="B147" s="455" t="s">
        <v>582</v>
      </c>
      <c r="C147" s="456"/>
      <c r="D147" s="457"/>
      <c r="E147" s="458" t="s">
        <v>576</v>
      </c>
      <c r="F147" s="459"/>
      <c r="G147" s="459"/>
      <c r="H147" s="459"/>
      <c r="I147" s="459"/>
      <c r="J147" s="456">
        <v>44235</v>
      </c>
      <c r="K147" s="459">
        <v>0</v>
      </c>
      <c r="L147" s="459">
        <v>60000</v>
      </c>
      <c r="M147" s="459">
        <f t="shared" si="12"/>
        <v>60000</v>
      </c>
      <c r="N147" s="461"/>
      <c r="O147" s="462"/>
      <c r="P147" s="462"/>
    </row>
    <row r="148" spans="2:16">
      <c r="B148" s="455" t="s">
        <v>582</v>
      </c>
      <c r="C148" s="456"/>
      <c r="D148" s="457"/>
      <c r="E148" s="458" t="s">
        <v>576</v>
      </c>
      <c r="F148" s="459"/>
      <c r="G148" s="459"/>
      <c r="H148" s="459"/>
      <c r="I148" s="459"/>
      <c r="J148" s="456">
        <v>44235</v>
      </c>
      <c r="K148" s="459">
        <v>0</v>
      </c>
      <c r="L148" s="459">
        <v>3000</v>
      </c>
      <c r="M148" s="459">
        <f t="shared" si="12"/>
        <v>3000</v>
      </c>
      <c r="N148" s="461"/>
      <c r="O148" s="462"/>
      <c r="P148" s="462"/>
    </row>
    <row r="149" spans="2:16">
      <c r="B149" s="455" t="s">
        <v>586</v>
      </c>
      <c r="C149" s="456"/>
      <c r="D149" s="457"/>
      <c r="E149" s="458" t="s">
        <v>576</v>
      </c>
      <c r="F149" s="459"/>
      <c r="G149" s="459"/>
      <c r="H149" s="459"/>
      <c r="I149" s="459"/>
      <c r="J149" s="456">
        <v>44235</v>
      </c>
      <c r="K149" s="459">
        <v>0</v>
      </c>
      <c r="L149" s="459">
        <v>110938</v>
      </c>
      <c r="M149" s="459">
        <f t="shared" si="12"/>
        <v>110938</v>
      </c>
      <c r="N149" s="461"/>
      <c r="O149" s="462"/>
      <c r="P149" s="462"/>
    </row>
    <row r="150" spans="2:16">
      <c r="B150" s="455" t="s">
        <v>582</v>
      </c>
      <c r="C150" s="456"/>
      <c r="D150" s="457"/>
      <c r="E150" s="458" t="s">
        <v>576</v>
      </c>
      <c r="F150" s="459"/>
      <c r="G150" s="459"/>
      <c r="H150" s="459"/>
      <c r="I150" s="459"/>
      <c r="J150" s="456">
        <v>44238</v>
      </c>
      <c r="K150" s="459">
        <v>0</v>
      </c>
      <c r="L150" s="459">
        <v>204125</v>
      </c>
      <c r="M150" s="459">
        <f t="shared" si="12"/>
        <v>204125</v>
      </c>
      <c r="N150" s="461"/>
      <c r="O150" s="462"/>
      <c r="P150" s="462"/>
    </row>
    <row r="151" spans="2:16">
      <c r="B151" s="455" t="s">
        <v>575</v>
      </c>
      <c r="C151" s="456"/>
      <c r="D151" s="457"/>
      <c r="E151" s="458" t="s">
        <v>576</v>
      </c>
      <c r="F151" s="459"/>
      <c r="G151" s="459"/>
      <c r="H151" s="459"/>
      <c r="I151" s="459"/>
      <c r="J151" s="456">
        <v>44238</v>
      </c>
      <c r="K151" s="459">
        <v>0</v>
      </c>
      <c r="L151" s="459">
        <v>3881250</v>
      </c>
      <c r="M151" s="459">
        <f t="shared" si="12"/>
        <v>3881250</v>
      </c>
      <c r="N151" s="461"/>
      <c r="O151" s="462"/>
      <c r="P151" s="462"/>
    </row>
    <row r="152" spans="2:16">
      <c r="B152" s="455" t="s">
        <v>587</v>
      </c>
      <c r="C152" s="456"/>
      <c r="D152" s="457"/>
      <c r="E152" s="458" t="s">
        <v>576</v>
      </c>
      <c r="F152" s="459"/>
      <c r="G152" s="459"/>
      <c r="H152" s="459"/>
      <c r="I152" s="459"/>
      <c r="J152" s="456">
        <v>44238</v>
      </c>
      <c r="K152" s="459">
        <v>0</v>
      </c>
      <c r="L152" s="459">
        <v>7188</v>
      </c>
      <c r="M152" s="459">
        <f t="shared" si="12"/>
        <v>7188</v>
      </c>
      <c r="N152" s="461"/>
      <c r="O152" s="462"/>
      <c r="P152" s="462"/>
    </row>
    <row r="153" spans="2:16">
      <c r="B153" s="455" t="s">
        <v>583</v>
      </c>
      <c r="C153" s="456"/>
      <c r="D153" s="457"/>
      <c r="E153" s="458" t="s">
        <v>576</v>
      </c>
      <c r="F153" s="459"/>
      <c r="G153" s="459"/>
      <c r="H153" s="459"/>
      <c r="I153" s="459"/>
      <c r="J153" s="456">
        <v>44238</v>
      </c>
      <c r="K153" s="459">
        <v>0</v>
      </c>
      <c r="L153" s="459">
        <v>143750</v>
      </c>
      <c r="M153" s="459">
        <f t="shared" si="12"/>
        <v>143750</v>
      </c>
      <c r="N153" s="461"/>
      <c r="O153" s="462"/>
      <c r="P153" s="462"/>
    </row>
    <row r="154" spans="2:16">
      <c r="B154" s="455" t="s">
        <v>596</v>
      </c>
      <c r="C154" s="456"/>
      <c r="D154" s="457"/>
      <c r="E154" s="458" t="s">
        <v>576</v>
      </c>
      <c r="F154" s="459"/>
      <c r="G154" s="459"/>
      <c r="H154" s="459"/>
      <c r="I154" s="459"/>
      <c r="J154" s="456">
        <v>44238</v>
      </c>
      <c r="K154" s="459">
        <v>0</v>
      </c>
      <c r="L154" s="459">
        <v>970313</v>
      </c>
      <c r="M154" s="459">
        <f t="shared" si="12"/>
        <v>970313</v>
      </c>
      <c r="N154" s="461"/>
      <c r="O154" s="462"/>
      <c r="P154" s="462"/>
    </row>
    <row r="155" spans="2:16">
      <c r="B155" s="455" t="s">
        <v>577</v>
      </c>
      <c r="C155" s="456"/>
      <c r="D155" s="457"/>
      <c r="E155" s="458" t="s">
        <v>576</v>
      </c>
      <c r="F155" s="459"/>
      <c r="G155" s="459"/>
      <c r="H155" s="459"/>
      <c r="I155" s="459"/>
      <c r="J155" s="456">
        <v>44239</v>
      </c>
      <c r="K155" s="459">
        <v>0</v>
      </c>
      <c r="L155" s="459">
        <v>5138818</v>
      </c>
      <c r="M155" s="459">
        <f t="shared" si="12"/>
        <v>5138818</v>
      </c>
      <c r="N155" s="461"/>
      <c r="O155" s="462"/>
      <c r="P155" s="462"/>
    </row>
    <row r="156" spans="2:16">
      <c r="B156" s="455" t="s">
        <v>583</v>
      </c>
      <c r="C156" s="456"/>
      <c r="D156" s="457"/>
      <c r="E156" s="458" t="s">
        <v>576</v>
      </c>
      <c r="F156" s="459"/>
      <c r="G156" s="459"/>
      <c r="H156" s="459"/>
      <c r="I156" s="459"/>
      <c r="J156" s="456">
        <v>44239</v>
      </c>
      <c r="K156" s="459">
        <v>0</v>
      </c>
      <c r="L156" s="459">
        <v>38554</v>
      </c>
      <c r="M156" s="459">
        <f t="shared" si="12"/>
        <v>38554</v>
      </c>
      <c r="N156" s="461"/>
      <c r="O156" s="462"/>
      <c r="P156" s="462"/>
    </row>
    <row r="157" spans="2:16">
      <c r="B157" s="455" t="s">
        <v>586</v>
      </c>
      <c r="C157" s="456"/>
      <c r="D157" s="457"/>
      <c r="E157" s="458" t="s">
        <v>576</v>
      </c>
      <c r="F157" s="459"/>
      <c r="G157" s="459"/>
      <c r="H157" s="459"/>
      <c r="I157" s="459"/>
      <c r="J157" s="456">
        <v>44239</v>
      </c>
      <c r="K157" s="459">
        <v>0</v>
      </c>
      <c r="L157" s="459">
        <v>38554</v>
      </c>
      <c r="M157" s="459">
        <f t="shared" si="12"/>
        <v>38554</v>
      </c>
      <c r="N157" s="461"/>
      <c r="O157" s="462"/>
      <c r="P157" s="462"/>
    </row>
    <row r="158" spans="2:16">
      <c r="B158" s="455" t="s">
        <v>582</v>
      </c>
      <c r="C158" s="456"/>
      <c r="D158" s="457"/>
      <c r="E158" s="458" t="s">
        <v>576</v>
      </c>
      <c r="F158" s="459"/>
      <c r="G158" s="459"/>
      <c r="H158" s="459"/>
      <c r="I158" s="459"/>
      <c r="J158" s="456">
        <v>44239</v>
      </c>
      <c r="K158" s="459">
        <v>0</v>
      </c>
      <c r="L158" s="459">
        <v>57852</v>
      </c>
      <c r="M158" s="459">
        <f t="shared" si="12"/>
        <v>57852</v>
      </c>
      <c r="N158" s="461"/>
      <c r="O158" s="462"/>
      <c r="P158" s="462"/>
    </row>
    <row r="159" spans="2:16">
      <c r="B159" s="455" t="s">
        <v>585</v>
      </c>
      <c r="C159" s="456"/>
      <c r="D159" s="457"/>
      <c r="E159" s="458" t="s">
        <v>576</v>
      </c>
      <c r="F159" s="459"/>
      <c r="G159" s="459"/>
      <c r="H159" s="459"/>
      <c r="I159" s="459"/>
      <c r="J159" s="456">
        <v>44239</v>
      </c>
      <c r="K159" s="459">
        <v>0</v>
      </c>
      <c r="L159" s="459">
        <v>1286807</v>
      </c>
      <c r="M159" s="459">
        <f t="shared" si="12"/>
        <v>1286807</v>
      </c>
      <c r="N159" s="461"/>
      <c r="O159" s="462"/>
      <c r="P159" s="462"/>
    </row>
    <row r="160" spans="2:16">
      <c r="B160" s="455" t="s">
        <v>582</v>
      </c>
      <c r="C160" s="456"/>
      <c r="D160" s="457"/>
      <c r="E160" s="458" t="s">
        <v>576</v>
      </c>
      <c r="F160" s="459"/>
      <c r="G160" s="459"/>
      <c r="H160" s="459"/>
      <c r="I160" s="459"/>
      <c r="J160" s="456">
        <v>44239</v>
      </c>
      <c r="K160" s="459">
        <v>0</v>
      </c>
      <c r="L160" s="459">
        <v>404103</v>
      </c>
      <c r="M160" s="459">
        <f t="shared" si="12"/>
        <v>404103</v>
      </c>
      <c r="N160" s="461"/>
      <c r="O160" s="462"/>
      <c r="P160" s="462"/>
    </row>
    <row r="161" spans="2:16">
      <c r="B161" s="455" t="s">
        <v>577</v>
      </c>
      <c r="C161" s="456"/>
      <c r="D161" s="457"/>
      <c r="E161" s="458" t="s">
        <v>576</v>
      </c>
      <c r="F161" s="459"/>
      <c r="G161" s="459"/>
      <c r="H161" s="459"/>
      <c r="I161" s="459"/>
      <c r="J161" s="456">
        <v>44242</v>
      </c>
      <c r="K161" s="459">
        <v>0</v>
      </c>
      <c r="L161" s="459">
        <v>7750000</v>
      </c>
      <c r="M161" s="459">
        <f t="shared" si="12"/>
        <v>7750000</v>
      </c>
      <c r="N161" s="461"/>
      <c r="O161" s="462"/>
      <c r="P161" s="462"/>
    </row>
    <row r="162" spans="2:16">
      <c r="B162" s="455" t="s">
        <v>575</v>
      </c>
      <c r="C162" s="456"/>
      <c r="D162" s="457"/>
      <c r="E162" s="458" t="s">
        <v>576</v>
      </c>
      <c r="F162" s="459"/>
      <c r="G162" s="459"/>
      <c r="H162" s="459"/>
      <c r="I162" s="459"/>
      <c r="J162" s="456">
        <v>44242</v>
      </c>
      <c r="K162" s="459">
        <v>0</v>
      </c>
      <c r="L162" s="459">
        <v>1512329</v>
      </c>
      <c r="M162" s="459">
        <f t="shared" si="12"/>
        <v>1512329</v>
      </c>
      <c r="N162" s="461"/>
      <c r="O162" s="462"/>
      <c r="P162" s="462"/>
    </row>
    <row r="163" spans="2:16">
      <c r="B163" s="455" t="s">
        <v>575</v>
      </c>
      <c r="C163" s="456"/>
      <c r="D163" s="457"/>
      <c r="E163" s="458" t="s">
        <v>576</v>
      </c>
      <c r="F163" s="459"/>
      <c r="G163" s="459"/>
      <c r="H163" s="459"/>
      <c r="I163" s="459"/>
      <c r="J163" s="456">
        <v>44242</v>
      </c>
      <c r="K163" s="459">
        <v>0</v>
      </c>
      <c r="L163" s="459">
        <v>1480822</v>
      </c>
      <c r="M163" s="459">
        <f t="shared" si="12"/>
        <v>1480822</v>
      </c>
      <c r="N163" s="461"/>
      <c r="O163" s="462"/>
      <c r="P163" s="462"/>
    </row>
    <row r="164" spans="2:16">
      <c r="B164" s="455" t="s">
        <v>577</v>
      </c>
      <c r="C164" s="456"/>
      <c r="D164" s="457"/>
      <c r="E164" s="458" t="s">
        <v>576</v>
      </c>
      <c r="F164" s="459"/>
      <c r="G164" s="459"/>
      <c r="H164" s="459"/>
      <c r="I164" s="459"/>
      <c r="J164" s="456">
        <v>44243</v>
      </c>
      <c r="K164" s="459">
        <v>0</v>
      </c>
      <c r="L164" s="459">
        <v>9073973</v>
      </c>
      <c r="M164" s="459">
        <f t="shared" si="12"/>
        <v>9073973</v>
      </c>
      <c r="N164" s="461"/>
      <c r="O164" s="462"/>
      <c r="P164" s="462"/>
    </row>
    <row r="165" spans="2:16">
      <c r="B165" s="455" t="s">
        <v>577</v>
      </c>
      <c r="C165" s="456"/>
      <c r="D165" s="457"/>
      <c r="E165" s="458" t="s">
        <v>576</v>
      </c>
      <c r="F165" s="459"/>
      <c r="G165" s="459"/>
      <c r="H165" s="459"/>
      <c r="I165" s="459"/>
      <c r="J165" s="456">
        <v>44244</v>
      </c>
      <c r="K165" s="459">
        <v>0</v>
      </c>
      <c r="L165" s="459">
        <v>1835258</v>
      </c>
      <c r="M165" s="459">
        <f t="shared" si="12"/>
        <v>1835258</v>
      </c>
      <c r="N165" s="461"/>
      <c r="O165" s="462"/>
      <c r="P165" s="462"/>
    </row>
    <row r="166" spans="2:16">
      <c r="B166" s="455" t="s">
        <v>583</v>
      </c>
      <c r="C166" s="456"/>
      <c r="D166" s="457"/>
      <c r="E166" s="458" t="s">
        <v>576</v>
      </c>
      <c r="F166" s="459"/>
      <c r="G166" s="459"/>
      <c r="H166" s="459"/>
      <c r="I166" s="459"/>
      <c r="J166" s="456">
        <v>44244</v>
      </c>
      <c r="K166" s="459">
        <v>0</v>
      </c>
      <c r="L166" s="459">
        <v>3422</v>
      </c>
      <c r="M166" s="459">
        <f t="shared" si="12"/>
        <v>3422</v>
      </c>
      <c r="N166" s="461"/>
      <c r="O166" s="462"/>
      <c r="P166" s="462"/>
    </row>
    <row r="167" spans="2:16">
      <c r="B167" s="455" t="s">
        <v>580</v>
      </c>
      <c r="C167" s="456"/>
      <c r="D167" s="457"/>
      <c r="E167" s="458" t="s">
        <v>576</v>
      </c>
      <c r="F167" s="459"/>
      <c r="G167" s="459"/>
      <c r="H167" s="459"/>
      <c r="I167" s="459"/>
      <c r="J167" s="456">
        <v>44244</v>
      </c>
      <c r="K167" s="459">
        <v>0</v>
      </c>
      <c r="L167" s="459">
        <v>1835303</v>
      </c>
      <c r="M167" s="459">
        <f t="shared" si="12"/>
        <v>1835303</v>
      </c>
      <c r="N167" s="461"/>
      <c r="O167" s="462"/>
      <c r="P167" s="462"/>
    </row>
    <row r="168" spans="2:16">
      <c r="B168" s="455" t="s">
        <v>585</v>
      </c>
      <c r="C168" s="456"/>
      <c r="D168" s="457"/>
      <c r="E168" s="458" t="s">
        <v>576</v>
      </c>
      <c r="F168" s="459"/>
      <c r="G168" s="459"/>
      <c r="H168" s="459"/>
      <c r="I168" s="459"/>
      <c r="J168" s="456">
        <v>44244</v>
      </c>
      <c r="K168" s="459">
        <v>0</v>
      </c>
      <c r="L168" s="459">
        <v>1835258</v>
      </c>
      <c r="M168" s="459">
        <f t="shared" si="12"/>
        <v>1835258</v>
      </c>
      <c r="N168" s="461"/>
      <c r="O168" s="462"/>
      <c r="P168" s="462"/>
    </row>
    <row r="169" spans="2:16">
      <c r="B169" s="455" t="s">
        <v>575</v>
      </c>
      <c r="C169" s="456"/>
      <c r="D169" s="457"/>
      <c r="E169" s="458" t="s">
        <v>576</v>
      </c>
      <c r="F169" s="459"/>
      <c r="G169" s="459"/>
      <c r="H169" s="459"/>
      <c r="I169" s="459"/>
      <c r="J169" s="456">
        <v>44244</v>
      </c>
      <c r="K169" s="459">
        <v>0</v>
      </c>
      <c r="L169" s="459">
        <v>1613925</v>
      </c>
      <c r="M169" s="459">
        <f t="shared" si="12"/>
        <v>1613925</v>
      </c>
      <c r="N169" s="461"/>
      <c r="O169" s="462"/>
      <c r="P169" s="462"/>
    </row>
    <row r="170" spans="2:16">
      <c r="B170" s="455" t="s">
        <v>582</v>
      </c>
      <c r="C170" s="456"/>
      <c r="D170" s="457"/>
      <c r="E170" s="458" t="s">
        <v>576</v>
      </c>
      <c r="F170" s="459"/>
      <c r="G170" s="459"/>
      <c r="H170" s="459"/>
      <c r="I170" s="459"/>
      <c r="J170" s="456">
        <v>44244</v>
      </c>
      <c r="K170" s="459">
        <v>0</v>
      </c>
      <c r="L170" s="459">
        <v>45625</v>
      </c>
      <c r="M170" s="459">
        <f t="shared" si="12"/>
        <v>45625</v>
      </c>
      <c r="N170" s="461"/>
      <c r="O170" s="462"/>
      <c r="P170" s="462"/>
    </row>
    <row r="171" spans="2:16">
      <c r="B171" s="455" t="s">
        <v>582</v>
      </c>
      <c r="C171" s="456"/>
      <c r="D171" s="457"/>
      <c r="E171" s="458" t="s">
        <v>576</v>
      </c>
      <c r="F171" s="459"/>
      <c r="G171" s="459"/>
      <c r="H171" s="459"/>
      <c r="I171" s="459"/>
      <c r="J171" s="456">
        <v>44245</v>
      </c>
      <c r="K171" s="459">
        <v>0</v>
      </c>
      <c r="L171" s="459">
        <v>13344</v>
      </c>
      <c r="M171" s="459">
        <f t="shared" si="12"/>
        <v>13344</v>
      </c>
      <c r="N171" s="461"/>
      <c r="O171" s="462"/>
      <c r="P171" s="462"/>
    </row>
    <row r="172" spans="2:16">
      <c r="B172" s="455" t="s">
        <v>582</v>
      </c>
      <c r="C172" s="456"/>
      <c r="D172" s="457"/>
      <c r="E172" s="458" t="s">
        <v>576</v>
      </c>
      <c r="F172" s="459"/>
      <c r="G172" s="459"/>
      <c r="H172" s="459"/>
      <c r="I172" s="459"/>
      <c r="J172" s="456">
        <v>44245</v>
      </c>
      <c r="K172" s="459">
        <v>0</v>
      </c>
      <c r="L172" s="459">
        <v>95</v>
      </c>
      <c r="M172" s="459">
        <f t="shared" si="12"/>
        <v>95</v>
      </c>
      <c r="N172" s="461"/>
      <c r="O172" s="462"/>
      <c r="P172" s="462"/>
    </row>
    <row r="173" spans="2:16">
      <c r="B173" s="455" t="s">
        <v>583</v>
      </c>
      <c r="C173" s="456"/>
      <c r="D173" s="457"/>
      <c r="E173" s="458" t="s">
        <v>576</v>
      </c>
      <c r="F173" s="459"/>
      <c r="G173" s="459"/>
      <c r="H173" s="459"/>
      <c r="I173" s="459"/>
      <c r="J173" s="456">
        <v>44245</v>
      </c>
      <c r="K173" s="459">
        <v>0</v>
      </c>
      <c r="L173" s="459">
        <v>381250</v>
      </c>
      <c r="M173" s="459">
        <f t="shared" si="12"/>
        <v>381250</v>
      </c>
      <c r="N173" s="461"/>
      <c r="O173" s="462"/>
      <c r="P173" s="462"/>
    </row>
    <row r="174" spans="2:16">
      <c r="B174" s="455" t="s">
        <v>577</v>
      </c>
      <c r="C174" s="456"/>
      <c r="D174" s="457"/>
      <c r="E174" s="458" t="s">
        <v>576</v>
      </c>
      <c r="F174" s="459"/>
      <c r="G174" s="459"/>
      <c r="H174" s="459"/>
      <c r="I174" s="459"/>
      <c r="J174" s="456">
        <v>44245</v>
      </c>
      <c r="K174" s="459">
        <v>0</v>
      </c>
      <c r="L174" s="459">
        <v>1250977</v>
      </c>
      <c r="M174" s="459">
        <f t="shared" si="12"/>
        <v>1250977</v>
      </c>
      <c r="N174" s="461"/>
      <c r="O174" s="462"/>
      <c r="P174" s="462"/>
    </row>
    <row r="175" spans="2:16">
      <c r="B175" s="455" t="s">
        <v>580</v>
      </c>
      <c r="C175" s="456"/>
      <c r="D175" s="457"/>
      <c r="E175" s="458" t="s">
        <v>576</v>
      </c>
      <c r="F175" s="459"/>
      <c r="G175" s="459"/>
      <c r="H175" s="459"/>
      <c r="I175" s="459"/>
      <c r="J175" s="456">
        <v>44245</v>
      </c>
      <c r="K175" s="459">
        <v>0</v>
      </c>
      <c r="L175" s="459">
        <v>3107133</v>
      </c>
      <c r="M175" s="459">
        <f t="shared" si="12"/>
        <v>3107133</v>
      </c>
      <c r="N175" s="461"/>
      <c r="O175" s="462"/>
      <c r="P175" s="462"/>
    </row>
    <row r="176" spans="2:16">
      <c r="B176" s="455" t="s">
        <v>597</v>
      </c>
      <c r="C176" s="456"/>
      <c r="D176" s="457"/>
      <c r="E176" s="458" t="s">
        <v>576</v>
      </c>
      <c r="F176" s="459"/>
      <c r="G176" s="459"/>
      <c r="H176" s="459"/>
      <c r="I176" s="459"/>
      <c r="J176" s="456">
        <v>44245</v>
      </c>
      <c r="K176" s="459">
        <v>0</v>
      </c>
      <c r="L176" s="459">
        <v>4169922</v>
      </c>
      <c r="M176" s="459">
        <f t="shared" si="12"/>
        <v>4169922</v>
      </c>
      <c r="N176" s="461"/>
      <c r="O176" s="462"/>
      <c r="P176" s="462"/>
    </row>
    <row r="177" spans="2:16">
      <c r="B177" s="455" t="s">
        <v>578</v>
      </c>
      <c r="C177" s="456"/>
      <c r="D177" s="457"/>
      <c r="E177" s="458" t="s">
        <v>576</v>
      </c>
      <c r="F177" s="459"/>
      <c r="G177" s="459"/>
      <c r="H177" s="459"/>
      <c r="I177" s="459"/>
      <c r="J177" s="456">
        <v>44245</v>
      </c>
      <c r="K177" s="459">
        <v>0</v>
      </c>
      <c r="L177" s="459">
        <v>6750000</v>
      </c>
      <c r="M177" s="459">
        <f t="shared" si="12"/>
        <v>6750000</v>
      </c>
      <c r="N177" s="461"/>
      <c r="O177" s="462"/>
      <c r="P177" s="462"/>
    </row>
    <row r="178" spans="2:16">
      <c r="B178" s="455" t="s">
        <v>585</v>
      </c>
      <c r="C178" s="456"/>
      <c r="D178" s="457"/>
      <c r="E178" s="458" t="s">
        <v>576</v>
      </c>
      <c r="F178" s="459"/>
      <c r="G178" s="459"/>
      <c r="H178" s="459"/>
      <c r="I178" s="459"/>
      <c r="J178" s="456">
        <v>44250</v>
      </c>
      <c r="K178" s="459">
        <v>0</v>
      </c>
      <c r="L178" s="459">
        <v>6363353</v>
      </c>
      <c r="M178" s="459">
        <f t="shared" si="12"/>
        <v>6363353</v>
      </c>
      <c r="N178" s="461"/>
      <c r="O178" s="462"/>
      <c r="P178" s="462"/>
    </row>
    <row r="179" spans="2:16">
      <c r="B179" s="455" t="s">
        <v>586</v>
      </c>
      <c r="C179" s="456"/>
      <c r="D179" s="457"/>
      <c r="E179" s="458" t="s">
        <v>576</v>
      </c>
      <c r="F179" s="459"/>
      <c r="G179" s="459"/>
      <c r="H179" s="459"/>
      <c r="I179" s="459"/>
      <c r="J179" s="456">
        <v>44250</v>
      </c>
      <c r="K179" s="459">
        <v>0</v>
      </c>
      <c r="L179" s="459">
        <v>435498</v>
      </c>
      <c r="M179" s="459">
        <f t="shared" si="12"/>
        <v>435498</v>
      </c>
      <c r="N179" s="461"/>
      <c r="O179" s="462"/>
      <c r="P179" s="462"/>
    </row>
    <row r="180" spans="2:16">
      <c r="B180" s="455" t="s">
        <v>580</v>
      </c>
      <c r="C180" s="456"/>
      <c r="D180" s="457"/>
      <c r="E180" s="458" t="s">
        <v>576</v>
      </c>
      <c r="F180" s="459"/>
      <c r="G180" s="459"/>
      <c r="H180" s="459"/>
      <c r="I180" s="459"/>
      <c r="J180" s="456">
        <v>44250</v>
      </c>
      <c r="K180" s="459">
        <v>0</v>
      </c>
      <c r="L180" s="459">
        <v>1390350</v>
      </c>
      <c r="M180" s="459">
        <f t="shared" si="12"/>
        <v>1390350</v>
      </c>
      <c r="N180" s="461"/>
      <c r="O180" s="462"/>
      <c r="P180" s="462"/>
    </row>
    <row r="181" spans="2:16">
      <c r="B181" s="455" t="s">
        <v>575</v>
      </c>
      <c r="C181" s="456"/>
      <c r="D181" s="457"/>
      <c r="E181" s="458" t="s">
        <v>576</v>
      </c>
      <c r="F181" s="459"/>
      <c r="G181" s="459"/>
      <c r="H181" s="459"/>
      <c r="I181" s="459"/>
      <c r="J181" s="456">
        <v>44250</v>
      </c>
      <c r="K181" s="459">
        <v>0</v>
      </c>
      <c r="L181" s="459">
        <v>695175</v>
      </c>
      <c r="M181" s="459">
        <f t="shared" si="12"/>
        <v>695175</v>
      </c>
      <c r="N181" s="461"/>
      <c r="O181" s="462"/>
      <c r="P181" s="462"/>
    </row>
    <row r="182" spans="2:16">
      <c r="B182" s="455" t="s">
        <v>577</v>
      </c>
      <c r="C182" s="456"/>
      <c r="D182" s="457"/>
      <c r="E182" s="458" t="s">
        <v>576</v>
      </c>
      <c r="F182" s="459"/>
      <c r="G182" s="459"/>
      <c r="H182" s="459"/>
      <c r="I182" s="459"/>
      <c r="J182" s="456">
        <v>44250</v>
      </c>
      <c r="K182" s="459">
        <v>0</v>
      </c>
      <c r="L182" s="459">
        <v>1390350</v>
      </c>
      <c r="M182" s="459">
        <f t="shared" si="12"/>
        <v>1390350</v>
      </c>
      <c r="N182" s="461"/>
      <c r="O182" s="462"/>
      <c r="P182" s="462"/>
    </row>
    <row r="183" spans="2:16">
      <c r="B183" s="455" t="s">
        <v>597</v>
      </c>
      <c r="C183" s="456"/>
      <c r="D183" s="457"/>
      <c r="E183" s="458" t="s">
        <v>576</v>
      </c>
      <c r="F183" s="459"/>
      <c r="G183" s="459"/>
      <c r="H183" s="459"/>
      <c r="I183" s="459"/>
      <c r="J183" s="456">
        <v>44253</v>
      </c>
      <c r="K183" s="459">
        <v>0</v>
      </c>
      <c r="L183" s="459">
        <v>2325000</v>
      </c>
      <c r="M183" s="459">
        <f t="shared" si="12"/>
        <v>2325000</v>
      </c>
      <c r="N183" s="461"/>
      <c r="O183" s="462"/>
      <c r="P183" s="462"/>
    </row>
    <row r="184" spans="2:16">
      <c r="B184" s="467" t="s">
        <v>588</v>
      </c>
      <c r="C184" s="468"/>
      <c r="D184" s="469"/>
      <c r="E184" s="470"/>
      <c r="F184" s="459"/>
      <c r="G184" s="471">
        <f>(E608-D608)*1000000</f>
        <v>-32686814.000000935</v>
      </c>
      <c r="H184" s="465"/>
      <c r="I184" s="465"/>
      <c r="J184" s="472"/>
      <c r="K184" s="473"/>
      <c r="L184" s="473"/>
      <c r="M184" s="473"/>
      <c r="N184" s="461"/>
      <c r="O184" s="462"/>
      <c r="P184" s="462"/>
    </row>
    <row r="185" spans="2:16">
      <c r="B185" s="467" t="s">
        <v>589</v>
      </c>
      <c r="C185" s="468"/>
      <c r="D185" s="469"/>
      <c r="E185" s="470" t="s">
        <v>590</v>
      </c>
      <c r="F185" s="459"/>
      <c r="G185" s="471"/>
      <c r="H185" s="465"/>
      <c r="I185" s="465"/>
      <c r="J185" s="472"/>
      <c r="K185" s="473"/>
      <c r="L185" s="473"/>
      <c r="M185" s="473"/>
      <c r="N185" s="461"/>
      <c r="O185" s="462"/>
      <c r="P185" s="462"/>
    </row>
    <row r="186" spans="2:16">
      <c r="B186" s="467" t="s">
        <v>591</v>
      </c>
      <c r="C186" s="468"/>
      <c r="D186" s="469"/>
      <c r="E186" s="470" t="s">
        <v>592</v>
      </c>
      <c r="F186" s="459"/>
      <c r="G186" s="471"/>
      <c r="H186" s="465"/>
      <c r="I186" s="465"/>
      <c r="J186" s="472"/>
      <c r="K186" s="473"/>
      <c r="L186" s="473"/>
      <c r="M186" s="473"/>
      <c r="N186" s="461"/>
      <c r="O186" s="462"/>
      <c r="P186" s="462"/>
    </row>
    <row r="187" spans="2:16" ht="12.5">
      <c r="B187" s="474" t="s">
        <v>593</v>
      </c>
      <c r="C187" s="475"/>
      <c r="D187" s="475"/>
      <c r="E187" s="476"/>
      <c r="F187" s="477">
        <f>SUM(F106:F186)</f>
        <v>1850430000</v>
      </c>
      <c r="G187" s="477">
        <f>SUM(G106:G186)</f>
        <v>1812415755.0733814</v>
      </c>
      <c r="H187" s="477">
        <f>SUM(H106:H186)</f>
        <v>5327430.9266175106</v>
      </c>
      <c r="I187" s="477">
        <f>SUM(I106:I186)</f>
        <v>1850430000</v>
      </c>
      <c r="J187" s="477"/>
      <c r="K187" s="477">
        <f>SUM(K106:K186)</f>
        <v>202100000</v>
      </c>
      <c r="L187" s="477">
        <f>SUM(L106:L186)</f>
        <v>110936603</v>
      </c>
      <c r="M187" s="477">
        <f>SUM(M106:M186)</f>
        <v>313036603</v>
      </c>
      <c r="N187" s="478">
        <f>+G187-K187</f>
        <v>1610315755.0733814</v>
      </c>
      <c r="O187" s="478">
        <f>+(E598-D598)*1000000</f>
        <v>365967474.32432765</v>
      </c>
      <c r="P187" s="478">
        <f>N187-O187</f>
        <v>1244348280.7490537</v>
      </c>
    </row>
    <row r="188" spans="2:16" ht="12.5">
      <c r="B188" s="455" t="s">
        <v>594</v>
      </c>
      <c r="C188" s="479">
        <v>44232</v>
      </c>
      <c r="D188" s="457">
        <v>180</v>
      </c>
      <c r="E188" s="480" t="s">
        <v>579</v>
      </c>
      <c r="F188" s="459">
        <f t="shared" ref="F188:F192" si="13">G188+H188</f>
        <v>50005000</v>
      </c>
      <c r="G188" s="459">
        <v>49756218.905472644</v>
      </c>
      <c r="H188" s="459">
        <v>248781.09452735633</v>
      </c>
      <c r="I188" s="459">
        <f t="shared" ref="I188:I192" si="14">+G188+H188</f>
        <v>50005000</v>
      </c>
      <c r="J188" s="489"/>
      <c r="K188" s="490"/>
      <c r="L188" s="490"/>
      <c r="M188" s="490"/>
      <c r="N188" s="481"/>
      <c r="O188" s="462"/>
      <c r="P188" s="482"/>
    </row>
    <row r="189" spans="2:16" ht="12.5">
      <c r="B189" s="455" t="s">
        <v>594</v>
      </c>
      <c r="C189" s="479">
        <v>44239</v>
      </c>
      <c r="D189" s="457">
        <v>210</v>
      </c>
      <c r="E189" s="480" t="s">
        <v>579</v>
      </c>
      <c r="F189" s="459">
        <f t="shared" si="13"/>
        <v>70000000</v>
      </c>
      <c r="G189" s="459">
        <v>69594034.797017395</v>
      </c>
      <c r="H189" s="459">
        <v>405965.2029826045</v>
      </c>
      <c r="I189" s="459">
        <f t="shared" si="14"/>
        <v>70000000</v>
      </c>
      <c r="J189" s="489"/>
      <c r="K189" s="490"/>
      <c r="L189" s="490"/>
      <c r="M189" s="490"/>
      <c r="N189" s="481"/>
      <c r="O189" s="462"/>
      <c r="P189" s="482"/>
    </row>
    <row r="190" spans="2:16" ht="12.5">
      <c r="B190" s="455" t="s">
        <v>594</v>
      </c>
      <c r="C190" s="479">
        <v>44243</v>
      </c>
      <c r="D190" s="457">
        <v>3240</v>
      </c>
      <c r="E190" s="480" t="s">
        <v>576</v>
      </c>
      <c r="F190" s="459">
        <f t="shared" si="13"/>
        <v>560000000</v>
      </c>
      <c r="G190" s="459">
        <v>560000000</v>
      </c>
      <c r="H190" s="459">
        <v>0</v>
      </c>
      <c r="I190" s="459">
        <f t="shared" si="14"/>
        <v>560000000</v>
      </c>
      <c r="J190" s="489"/>
      <c r="K190" s="490"/>
      <c r="L190" s="490"/>
      <c r="M190" s="490"/>
      <c r="N190" s="481"/>
      <c r="O190" s="462"/>
      <c r="P190" s="482"/>
    </row>
    <row r="191" spans="2:16" ht="12.5">
      <c r="B191" s="455" t="s">
        <v>594</v>
      </c>
      <c r="C191" s="479">
        <v>44250</v>
      </c>
      <c r="D191" s="457">
        <v>270</v>
      </c>
      <c r="E191" s="480" t="s">
        <v>579</v>
      </c>
      <c r="F191" s="459">
        <f t="shared" si="13"/>
        <v>69565000</v>
      </c>
      <c r="G191" s="459">
        <v>69047146.401985109</v>
      </c>
      <c r="H191" s="459">
        <v>517853.59801489115</v>
      </c>
      <c r="I191" s="459">
        <f t="shared" si="14"/>
        <v>69565000</v>
      </c>
      <c r="J191" s="489"/>
      <c r="K191" s="490"/>
      <c r="L191" s="490"/>
      <c r="M191" s="490"/>
      <c r="N191" s="481"/>
      <c r="O191" s="462"/>
      <c r="P191" s="482"/>
    </row>
    <row r="192" spans="2:16" ht="12.5">
      <c r="B192" s="455" t="s">
        <v>594</v>
      </c>
      <c r="C192" s="479">
        <v>44253</v>
      </c>
      <c r="D192" s="457">
        <v>2880</v>
      </c>
      <c r="E192" s="480" t="s">
        <v>576</v>
      </c>
      <c r="F192" s="459">
        <f t="shared" si="13"/>
        <v>400000000</v>
      </c>
      <c r="G192" s="459">
        <v>400000000</v>
      </c>
      <c r="H192" s="459">
        <v>0</v>
      </c>
      <c r="I192" s="459">
        <f t="shared" si="14"/>
        <v>400000000</v>
      </c>
      <c r="J192" s="489"/>
      <c r="K192" s="490"/>
      <c r="L192" s="490"/>
      <c r="M192" s="490"/>
      <c r="N192" s="481"/>
      <c r="O192" s="462"/>
      <c r="P192" s="482"/>
    </row>
    <row r="193" spans="2:17" ht="12.5">
      <c r="B193" s="455" t="s">
        <v>594</v>
      </c>
      <c r="C193" s="479"/>
      <c r="D193" s="457"/>
      <c r="E193" s="480" t="s">
        <v>576</v>
      </c>
      <c r="F193" s="459"/>
      <c r="G193" s="459"/>
      <c r="H193" s="459"/>
      <c r="I193" s="459"/>
      <c r="J193" s="456">
        <v>44228</v>
      </c>
      <c r="K193" s="459">
        <v>0</v>
      </c>
      <c r="L193" s="459">
        <v>9843750</v>
      </c>
      <c r="M193" s="484">
        <f t="shared" ref="M193:M206" si="15">+K193+L193</f>
        <v>9843750</v>
      </c>
      <c r="N193" s="481"/>
      <c r="O193" s="462"/>
      <c r="P193" s="482"/>
      <c r="Q193" s="491"/>
    </row>
    <row r="194" spans="2:17" ht="12.5">
      <c r="B194" s="455" t="s">
        <v>594</v>
      </c>
      <c r="C194" s="479"/>
      <c r="D194" s="457"/>
      <c r="E194" s="480" t="s">
        <v>576</v>
      </c>
      <c r="F194" s="459"/>
      <c r="G194" s="459"/>
      <c r="H194" s="459"/>
      <c r="I194" s="459"/>
      <c r="J194" s="456">
        <v>44229</v>
      </c>
      <c r="K194" s="459">
        <v>0</v>
      </c>
      <c r="L194" s="492">
        <v>4477500</v>
      </c>
      <c r="M194" s="484">
        <f t="shared" si="15"/>
        <v>4477500</v>
      </c>
      <c r="N194" s="481"/>
      <c r="O194" s="462"/>
      <c r="P194" s="482"/>
      <c r="Q194" s="491"/>
    </row>
    <row r="195" spans="2:17" ht="12.5">
      <c r="B195" s="455" t="s">
        <v>594</v>
      </c>
      <c r="C195" s="479"/>
      <c r="D195" s="457"/>
      <c r="E195" s="480" t="s">
        <v>576</v>
      </c>
      <c r="F195" s="459"/>
      <c r="G195" s="459"/>
      <c r="H195" s="459"/>
      <c r="I195" s="459"/>
      <c r="J195" s="456">
        <v>44232</v>
      </c>
      <c r="K195" s="459">
        <v>0</v>
      </c>
      <c r="L195" s="492">
        <v>3961475</v>
      </c>
      <c r="M195" s="484">
        <f t="shared" si="15"/>
        <v>3961475</v>
      </c>
      <c r="N195" s="481"/>
      <c r="O195" s="462"/>
      <c r="P195" s="482"/>
      <c r="Q195" s="491"/>
    </row>
    <row r="196" spans="2:17" ht="12.5">
      <c r="B196" s="455" t="s">
        <v>594</v>
      </c>
      <c r="C196" s="479"/>
      <c r="D196" s="457"/>
      <c r="E196" s="480" t="s">
        <v>576</v>
      </c>
      <c r="F196" s="459"/>
      <c r="G196" s="459"/>
      <c r="H196" s="459"/>
      <c r="I196" s="459"/>
      <c r="J196" s="456">
        <v>44235</v>
      </c>
      <c r="K196" s="459">
        <v>0</v>
      </c>
      <c r="L196" s="492">
        <v>12562500</v>
      </c>
      <c r="M196" s="484">
        <f t="shared" si="15"/>
        <v>12562500</v>
      </c>
      <c r="N196" s="481"/>
      <c r="O196" s="462"/>
      <c r="P196" s="482"/>
      <c r="Q196" s="491"/>
    </row>
    <row r="197" spans="2:17" ht="12.5">
      <c r="B197" s="455" t="s">
        <v>594</v>
      </c>
      <c r="C197" s="479"/>
      <c r="D197" s="457"/>
      <c r="E197" s="480" t="s">
        <v>576</v>
      </c>
      <c r="F197" s="459"/>
      <c r="G197" s="459"/>
      <c r="H197" s="459"/>
      <c r="I197" s="459"/>
      <c r="J197" s="456">
        <v>44235</v>
      </c>
      <c r="K197" s="459">
        <v>0</v>
      </c>
      <c r="L197" s="492">
        <v>1887735</v>
      </c>
      <c r="M197" s="484">
        <f t="shared" si="15"/>
        <v>1887735</v>
      </c>
      <c r="N197" s="481"/>
      <c r="O197" s="462"/>
      <c r="P197" s="482"/>
      <c r="Q197" s="491"/>
    </row>
    <row r="198" spans="2:17" ht="12.5">
      <c r="B198" s="455" t="s">
        <v>594</v>
      </c>
      <c r="C198" s="479"/>
      <c r="D198" s="457"/>
      <c r="E198" s="480" t="s">
        <v>576</v>
      </c>
      <c r="F198" s="459"/>
      <c r="G198" s="459"/>
      <c r="H198" s="459"/>
      <c r="I198" s="459"/>
      <c r="J198" s="456">
        <v>44235</v>
      </c>
      <c r="K198" s="459">
        <v>0</v>
      </c>
      <c r="L198" s="492">
        <v>2039063</v>
      </c>
      <c r="M198" s="484">
        <f t="shared" si="15"/>
        <v>2039063</v>
      </c>
      <c r="N198" s="481"/>
      <c r="O198" s="462"/>
      <c r="P198" s="482"/>
      <c r="Q198" s="491"/>
    </row>
    <row r="199" spans="2:17" ht="12.5">
      <c r="B199" s="455" t="s">
        <v>594</v>
      </c>
      <c r="C199" s="479"/>
      <c r="D199" s="457"/>
      <c r="E199" s="480" t="s">
        <v>576</v>
      </c>
      <c r="F199" s="459"/>
      <c r="G199" s="459"/>
      <c r="H199" s="459"/>
      <c r="I199" s="459"/>
      <c r="J199" s="456">
        <v>44236</v>
      </c>
      <c r="K199" s="459">
        <v>0</v>
      </c>
      <c r="L199" s="492">
        <v>5923288</v>
      </c>
      <c r="M199" s="484">
        <f t="shared" si="15"/>
        <v>5923288</v>
      </c>
      <c r="N199" s="481"/>
      <c r="O199" s="462"/>
      <c r="P199" s="482"/>
      <c r="Q199" s="491"/>
    </row>
    <row r="200" spans="2:17" ht="12.5">
      <c r="B200" s="455" t="s">
        <v>594</v>
      </c>
      <c r="C200" s="493"/>
      <c r="D200" s="493"/>
      <c r="E200" s="494" t="s">
        <v>576</v>
      </c>
      <c r="F200" s="489"/>
      <c r="G200" s="489"/>
      <c r="H200" s="489"/>
      <c r="I200" s="489"/>
      <c r="J200" s="456">
        <v>44244</v>
      </c>
      <c r="K200" s="459">
        <v>0</v>
      </c>
      <c r="L200" s="492">
        <v>9079375</v>
      </c>
      <c r="M200" s="484">
        <f t="shared" si="15"/>
        <v>9079375</v>
      </c>
      <c r="N200" s="481"/>
      <c r="O200" s="462"/>
      <c r="P200" s="482"/>
      <c r="Q200" s="491"/>
    </row>
    <row r="201" spans="2:17" ht="12.5">
      <c r="B201" s="455" t="s">
        <v>594</v>
      </c>
      <c r="C201" s="493"/>
      <c r="D201" s="493"/>
      <c r="E201" s="494" t="s">
        <v>576</v>
      </c>
      <c r="F201" s="489"/>
      <c r="G201" s="489"/>
      <c r="H201" s="489"/>
      <c r="I201" s="489"/>
      <c r="J201" s="456">
        <v>44244</v>
      </c>
      <c r="K201" s="459">
        <v>0</v>
      </c>
      <c r="L201" s="492">
        <v>1835258</v>
      </c>
      <c r="M201" s="484">
        <f t="shared" si="15"/>
        <v>1835258</v>
      </c>
      <c r="N201" s="481"/>
      <c r="O201" s="462"/>
      <c r="P201" s="482"/>
      <c r="Q201" s="491"/>
    </row>
    <row r="202" spans="2:17" ht="12.5">
      <c r="B202" s="455" t="s">
        <v>594</v>
      </c>
      <c r="C202" s="493"/>
      <c r="D202" s="493"/>
      <c r="E202" s="494" t="s">
        <v>576</v>
      </c>
      <c r="F202" s="489"/>
      <c r="G202" s="489"/>
      <c r="H202" s="489"/>
      <c r="I202" s="489"/>
      <c r="J202" s="456">
        <v>44245</v>
      </c>
      <c r="K202" s="459">
        <v>0</v>
      </c>
      <c r="L202" s="492">
        <v>4142868</v>
      </c>
      <c r="M202" s="484">
        <f t="shared" si="15"/>
        <v>4142868</v>
      </c>
      <c r="N202" s="481"/>
      <c r="O202" s="462"/>
      <c r="P202" s="482"/>
      <c r="Q202" s="491"/>
    </row>
    <row r="203" spans="2:17" ht="12.5">
      <c r="B203" s="455" t="s">
        <v>594</v>
      </c>
      <c r="C203" s="493"/>
      <c r="D203" s="493"/>
      <c r="E203" s="494" t="s">
        <v>576</v>
      </c>
      <c r="F203" s="489"/>
      <c r="G203" s="489"/>
      <c r="H203" s="489"/>
      <c r="I203" s="489"/>
      <c r="J203" s="456">
        <v>44245</v>
      </c>
      <c r="K203" s="459">
        <v>0</v>
      </c>
      <c r="L203" s="492">
        <v>1250977</v>
      </c>
      <c r="M203" s="484">
        <f t="shared" si="15"/>
        <v>1250977</v>
      </c>
      <c r="N203" s="481"/>
      <c r="O203" s="462"/>
      <c r="P203" s="482"/>
      <c r="Q203" s="491"/>
    </row>
    <row r="204" spans="2:17" ht="12.5">
      <c r="B204" s="455" t="s">
        <v>594</v>
      </c>
      <c r="C204" s="493"/>
      <c r="D204" s="493"/>
      <c r="E204" s="494" t="s">
        <v>576</v>
      </c>
      <c r="F204" s="489"/>
      <c r="G204" s="489"/>
      <c r="H204" s="489"/>
      <c r="I204" s="489"/>
      <c r="J204" s="456">
        <v>44250</v>
      </c>
      <c r="K204" s="459">
        <v>0</v>
      </c>
      <c r="L204" s="492">
        <v>12529688</v>
      </c>
      <c r="M204" s="484">
        <f t="shared" si="15"/>
        <v>12529688</v>
      </c>
      <c r="N204" s="481"/>
      <c r="O204" s="462"/>
      <c r="P204" s="482"/>
      <c r="Q204" s="491"/>
    </row>
    <row r="205" spans="2:17" ht="12.5">
      <c r="B205" s="455" t="s">
        <v>594</v>
      </c>
      <c r="C205" s="493"/>
      <c r="D205" s="493"/>
      <c r="E205" s="494" t="s">
        <v>576</v>
      </c>
      <c r="F205" s="489"/>
      <c r="G205" s="489"/>
      <c r="H205" s="489"/>
      <c r="I205" s="489"/>
      <c r="J205" s="456">
        <v>44250</v>
      </c>
      <c r="K205" s="459">
        <v>0</v>
      </c>
      <c r="L205" s="492">
        <v>834210</v>
      </c>
      <c r="M205" s="484">
        <f t="shared" si="15"/>
        <v>834210</v>
      </c>
      <c r="N205" s="481"/>
      <c r="O205" s="462"/>
      <c r="P205" s="482"/>
      <c r="Q205" s="491"/>
    </row>
    <row r="206" spans="2:17" ht="12.5">
      <c r="B206" s="455" t="s">
        <v>594</v>
      </c>
      <c r="C206" s="493"/>
      <c r="D206" s="493"/>
      <c r="E206" s="494" t="s">
        <v>576</v>
      </c>
      <c r="F206" s="489"/>
      <c r="G206" s="489"/>
      <c r="H206" s="489"/>
      <c r="I206" s="489"/>
      <c r="J206" s="456">
        <v>44253</v>
      </c>
      <c r="K206" s="459">
        <v>0</v>
      </c>
      <c r="L206" s="492">
        <v>5425000</v>
      </c>
      <c r="M206" s="484">
        <f t="shared" si="15"/>
        <v>5425000</v>
      </c>
      <c r="N206" s="481"/>
      <c r="O206" s="462"/>
      <c r="P206" s="482"/>
    </row>
    <row r="207" spans="2:17" ht="12.5">
      <c r="B207" s="485" t="s">
        <v>595</v>
      </c>
      <c r="C207" s="486"/>
      <c r="D207" s="486"/>
      <c r="E207" s="487"/>
      <c r="F207" s="488">
        <f>SUBTOTAL(9,F188:F206)</f>
        <v>1149570000</v>
      </c>
      <c r="G207" s="488">
        <f>SUBTOTAL(9,G188:G206)</f>
        <v>1148397400.1044753</v>
      </c>
      <c r="H207" s="488">
        <f>SUBTOTAL(9,H188:H206)</f>
        <v>1172599.895524852</v>
      </c>
      <c r="I207" s="488">
        <f>SUBTOTAL(9,I188:I206)</f>
        <v>1149570000</v>
      </c>
      <c r="J207" s="488"/>
      <c r="K207" s="488">
        <f>SUBTOTAL(9,K188:K206)</f>
        <v>0</v>
      </c>
      <c r="L207" s="488">
        <f>SUBTOTAL(9,L188:L206)</f>
        <v>75792687</v>
      </c>
      <c r="M207" s="488">
        <f>SUBTOTAL(9,M188:M206)</f>
        <v>75792687</v>
      </c>
      <c r="N207" s="478">
        <f>+G207-K207</f>
        <v>1148397400.1044753</v>
      </c>
      <c r="O207" s="478"/>
      <c r="P207" s="478">
        <f>+N207-O207</f>
        <v>1148397400.1044753</v>
      </c>
    </row>
    <row r="208" spans="2:17">
      <c r="B208" s="455" t="s">
        <v>575</v>
      </c>
      <c r="C208" s="456">
        <v>44257</v>
      </c>
      <c r="D208" s="457">
        <v>720</v>
      </c>
      <c r="E208" s="458" t="s">
        <v>576</v>
      </c>
      <c r="F208" s="459">
        <f>SUBTOTAL(9,G208:H208)</f>
        <v>95000000</v>
      </c>
      <c r="G208" s="459">
        <v>95000000</v>
      </c>
      <c r="H208" s="459">
        <v>0</v>
      </c>
      <c r="I208" s="459">
        <f t="shared" ref="I208:I228" si="16">+G208+H208</f>
        <v>95000000</v>
      </c>
      <c r="J208" s="460"/>
      <c r="K208" s="459"/>
      <c r="L208" s="459"/>
      <c r="M208" s="459"/>
      <c r="N208" s="461"/>
      <c r="O208" s="462"/>
      <c r="P208" s="462"/>
    </row>
    <row r="209" spans="2:16">
      <c r="B209" s="455" t="s">
        <v>578</v>
      </c>
      <c r="C209" s="456">
        <v>44257</v>
      </c>
      <c r="D209" s="457">
        <v>720</v>
      </c>
      <c r="E209" s="458" t="s">
        <v>576</v>
      </c>
      <c r="F209" s="459">
        <f t="shared" ref="F209:F228" si="17">SUBTOTAL(9,G209:H209)</f>
        <v>285000000</v>
      </c>
      <c r="G209" s="459">
        <v>285000000</v>
      </c>
      <c r="H209" s="459">
        <v>0</v>
      </c>
      <c r="I209" s="459">
        <f t="shared" si="16"/>
        <v>285000000</v>
      </c>
      <c r="J209" s="460"/>
      <c r="K209" s="459"/>
      <c r="L209" s="459"/>
      <c r="M209" s="459"/>
      <c r="N209" s="461"/>
      <c r="O209" s="462"/>
      <c r="P209" s="462"/>
    </row>
    <row r="210" spans="2:16">
      <c r="B210" s="455" t="s">
        <v>582</v>
      </c>
      <c r="C210" s="456">
        <v>44257</v>
      </c>
      <c r="D210" s="457">
        <v>720</v>
      </c>
      <c r="E210" s="458" t="s">
        <v>576</v>
      </c>
      <c r="F210" s="459">
        <f t="shared" si="17"/>
        <v>11200000</v>
      </c>
      <c r="G210" s="459">
        <v>11200000</v>
      </c>
      <c r="H210" s="459">
        <v>0</v>
      </c>
      <c r="I210" s="459">
        <f t="shared" si="16"/>
        <v>11200000</v>
      </c>
      <c r="J210" s="460"/>
      <c r="K210" s="459"/>
      <c r="L210" s="459"/>
      <c r="M210" s="459"/>
      <c r="N210" s="461"/>
      <c r="O210" s="462"/>
      <c r="P210" s="462"/>
    </row>
    <row r="211" spans="2:16">
      <c r="B211" s="455" t="s">
        <v>587</v>
      </c>
      <c r="C211" s="456">
        <v>44257</v>
      </c>
      <c r="D211" s="457">
        <v>720</v>
      </c>
      <c r="E211" s="458" t="s">
        <v>576</v>
      </c>
      <c r="F211" s="459">
        <f t="shared" si="17"/>
        <v>500000</v>
      </c>
      <c r="G211" s="459">
        <v>500000</v>
      </c>
      <c r="H211" s="459">
        <v>0</v>
      </c>
      <c r="I211" s="459">
        <f t="shared" si="16"/>
        <v>500000</v>
      </c>
      <c r="J211" s="460"/>
      <c r="K211" s="459"/>
      <c r="L211" s="459"/>
      <c r="M211" s="459"/>
      <c r="N211" s="461"/>
      <c r="O211" s="462"/>
      <c r="P211" s="462"/>
    </row>
    <row r="212" spans="2:16">
      <c r="B212" s="455" t="s">
        <v>583</v>
      </c>
      <c r="C212" s="456">
        <v>44257</v>
      </c>
      <c r="D212" s="457">
        <v>720</v>
      </c>
      <c r="E212" s="458" t="s">
        <v>576</v>
      </c>
      <c r="F212" s="459">
        <f t="shared" si="17"/>
        <v>10000000</v>
      </c>
      <c r="G212" s="459">
        <v>10000000</v>
      </c>
      <c r="H212" s="459">
        <v>0</v>
      </c>
      <c r="I212" s="459">
        <f t="shared" si="16"/>
        <v>10000000</v>
      </c>
      <c r="J212" s="460"/>
      <c r="K212" s="459"/>
      <c r="L212" s="459"/>
      <c r="M212" s="459"/>
      <c r="N212" s="461"/>
      <c r="O212" s="462"/>
      <c r="P212" s="462"/>
    </row>
    <row r="213" spans="2:16">
      <c r="B213" s="455" t="s">
        <v>577</v>
      </c>
      <c r="C213" s="456">
        <v>44260</v>
      </c>
      <c r="D213" s="457">
        <v>90</v>
      </c>
      <c r="E213" s="458" t="s">
        <v>579</v>
      </c>
      <c r="F213" s="459">
        <f t="shared" si="17"/>
        <v>60000000</v>
      </c>
      <c r="G213" s="459">
        <v>59850374.06483791</v>
      </c>
      <c r="H213" s="459">
        <v>149625.93516208977</v>
      </c>
      <c r="I213" s="459">
        <f t="shared" si="16"/>
        <v>60000000</v>
      </c>
      <c r="J213" s="460"/>
      <c r="K213" s="459"/>
      <c r="L213" s="459"/>
      <c r="M213" s="459"/>
      <c r="N213" s="461"/>
      <c r="O213" s="462"/>
      <c r="P213" s="462"/>
    </row>
    <row r="214" spans="2:16">
      <c r="B214" s="455" t="s">
        <v>581</v>
      </c>
      <c r="C214" s="456">
        <v>44260</v>
      </c>
      <c r="D214" s="457">
        <v>90</v>
      </c>
      <c r="E214" s="458" t="s">
        <v>579</v>
      </c>
      <c r="F214" s="459">
        <f t="shared" si="17"/>
        <v>60000000</v>
      </c>
      <c r="G214" s="459">
        <v>59850374.06483791</v>
      </c>
      <c r="H214" s="459">
        <v>149625.93516208977</v>
      </c>
      <c r="I214" s="459">
        <f t="shared" si="16"/>
        <v>60000000</v>
      </c>
      <c r="J214" s="460"/>
      <c r="K214" s="459"/>
      <c r="L214" s="459"/>
      <c r="M214" s="459"/>
      <c r="N214" s="461"/>
      <c r="O214" s="462"/>
      <c r="P214" s="462"/>
    </row>
    <row r="215" spans="2:16">
      <c r="B215" s="455" t="s">
        <v>580</v>
      </c>
      <c r="C215" s="456">
        <v>44260</v>
      </c>
      <c r="D215" s="457">
        <v>90</v>
      </c>
      <c r="E215" s="458" t="s">
        <v>579</v>
      </c>
      <c r="F215" s="459">
        <f t="shared" si="17"/>
        <v>60000000</v>
      </c>
      <c r="G215" s="459">
        <v>59850374.06483791</v>
      </c>
      <c r="H215" s="459">
        <v>149625.93516208977</v>
      </c>
      <c r="I215" s="459">
        <f t="shared" si="16"/>
        <v>60000000</v>
      </c>
      <c r="J215" s="460"/>
      <c r="K215" s="459"/>
      <c r="L215" s="459"/>
      <c r="M215" s="459"/>
      <c r="N215" s="461"/>
      <c r="O215" s="462"/>
      <c r="P215" s="462"/>
    </row>
    <row r="216" spans="2:16">
      <c r="B216" s="455" t="s">
        <v>578</v>
      </c>
      <c r="C216" s="456">
        <v>44260</v>
      </c>
      <c r="D216" s="457">
        <v>90</v>
      </c>
      <c r="E216" s="458" t="s">
        <v>579</v>
      </c>
      <c r="F216" s="459">
        <f t="shared" si="17"/>
        <v>60000000</v>
      </c>
      <c r="G216" s="459">
        <v>59850374.06483791</v>
      </c>
      <c r="H216" s="459">
        <v>149625.93516208977</v>
      </c>
      <c r="I216" s="459">
        <f t="shared" si="16"/>
        <v>60000000</v>
      </c>
      <c r="J216" s="460"/>
      <c r="K216" s="459"/>
      <c r="L216" s="459"/>
      <c r="M216" s="459"/>
      <c r="N216" s="461"/>
      <c r="O216" s="462"/>
      <c r="P216" s="462"/>
    </row>
    <row r="217" spans="2:16">
      <c r="B217" s="455" t="s">
        <v>578</v>
      </c>
      <c r="C217" s="456">
        <v>44264</v>
      </c>
      <c r="D217" s="457">
        <v>1440</v>
      </c>
      <c r="E217" s="458" t="s">
        <v>576</v>
      </c>
      <c r="F217" s="459">
        <f t="shared" si="17"/>
        <v>148018000</v>
      </c>
      <c r="G217" s="459">
        <v>148018000</v>
      </c>
      <c r="H217" s="459">
        <v>0</v>
      </c>
      <c r="I217" s="459">
        <f t="shared" si="16"/>
        <v>148018000</v>
      </c>
      <c r="J217" s="460"/>
      <c r="K217" s="459"/>
      <c r="L217" s="459"/>
      <c r="M217" s="459"/>
      <c r="N217" s="461"/>
      <c r="O217" s="462"/>
      <c r="P217" s="462"/>
    </row>
    <row r="218" spans="2:16">
      <c r="B218" s="455" t="s">
        <v>580</v>
      </c>
      <c r="C218" s="456">
        <v>44264</v>
      </c>
      <c r="D218" s="457">
        <v>1440</v>
      </c>
      <c r="E218" s="458" t="s">
        <v>576</v>
      </c>
      <c r="F218" s="459">
        <f t="shared" si="17"/>
        <v>82231000</v>
      </c>
      <c r="G218" s="459">
        <v>82231000</v>
      </c>
      <c r="H218" s="459">
        <v>0</v>
      </c>
      <c r="I218" s="459">
        <f t="shared" si="16"/>
        <v>82231000</v>
      </c>
      <c r="J218" s="460"/>
      <c r="K218" s="459"/>
      <c r="L218" s="459"/>
      <c r="M218" s="459"/>
      <c r="N218" s="461"/>
      <c r="O218" s="462"/>
      <c r="P218" s="462"/>
    </row>
    <row r="219" spans="2:16">
      <c r="B219" s="455" t="s">
        <v>577</v>
      </c>
      <c r="C219" s="456">
        <v>44264</v>
      </c>
      <c r="D219" s="457">
        <v>1440</v>
      </c>
      <c r="E219" s="458" t="s">
        <v>576</v>
      </c>
      <c r="F219" s="459">
        <f t="shared" si="17"/>
        <v>109642000</v>
      </c>
      <c r="G219" s="459">
        <v>109642000</v>
      </c>
      <c r="H219" s="459">
        <v>0</v>
      </c>
      <c r="I219" s="459">
        <f t="shared" si="16"/>
        <v>109642000</v>
      </c>
      <c r="J219" s="460"/>
      <c r="K219" s="459"/>
      <c r="L219" s="459"/>
      <c r="M219" s="459"/>
      <c r="N219" s="461"/>
      <c r="O219" s="462"/>
      <c r="P219" s="462"/>
    </row>
    <row r="220" spans="2:16">
      <c r="B220" s="455" t="s">
        <v>585</v>
      </c>
      <c r="C220" s="456">
        <v>44264</v>
      </c>
      <c r="D220" s="457">
        <v>1440</v>
      </c>
      <c r="E220" s="458" t="s">
        <v>576</v>
      </c>
      <c r="F220" s="459">
        <f t="shared" si="17"/>
        <v>109000</v>
      </c>
      <c r="G220" s="459">
        <v>109000</v>
      </c>
      <c r="H220" s="459">
        <v>0</v>
      </c>
      <c r="I220" s="459">
        <f t="shared" si="16"/>
        <v>109000</v>
      </c>
      <c r="J220" s="460"/>
      <c r="K220" s="459"/>
      <c r="L220" s="459"/>
      <c r="M220" s="459"/>
      <c r="N220" s="461"/>
      <c r="O220" s="462"/>
      <c r="P220" s="462"/>
    </row>
    <row r="221" spans="2:16">
      <c r="B221" s="455" t="s">
        <v>578</v>
      </c>
      <c r="C221" s="456">
        <v>44267</v>
      </c>
      <c r="D221" s="457">
        <v>270</v>
      </c>
      <c r="E221" s="458" t="s">
        <v>579</v>
      </c>
      <c r="F221" s="459">
        <f t="shared" si="17"/>
        <v>87500000</v>
      </c>
      <c r="G221" s="459">
        <v>86848635.235732004</v>
      </c>
      <c r="H221" s="459">
        <v>651364.76426799595</v>
      </c>
      <c r="I221" s="459">
        <f t="shared" si="16"/>
        <v>87500000</v>
      </c>
      <c r="J221" s="460"/>
      <c r="K221" s="459"/>
      <c r="L221" s="459"/>
      <c r="M221" s="459"/>
      <c r="N221" s="461"/>
      <c r="O221" s="462"/>
      <c r="P221" s="462"/>
    </row>
    <row r="222" spans="2:16">
      <c r="B222" s="455" t="s">
        <v>580</v>
      </c>
      <c r="C222" s="456">
        <v>44267</v>
      </c>
      <c r="D222" s="457">
        <v>270</v>
      </c>
      <c r="E222" s="458" t="s">
        <v>579</v>
      </c>
      <c r="F222" s="459">
        <f t="shared" si="17"/>
        <v>87500000</v>
      </c>
      <c r="G222" s="459">
        <v>86848635.235732004</v>
      </c>
      <c r="H222" s="459">
        <v>651364.76426799595</v>
      </c>
      <c r="I222" s="459">
        <f t="shared" si="16"/>
        <v>87500000</v>
      </c>
      <c r="J222" s="460"/>
      <c r="K222" s="459"/>
      <c r="L222" s="459"/>
      <c r="M222" s="459"/>
      <c r="N222" s="461"/>
      <c r="O222" s="462"/>
      <c r="P222" s="462"/>
    </row>
    <row r="223" spans="2:16">
      <c r="B223" s="455" t="s">
        <v>575</v>
      </c>
      <c r="C223" s="456">
        <v>44267</v>
      </c>
      <c r="D223" s="457">
        <v>270</v>
      </c>
      <c r="E223" s="458" t="s">
        <v>579</v>
      </c>
      <c r="F223" s="459">
        <f t="shared" si="17"/>
        <v>87500000</v>
      </c>
      <c r="G223" s="459">
        <v>86848635.235732004</v>
      </c>
      <c r="H223" s="459">
        <v>651364.76426799595</v>
      </c>
      <c r="I223" s="459">
        <f t="shared" si="16"/>
        <v>87500000</v>
      </c>
      <c r="J223" s="460"/>
      <c r="K223" s="459"/>
      <c r="L223" s="459"/>
      <c r="M223" s="459"/>
      <c r="N223" s="461"/>
      <c r="O223" s="462"/>
      <c r="P223" s="462"/>
    </row>
    <row r="224" spans="2:16">
      <c r="B224" s="455" t="s">
        <v>578</v>
      </c>
      <c r="C224" s="456">
        <v>44271</v>
      </c>
      <c r="D224" s="457">
        <v>1800</v>
      </c>
      <c r="E224" s="458" t="s">
        <v>576</v>
      </c>
      <c r="F224" s="459">
        <f t="shared" si="17"/>
        <v>150003000</v>
      </c>
      <c r="G224" s="459">
        <v>150003000</v>
      </c>
      <c r="H224" s="459">
        <v>0</v>
      </c>
      <c r="I224" s="459">
        <f t="shared" si="16"/>
        <v>150003000</v>
      </c>
      <c r="J224" s="460"/>
      <c r="K224" s="459"/>
      <c r="L224" s="459"/>
      <c r="M224" s="459"/>
      <c r="N224" s="461"/>
      <c r="O224" s="462"/>
      <c r="P224" s="462"/>
    </row>
    <row r="225" spans="2:16">
      <c r="B225" s="455" t="s">
        <v>575</v>
      </c>
      <c r="C225" s="456">
        <v>44271</v>
      </c>
      <c r="D225" s="457">
        <v>1800</v>
      </c>
      <c r="E225" s="458" t="s">
        <v>576</v>
      </c>
      <c r="F225" s="459">
        <f t="shared" si="17"/>
        <v>79999000</v>
      </c>
      <c r="G225" s="459">
        <v>79999000</v>
      </c>
      <c r="H225" s="459">
        <v>0</v>
      </c>
      <c r="I225" s="459">
        <f t="shared" si="16"/>
        <v>79999000</v>
      </c>
      <c r="J225" s="460"/>
      <c r="K225" s="459"/>
      <c r="L225" s="459"/>
      <c r="M225" s="459"/>
      <c r="N225" s="461"/>
      <c r="O225" s="462"/>
      <c r="P225" s="462"/>
    </row>
    <row r="226" spans="2:16">
      <c r="B226" s="455" t="s">
        <v>577</v>
      </c>
      <c r="C226" s="456">
        <v>44271</v>
      </c>
      <c r="D226" s="457">
        <v>1800</v>
      </c>
      <c r="E226" s="458" t="s">
        <v>576</v>
      </c>
      <c r="F226" s="459">
        <f t="shared" si="17"/>
        <v>74999000</v>
      </c>
      <c r="G226" s="459">
        <v>74999000</v>
      </c>
      <c r="H226" s="459">
        <v>0</v>
      </c>
      <c r="I226" s="459">
        <f t="shared" si="16"/>
        <v>74999000</v>
      </c>
      <c r="J226" s="460"/>
      <c r="K226" s="459"/>
      <c r="L226" s="459"/>
      <c r="M226" s="459"/>
      <c r="N226" s="461"/>
      <c r="O226" s="462"/>
      <c r="P226" s="462"/>
    </row>
    <row r="227" spans="2:16">
      <c r="B227" s="455" t="s">
        <v>580</v>
      </c>
      <c r="C227" s="456">
        <v>44271</v>
      </c>
      <c r="D227" s="457">
        <v>1800</v>
      </c>
      <c r="E227" s="458" t="s">
        <v>576</v>
      </c>
      <c r="F227" s="459">
        <f t="shared" si="17"/>
        <v>84999000</v>
      </c>
      <c r="G227" s="459">
        <v>84999000</v>
      </c>
      <c r="H227" s="459">
        <v>0</v>
      </c>
      <c r="I227" s="459">
        <f t="shared" si="16"/>
        <v>84999000</v>
      </c>
      <c r="J227" s="460"/>
      <c r="K227" s="459"/>
      <c r="L227" s="459"/>
      <c r="M227" s="459"/>
      <c r="N227" s="461"/>
      <c r="O227" s="462"/>
      <c r="P227" s="462"/>
    </row>
    <row r="228" spans="2:16">
      <c r="B228" s="455" t="s">
        <v>575</v>
      </c>
      <c r="C228" s="456">
        <v>44274</v>
      </c>
      <c r="D228" s="457">
        <v>2520</v>
      </c>
      <c r="E228" s="458" t="s">
        <v>576</v>
      </c>
      <c r="F228" s="459">
        <f t="shared" si="17"/>
        <v>123529000</v>
      </c>
      <c r="G228" s="459">
        <v>123529000</v>
      </c>
      <c r="H228" s="459">
        <v>0</v>
      </c>
      <c r="I228" s="459">
        <f t="shared" si="16"/>
        <v>123529000</v>
      </c>
      <c r="J228" s="460"/>
      <c r="K228" s="459"/>
      <c r="L228" s="459"/>
      <c r="M228" s="459"/>
      <c r="N228" s="461"/>
      <c r="O228" s="462"/>
      <c r="P228" s="462"/>
    </row>
    <row r="229" spans="2:16">
      <c r="B229" s="455" t="s">
        <v>582</v>
      </c>
      <c r="C229" s="460"/>
      <c r="D229" s="460"/>
      <c r="E229" s="458" t="s">
        <v>576</v>
      </c>
      <c r="F229" s="459"/>
      <c r="G229" s="460"/>
      <c r="H229" s="460"/>
      <c r="I229" s="460"/>
      <c r="J229" s="456">
        <v>44258</v>
      </c>
      <c r="K229" s="459">
        <v>0</v>
      </c>
      <c r="L229" s="459">
        <v>63250</v>
      </c>
      <c r="M229" s="459">
        <f t="shared" ref="M229:M292" si="18">+K229+L229</f>
        <v>63250</v>
      </c>
      <c r="N229" s="461"/>
      <c r="O229" s="462"/>
      <c r="P229" s="462"/>
    </row>
    <row r="230" spans="2:16">
      <c r="B230" s="455" t="s">
        <v>577</v>
      </c>
      <c r="C230" s="460"/>
      <c r="D230" s="460"/>
      <c r="E230" s="458" t="s">
        <v>576</v>
      </c>
      <c r="F230" s="459"/>
      <c r="G230" s="460"/>
      <c r="H230" s="460"/>
      <c r="I230" s="460"/>
      <c r="J230" s="456">
        <v>44258</v>
      </c>
      <c r="K230" s="459">
        <v>0</v>
      </c>
      <c r="L230" s="459">
        <v>1179200</v>
      </c>
      <c r="M230" s="459">
        <f t="shared" si="18"/>
        <v>1179200</v>
      </c>
      <c r="N230" s="461"/>
      <c r="O230" s="462"/>
      <c r="P230" s="462"/>
    </row>
    <row r="231" spans="2:16">
      <c r="B231" s="455" t="s">
        <v>582</v>
      </c>
      <c r="C231" s="460"/>
      <c r="D231" s="460"/>
      <c r="E231" s="458" t="s">
        <v>576</v>
      </c>
      <c r="F231" s="459"/>
      <c r="G231" s="460"/>
      <c r="H231" s="460"/>
      <c r="I231" s="460"/>
      <c r="J231" s="456">
        <v>44258</v>
      </c>
      <c r="K231" s="459">
        <v>0</v>
      </c>
      <c r="L231" s="459">
        <v>4375</v>
      </c>
      <c r="M231" s="459">
        <f t="shared" si="18"/>
        <v>4375</v>
      </c>
      <c r="N231" s="461"/>
      <c r="O231" s="462"/>
      <c r="P231" s="462"/>
    </row>
    <row r="232" spans="2:16">
      <c r="B232" s="455" t="s">
        <v>575</v>
      </c>
      <c r="C232" s="460"/>
      <c r="D232" s="460"/>
      <c r="E232" s="458" t="s">
        <v>576</v>
      </c>
      <c r="F232" s="459"/>
      <c r="G232" s="460"/>
      <c r="H232" s="460"/>
      <c r="I232" s="460"/>
      <c r="J232" s="456">
        <v>44258</v>
      </c>
      <c r="K232" s="459">
        <v>0</v>
      </c>
      <c r="L232" s="459">
        <v>845818</v>
      </c>
      <c r="M232" s="459">
        <f t="shared" si="18"/>
        <v>845818</v>
      </c>
      <c r="N232" s="461"/>
      <c r="O232" s="462"/>
      <c r="P232" s="462"/>
    </row>
    <row r="233" spans="2:16">
      <c r="B233" s="455" t="s">
        <v>585</v>
      </c>
      <c r="C233" s="460"/>
      <c r="D233" s="460"/>
      <c r="E233" s="458" t="s">
        <v>576</v>
      </c>
      <c r="F233" s="459"/>
      <c r="G233" s="460"/>
      <c r="H233" s="460"/>
      <c r="I233" s="460"/>
      <c r="J233" s="456">
        <v>44258</v>
      </c>
      <c r="K233" s="459">
        <v>0</v>
      </c>
      <c r="L233" s="459">
        <v>4082750</v>
      </c>
      <c r="M233" s="459">
        <f t="shared" si="18"/>
        <v>4082750</v>
      </c>
      <c r="N233" s="461"/>
      <c r="O233" s="462"/>
      <c r="P233" s="462"/>
    </row>
    <row r="234" spans="2:16">
      <c r="B234" s="455" t="s">
        <v>586</v>
      </c>
      <c r="C234" s="460"/>
      <c r="D234" s="460"/>
      <c r="E234" s="458" t="s">
        <v>576</v>
      </c>
      <c r="F234" s="459"/>
      <c r="G234" s="460"/>
      <c r="H234" s="460"/>
      <c r="I234" s="460"/>
      <c r="J234" s="456">
        <v>44258</v>
      </c>
      <c r="K234" s="459">
        <v>0</v>
      </c>
      <c r="L234" s="459">
        <v>4375</v>
      </c>
      <c r="M234" s="459">
        <f t="shared" si="18"/>
        <v>4375</v>
      </c>
      <c r="N234" s="461"/>
      <c r="O234" s="462"/>
      <c r="P234" s="462"/>
    </row>
    <row r="235" spans="2:16">
      <c r="B235" s="455" t="s">
        <v>577</v>
      </c>
      <c r="C235" s="460"/>
      <c r="D235" s="460"/>
      <c r="E235" s="458" t="s">
        <v>576</v>
      </c>
      <c r="F235" s="459"/>
      <c r="G235" s="460"/>
      <c r="H235" s="460"/>
      <c r="I235" s="460"/>
      <c r="J235" s="456">
        <v>44258</v>
      </c>
      <c r="K235" s="459">
        <v>0</v>
      </c>
      <c r="L235" s="459">
        <v>2686000</v>
      </c>
      <c r="M235" s="459">
        <f t="shared" si="18"/>
        <v>2686000</v>
      </c>
      <c r="N235" s="461"/>
      <c r="O235" s="462"/>
      <c r="P235" s="462"/>
    </row>
    <row r="236" spans="2:16">
      <c r="B236" s="455" t="s">
        <v>583</v>
      </c>
      <c r="C236" s="460"/>
      <c r="D236" s="460"/>
      <c r="E236" s="458" t="s">
        <v>576</v>
      </c>
      <c r="F236" s="459"/>
      <c r="G236" s="460"/>
      <c r="H236" s="460"/>
      <c r="I236" s="460"/>
      <c r="J236" s="456">
        <v>44258</v>
      </c>
      <c r="K236" s="459">
        <v>0</v>
      </c>
      <c r="L236" s="459">
        <v>178125</v>
      </c>
      <c r="M236" s="459">
        <f t="shared" si="18"/>
        <v>178125</v>
      </c>
      <c r="N236" s="461"/>
      <c r="O236" s="462"/>
      <c r="P236" s="462"/>
    </row>
    <row r="237" spans="2:16">
      <c r="B237" s="455" t="s">
        <v>582</v>
      </c>
      <c r="C237" s="460"/>
      <c r="D237" s="460"/>
      <c r="E237" s="458" t="s">
        <v>576</v>
      </c>
      <c r="F237" s="459"/>
      <c r="G237" s="460"/>
      <c r="H237" s="460"/>
      <c r="I237" s="460"/>
      <c r="J237" s="456">
        <v>44258</v>
      </c>
      <c r="K237" s="459">
        <v>0</v>
      </c>
      <c r="L237" s="459">
        <v>195938</v>
      </c>
      <c r="M237" s="459">
        <f t="shared" si="18"/>
        <v>195938</v>
      </c>
      <c r="N237" s="461"/>
      <c r="O237" s="462"/>
      <c r="P237" s="462"/>
    </row>
    <row r="238" spans="2:16">
      <c r="B238" s="455" t="s">
        <v>584</v>
      </c>
      <c r="C238" s="460"/>
      <c r="D238" s="460"/>
      <c r="E238" s="458" t="s">
        <v>576</v>
      </c>
      <c r="F238" s="459"/>
      <c r="G238" s="460"/>
      <c r="H238" s="460"/>
      <c r="I238" s="460"/>
      <c r="J238" s="456">
        <v>44258</v>
      </c>
      <c r="K238" s="459">
        <v>0</v>
      </c>
      <c r="L238" s="459">
        <v>5104165</v>
      </c>
      <c r="M238" s="459">
        <f t="shared" si="18"/>
        <v>5104165</v>
      </c>
      <c r="N238" s="461"/>
      <c r="O238" s="462"/>
      <c r="P238" s="462"/>
    </row>
    <row r="239" spans="2:16">
      <c r="B239" s="455" t="s">
        <v>575</v>
      </c>
      <c r="C239" s="460"/>
      <c r="D239" s="460"/>
      <c r="E239" s="458" t="s">
        <v>576</v>
      </c>
      <c r="F239" s="459"/>
      <c r="G239" s="460"/>
      <c r="H239" s="460"/>
      <c r="I239" s="460"/>
      <c r="J239" s="456">
        <v>44259</v>
      </c>
      <c r="K239" s="459">
        <v>0</v>
      </c>
      <c r="L239" s="459">
        <v>13812500</v>
      </c>
      <c r="M239" s="459">
        <f t="shared" si="18"/>
        <v>13812500</v>
      </c>
      <c r="N239" s="461"/>
      <c r="O239" s="462"/>
      <c r="P239" s="462"/>
    </row>
    <row r="240" spans="2:16">
      <c r="B240" s="455" t="s">
        <v>586</v>
      </c>
      <c r="C240" s="460"/>
      <c r="D240" s="460"/>
      <c r="E240" s="458" t="s">
        <v>576</v>
      </c>
      <c r="F240" s="459"/>
      <c r="G240" s="460"/>
      <c r="H240" s="460"/>
      <c r="I240" s="460"/>
      <c r="J240" s="456">
        <v>44260</v>
      </c>
      <c r="K240" s="459">
        <v>0</v>
      </c>
      <c r="L240" s="459">
        <v>96875</v>
      </c>
      <c r="M240" s="459">
        <f t="shared" si="18"/>
        <v>96875</v>
      </c>
      <c r="N240" s="461"/>
      <c r="O240" s="462"/>
      <c r="P240" s="462"/>
    </row>
    <row r="241" spans="2:16">
      <c r="B241" s="455" t="s">
        <v>580</v>
      </c>
      <c r="C241" s="460"/>
      <c r="D241" s="460"/>
      <c r="E241" s="458" t="s">
        <v>576</v>
      </c>
      <c r="F241" s="459"/>
      <c r="G241" s="460"/>
      <c r="H241" s="460"/>
      <c r="I241" s="460"/>
      <c r="J241" s="456">
        <v>44260</v>
      </c>
      <c r="K241" s="459">
        <v>0</v>
      </c>
      <c r="L241" s="459">
        <v>2297236</v>
      </c>
      <c r="M241" s="459">
        <f t="shared" si="18"/>
        <v>2297236</v>
      </c>
      <c r="N241" s="461"/>
      <c r="O241" s="462"/>
      <c r="P241" s="462"/>
    </row>
    <row r="242" spans="2:16">
      <c r="B242" s="455" t="s">
        <v>575</v>
      </c>
      <c r="C242" s="460"/>
      <c r="D242" s="460"/>
      <c r="E242" s="458" t="s">
        <v>576</v>
      </c>
      <c r="F242" s="459"/>
      <c r="G242" s="460"/>
      <c r="H242" s="460"/>
      <c r="I242" s="460"/>
      <c r="J242" s="456">
        <v>44260</v>
      </c>
      <c r="K242" s="459">
        <v>0</v>
      </c>
      <c r="L242" s="459">
        <v>2297294</v>
      </c>
      <c r="M242" s="459">
        <f t="shared" si="18"/>
        <v>2297294</v>
      </c>
      <c r="N242" s="461"/>
      <c r="O242" s="462"/>
      <c r="P242" s="462"/>
    </row>
    <row r="243" spans="2:16">
      <c r="B243" s="455" t="s">
        <v>597</v>
      </c>
      <c r="C243" s="460"/>
      <c r="D243" s="460"/>
      <c r="E243" s="458" t="s">
        <v>576</v>
      </c>
      <c r="F243" s="459"/>
      <c r="G243" s="460"/>
      <c r="H243" s="460"/>
      <c r="I243" s="460"/>
      <c r="J243" s="456">
        <v>44260</v>
      </c>
      <c r="K243" s="459">
        <v>0</v>
      </c>
      <c r="L243" s="459">
        <v>703235</v>
      </c>
      <c r="M243" s="459">
        <f t="shared" si="18"/>
        <v>703235</v>
      </c>
      <c r="N243" s="461"/>
      <c r="O243" s="462"/>
      <c r="P243" s="462"/>
    </row>
    <row r="244" spans="2:16">
      <c r="B244" s="455" t="s">
        <v>575</v>
      </c>
      <c r="C244" s="460"/>
      <c r="D244" s="460"/>
      <c r="E244" s="458" t="s">
        <v>576</v>
      </c>
      <c r="F244" s="459"/>
      <c r="G244" s="460"/>
      <c r="H244" s="460"/>
      <c r="I244" s="460"/>
      <c r="J244" s="456">
        <v>44263</v>
      </c>
      <c r="K244" s="459">
        <v>0</v>
      </c>
      <c r="L244" s="459">
        <v>1582989</v>
      </c>
      <c r="M244" s="459">
        <f t="shared" si="18"/>
        <v>1582989</v>
      </c>
      <c r="N244" s="461"/>
      <c r="O244" s="462"/>
      <c r="P244" s="462"/>
    </row>
    <row r="245" spans="2:16">
      <c r="B245" s="455" t="s">
        <v>580</v>
      </c>
      <c r="C245" s="460"/>
      <c r="D245" s="460"/>
      <c r="E245" s="458" t="s">
        <v>576</v>
      </c>
      <c r="F245" s="459"/>
      <c r="G245" s="460"/>
      <c r="H245" s="460"/>
      <c r="I245" s="460"/>
      <c r="J245" s="456">
        <v>44263</v>
      </c>
      <c r="K245" s="459">
        <v>0</v>
      </c>
      <c r="L245" s="459">
        <v>2627821</v>
      </c>
      <c r="M245" s="459">
        <f t="shared" si="18"/>
        <v>2627821</v>
      </c>
      <c r="N245" s="461"/>
      <c r="O245" s="462"/>
      <c r="P245" s="462"/>
    </row>
    <row r="246" spans="2:16">
      <c r="B246" s="455" t="s">
        <v>583</v>
      </c>
      <c r="C246" s="460"/>
      <c r="D246" s="460"/>
      <c r="E246" s="458" t="s">
        <v>576</v>
      </c>
      <c r="F246" s="459"/>
      <c r="G246" s="460"/>
      <c r="H246" s="460"/>
      <c r="I246" s="460"/>
      <c r="J246" s="456">
        <v>44263</v>
      </c>
      <c r="K246" s="459">
        <v>0</v>
      </c>
      <c r="L246" s="459">
        <v>4438</v>
      </c>
      <c r="M246" s="459">
        <f t="shared" si="18"/>
        <v>4438</v>
      </c>
      <c r="N246" s="461"/>
      <c r="O246" s="462"/>
      <c r="P246" s="462"/>
    </row>
    <row r="247" spans="2:16">
      <c r="B247" s="455" t="s">
        <v>575</v>
      </c>
      <c r="C247" s="460"/>
      <c r="D247" s="460"/>
      <c r="E247" s="458" t="s">
        <v>576</v>
      </c>
      <c r="F247" s="459"/>
      <c r="G247" s="460"/>
      <c r="H247" s="460"/>
      <c r="I247" s="460"/>
      <c r="J247" s="456">
        <v>44263</v>
      </c>
      <c r="K247" s="459">
        <v>0</v>
      </c>
      <c r="L247" s="459">
        <v>4556152</v>
      </c>
      <c r="M247" s="459">
        <f t="shared" si="18"/>
        <v>4556152</v>
      </c>
      <c r="N247" s="461"/>
      <c r="O247" s="462"/>
      <c r="P247" s="462"/>
    </row>
    <row r="248" spans="2:16">
      <c r="B248" s="455" t="s">
        <v>580</v>
      </c>
      <c r="C248" s="460"/>
      <c r="D248" s="460"/>
      <c r="E248" s="458" t="s">
        <v>576</v>
      </c>
      <c r="F248" s="459"/>
      <c r="G248" s="460"/>
      <c r="H248" s="460"/>
      <c r="I248" s="460"/>
      <c r="J248" s="456">
        <v>44263</v>
      </c>
      <c r="K248" s="459">
        <v>0</v>
      </c>
      <c r="L248" s="459">
        <v>920138</v>
      </c>
      <c r="M248" s="459">
        <f t="shared" si="18"/>
        <v>920138</v>
      </c>
      <c r="N248" s="461"/>
      <c r="O248" s="462"/>
      <c r="P248" s="462"/>
    </row>
    <row r="249" spans="2:16">
      <c r="B249" s="455" t="s">
        <v>580</v>
      </c>
      <c r="C249" s="460"/>
      <c r="D249" s="460"/>
      <c r="E249" s="458" t="s">
        <v>576</v>
      </c>
      <c r="F249" s="459"/>
      <c r="G249" s="460"/>
      <c r="H249" s="460"/>
      <c r="I249" s="460"/>
      <c r="J249" s="456">
        <v>44263</v>
      </c>
      <c r="K249" s="459">
        <v>0</v>
      </c>
      <c r="L249" s="459">
        <v>212313</v>
      </c>
      <c r="M249" s="459">
        <f t="shared" si="18"/>
        <v>212313</v>
      </c>
      <c r="N249" s="461"/>
      <c r="O249" s="462"/>
      <c r="P249" s="462"/>
    </row>
    <row r="250" spans="2:16">
      <c r="B250" s="455" t="s">
        <v>580</v>
      </c>
      <c r="C250" s="460"/>
      <c r="D250" s="460"/>
      <c r="E250" s="458" t="s">
        <v>576</v>
      </c>
      <c r="F250" s="459"/>
      <c r="G250" s="460"/>
      <c r="H250" s="460"/>
      <c r="I250" s="460"/>
      <c r="J250" s="456">
        <v>44263</v>
      </c>
      <c r="K250" s="459">
        <v>0</v>
      </c>
      <c r="L250" s="459">
        <v>4343889</v>
      </c>
      <c r="M250" s="459">
        <f t="shared" si="18"/>
        <v>4343889</v>
      </c>
      <c r="N250" s="461"/>
      <c r="O250" s="462"/>
      <c r="P250" s="462"/>
    </row>
    <row r="251" spans="2:16">
      <c r="B251" s="455" t="s">
        <v>585</v>
      </c>
      <c r="C251" s="460"/>
      <c r="D251" s="460"/>
      <c r="E251" s="458" t="s">
        <v>576</v>
      </c>
      <c r="F251" s="459"/>
      <c r="G251" s="460"/>
      <c r="H251" s="460"/>
      <c r="I251" s="460"/>
      <c r="J251" s="456">
        <v>44263</v>
      </c>
      <c r="K251" s="459">
        <v>0</v>
      </c>
      <c r="L251" s="459">
        <v>1831134</v>
      </c>
      <c r="M251" s="459">
        <f t="shared" si="18"/>
        <v>1831134</v>
      </c>
      <c r="N251" s="461"/>
      <c r="O251" s="462"/>
      <c r="P251" s="462"/>
    </row>
    <row r="252" spans="2:16">
      <c r="B252" s="455" t="s">
        <v>582</v>
      </c>
      <c r="C252" s="460"/>
      <c r="D252" s="460"/>
      <c r="E252" s="458" t="s">
        <v>576</v>
      </c>
      <c r="F252" s="459"/>
      <c r="G252" s="460"/>
      <c r="H252" s="460"/>
      <c r="I252" s="460"/>
      <c r="J252" s="456">
        <v>44263</v>
      </c>
      <c r="K252" s="459">
        <v>0</v>
      </c>
      <c r="L252" s="459">
        <v>4791</v>
      </c>
      <c r="M252" s="459">
        <f t="shared" si="18"/>
        <v>4791</v>
      </c>
      <c r="N252" s="461"/>
      <c r="O252" s="462"/>
      <c r="P252" s="462"/>
    </row>
    <row r="253" spans="2:16">
      <c r="B253" s="455" t="s">
        <v>582</v>
      </c>
      <c r="C253" s="460"/>
      <c r="D253" s="460"/>
      <c r="E253" s="458" t="s">
        <v>576</v>
      </c>
      <c r="F253" s="459"/>
      <c r="G253" s="460"/>
      <c r="H253" s="460"/>
      <c r="I253" s="460"/>
      <c r="J253" s="456">
        <v>44263</v>
      </c>
      <c r="K253" s="459">
        <v>0</v>
      </c>
      <c r="L253" s="459">
        <v>44375</v>
      </c>
      <c r="M253" s="459">
        <f t="shared" si="18"/>
        <v>44375</v>
      </c>
      <c r="N253" s="461"/>
      <c r="O253" s="462"/>
      <c r="P253" s="462"/>
    </row>
    <row r="254" spans="2:16">
      <c r="B254" s="455" t="s">
        <v>584</v>
      </c>
      <c r="C254" s="460"/>
      <c r="D254" s="460"/>
      <c r="E254" s="458" t="s">
        <v>576</v>
      </c>
      <c r="F254" s="459"/>
      <c r="G254" s="460"/>
      <c r="H254" s="460"/>
      <c r="I254" s="460"/>
      <c r="J254" s="456">
        <v>44263</v>
      </c>
      <c r="K254" s="459">
        <v>0</v>
      </c>
      <c r="L254" s="459">
        <v>688584</v>
      </c>
      <c r="M254" s="459">
        <f t="shared" si="18"/>
        <v>688584</v>
      </c>
      <c r="N254" s="461"/>
      <c r="O254" s="462"/>
      <c r="P254" s="462"/>
    </row>
    <row r="255" spans="2:16">
      <c r="B255" s="455" t="s">
        <v>580</v>
      </c>
      <c r="C255" s="460"/>
      <c r="D255" s="460"/>
      <c r="E255" s="458" t="s">
        <v>576</v>
      </c>
      <c r="F255" s="459"/>
      <c r="G255" s="460"/>
      <c r="H255" s="460"/>
      <c r="I255" s="460"/>
      <c r="J255" s="456">
        <v>44263</v>
      </c>
      <c r="K255" s="459">
        <v>0</v>
      </c>
      <c r="L255" s="459">
        <v>6798125</v>
      </c>
      <c r="M255" s="459">
        <f t="shared" si="18"/>
        <v>6798125</v>
      </c>
      <c r="N255" s="461"/>
      <c r="O255" s="462"/>
      <c r="P255" s="462"/>
    </row>
    <row r="256" spans="2:16">
      <c r="B256" s="455" t="s">
        <v>577</v>
      </c>
      <c r="C256" s="460"/>
      <c r="D256" s="460"/>
      <c r="E256" s="458" t="s">
        <v>576</v>
      </c>
      <c r="F256" s="459"/>
      <c r="G256" s="460"/>
      <c r="H256" s="460"/>
      <c r="I256" s="460"/>
      <c r="J256" s="456">
        <v>44263</v>
      </c>
      <c r="K256" s="459">
        <v>0</v>
      </c>
      <c r="L256" s="459">
        <v>4248263</v>
      </c>
      <c r="M256" s="459">
        <f t="shared" si="18"/>
        <v>4248263</v>
      </c>
      <c r="N256" s="461"/>
      <c r="O256" s="462"/>
      <c r="P256" s="462"/>
    </row>
    <row r="257" spans="2:16">
      <c r="B257" s="455" t="s">
        <v>577</v>
      </c>
      <c r="C257" s="460"/>
      <c r="D257" s="460"/>
      <c r="E257" s="458" t="s">
        <v>576</v>
      </c>
      <c r="F257" s="459"/>
      <c r="G257" s="460"/>
      <c r="H257" s="460"/>
      <c r="I257" s="460"/>
      <c r="J257" s="456">
        <v>44265</v>
      </c>
      <c r="K257" s="459">
        <v>0</v>
      </c>
      <c r="L257" s="459">
        <v>1998371</v>
      </c>
      <c r="M257" s="459">
        <f t="shared" si="18"/>
        <v>1998371</v>
      </c>
      <c r="N257" s="461"/>
      <c r="O257" s="462"/>
      <c r="P257" s="462"/>
    </row>
    <row r="258" spans="2:16">
      <c r="B258" s="455" t="s">
        <v>585</v>
      </c>
      <c r="C258" s="460"/>
      <c r="D258" s="460"/>
      <c r="E258" s="458" t="s">
        <v>576</v>
      </c>
      <c r="F258" s="459"/>
      <c r="G258" s="460"/>
      <c r="H258" s="460"/>
      <c r="I258" s="460"/>
      <c r="J258" s="456">
        <v>44265</v>
      </c>
      <c r="K258" s="459">
        <v>0</v>
      </c>
      <c r="L258" s="459">
        <v>300000</v>
      </c>
      <c r="M258" s="459">
        <f t="shared" si="18"/>
        <v>300000</v>
      </c>
      <c r="N258" s="461"/>
      <c r="O258" s="462"/>
      <c r="P258" s="462"/>
    </row>
    <row r="259" spans="2:16">
      <c r="B259" s="455" t="s">
        <v>575</v>
      </c>
      <c r="C259" s="460"/>
      <c r="D259" s="460"/>
      <c r="E259" s="458" t="s">
        <v>576</v>
      </c>
      <c r="F259" s="459"/>
      <c r="G259" s="460"/>
      <c r="H259" s="460"/>
      <c r="I259" s="460"/>
      <c r="J259" s="456">
        <v>44265</v>
      </c>
      <c r="K259" s="459">
        <v>0</v>
      </c>
      <c r="L259" s="459">
        <v>3000000</v>
      </c>
      <c r="M259" s="459">
        <f t="shared" si="18"/>
        <v>3000000</v>
      </c>
      <c r="N259" s="461"/>
      <c r="O259" s="462"/>
      <c r="P259" s="462"/>
    </row>
    <row r="260" spans="2:16">
      <c r="B260" s="455" t="s">
        <v>583</v>
      </c>
      <c r="C260" s="460"/>
      <c r="D260" s="460"/>
      <c r="E260" s="458" t="s">
        <v>576</v>
      </c>
      <c r="F260" s="459"/>
      <c r="G260" s="460"/>
      <c r="H260" s="460"/>
      <c r="I260" s="460"/>
      <c r="J260" s="456">
        <v>44265</v>
      </c>
      <c r="K260" s="459">
        <v>0</v>
      </c>
      <c r="L260" s="459">
        <v>120000</v>
      </c>
      <c r="M260" s="459">
        <f t="shared" si="18"/>
        <v>120000</v>
      </c>
      <c r="N260" s="461"/>
      <c r="O260" s="462"/>
      <c r="P260" s="462"/>
    </row>
    <row r="261" spans="2:16">
      <c r="B261" s="455" t="s">
        <v>575</v>
      </c>
      <c r="C261" s="460"/>
      <c r="D261" s="460"/>
      <c r="E261" s="458" t="s">
        <v>576</v>
      </c>
      <c r="F261" s="459"/>
      <c r="G261" s="460"/>
      <c r="H261" s="460"/>
      <c r="I261" s="460"/>
      <c r="J261" s="456">
        <v>44265</v>
      </c>
      <c r="K261" s="459">
        <v>0</v>
      </c>
      <c r="L261" s="459">
        <v>3812500</v>
      </c>
      <c r="M261" s="459">
        <f t="shared" si="18"/>
        <v>3812500</v>
      </c>
      <c r="N261" s="461"/>
      <c r="O261" s="462"/>
      <c r="P261" s="462"/>
    </row>
    <row r="262" spans="2:16">
      <c r="B262" s="455" t="s">
        <v>577</v>
      </c>
      <c r="C262" s="460"/>
      <c r="D262" s="460"/>
      <c r="E262" s="458" t="s">
        <v>576</v>
      </c>
      <c r="F262" s="459"/>
      <c r="G262" s="460"/>
      <c r="H262" s="460"/>
      <c r="I262" s="460"/>
      <c r="J262" s="456">
        <v>44266</v>
      </c>
      <c r="K262" s="459">
        <v>0</v>
      </c>
      <c r="L262" s="459">
        <v>1482951</v>
      </c>
      <c r="M262" s="459">
        <f t="shared" si="18"/>
        <v>1482951</v>
      </c>
      <c r="N262" s="461"/>
      <c r="O262" s="462"/>
      <c r="P262" s="462"/>
    </row>
    <row r="263" spans="2:16">
      <c r="B263" s="455" t="s">
        <v>575</v>
      </c>
      <c r="C263" s="460"/>
      <c r="D263" s="460"/>
      <c r="E263" s="458" t="s">
        <v>576</v>
      </c>
      <c r="F263" s="459"/>
      <c r="G263" s="460"/>
      <c r="H263" s="460"/>
      <c r="I263" s="460"/>
      <c r="J263" s="456">
        <v>44266</v>
      </c>
      <c r="K263" s="459">
        <v>0</v>
      </c>
      <c r="L263" s="459">
        <v>8705369</v>
      </c>
      <c r="M263" s="459">
        <f t="shared" si="18"/>
        <v>8705369</v>
      </c>
      <c r="N263" s="461"/>
      <c r="O263" s="462"/>
      <c r="P263" s="462"/>
    </row>
    <row r="264" spans="2:16">
      <c r="B264" s="455" t="s">
        <v>575</v>
      </c>
      <c r="C264" s="460"/>
      <c r="D264" s="460"/>
      <c r="E264" s="458" t="s">
        <v>576</v>
      </c>
      <c r="F264" s="459"/>
      <c r="G264" s="460"/>
      <c r="H264" s="460"/>
      <c r="I264" s="460"/>
      <c r="J264" s="456">
        <v>44266</v>
      </c>
      <c r="K264" s="459">
        <v>0</v>
      </c>
      <c r="L264" s="459">
        <v>2471598</v>
      </c>
      <c r="M264" s="459">
        <f t="shared" si="18"/>
        <v>2471598</v>
      </c>
      <c r="N264" s="461"/>
      <c r="O264" s="462"/>
      <c r="P264" s="462"/>
    </row>
    <row r="265" spans="2:16">
      <c r="B265" s="455" t="s">
        <v>597</v>
      </c>
      <c r="C265" s="460"/>
      <c r="D265" s="460"/>
      <c r="E265" s="458" t="s">
        <v>576</v>
      </c>
      <c r="F265" s="459"/>
      <c r="G265" s="460"/>
      <c r="H265" s="460"/>
      <c r="I265" s="460"/>
      <c r="J265" s="456">
        <v>44266</v>
      </c>
      <c r="K265" s="459">
        <v>0</v>
      </c>
      <c r="L265" s="459">
        <v>3482131</v>
      </c>
      <c r="M265" s="459">
        <f t="shared" si="18"/>
        <v>3482131</v>
      </c>
      <c r="N265" s="461"/>
      <c r="O265" s="462"/>
      <c r="P265" s="462"/>
    </row>
    <row r="266" spans="2:16">
      <c r="B266" s="455" t="s">
        <v>575</v>
      </c>
      <c r="C266" s="460"/>
      <c r="D266" s="460"/>
      <c r="E266" s="458" t="s">
        <v>576</v>
      </c>
      <c r="F266" s="459"/>
      <c r="G266" s="460"/>
      <c r="H266" s="460"/>
      <c r="I266" s="460"/>
      <c r="J266" s="456">
        <v>44267</v>
      </c>
      <c r="K266" s="459">
        <v>0</v>
      </c>
      <c r="L266" s="459">
        <v>6458346</v>
      </c>
      <c r="M266" s="459">
        <f t="shared" si="18"/>
        <v>6458346</v>
      </c>
      <c r="N266" s="461"/>
      <c r="O266" s="462"/>
      <c r="P266" s="462"/>
    </row>
    <row r="267" spans="2:16">
      <c r="B267" s="455" t="s">
        <v>580</v>
      </c>
      <c r="C267" s="460"/>
      <c r="D267" s="460"/>
      <c r="E267" s="458" t="s">
        <v>576</v>
      </c>
      <c r="F267" s="459"/>
      <c r="G267" s="460"/>
      <c r="H267" s="460"/>
      <c r="I267" s="460"/>
      <c r="J267" s="456">
        <v>44267</v>
      </c>
      <c r="K267" s="459">
        <v>0</v>
      </c>
      <c r="L267" s="459">
        <v>645827</v>
      </c>
      <c r="M267" s="459">
        <f t="shared" si="18"/>
        <v>645827</v>
      </c>
      <c r="N267" s="461"/>
      <c r="O267" s="462"/>
      <c r="P267" s="462"/>
    </row>
    <row r="268" spans="2:16">
      <c r="B268" s="455" t="s">
        <v>577</v>
      </c>
      <c r="C268" s="460"/>
      <c r="D268" s="460"/>
      <c r="E268" s="458" t="s">
        <v>576</v>
      </c>
      <c r="F268" s="459"/>
      <c r="G268" s="460"/>
      <c r="H268" s="460"/>
      <c r="I268" s="460"/>
      <c r="J268" s="456">
        <v>44267</v>
      </c>
      <c r="K268" s="459">
        <v>0</v>
      </c>
      <c r="L268" s="459">
        <v>2583327</v>
      </c>
      <c r="M268" s="459">
        <f t="shared" si="18"/>
        <v>2583327</v>
      </c>
      <c r="N268" s="461"/>
      <c r="O268" s="462"/>
      <c r="P268" s="462"/>
    </row>
    <row r="269" spans="2:16">
      <c r="B269" s="455" t="s">
        <v>585</v>
      </c>
      <c r="C269" s="460"/>
      <c r="D269" s="460"/>
      <c r="E269" s="458" t="s">
        <v>576</v>
      </c>
      <c r="F269" s="459"/>
      <c r="G269" s="460"/>
      <c r="H269" s="460"/>
      <c r="I269" s="460"/>
      <c r="J269" s="456">
        <v>44270</v>
      </c>
      <c r="K269" s="459">
        <v>0</v>
      </c>
      <c r="L269" s="459">
        <v>2198803</v>
      </c>
      <c r="M269" s="459">
        <f t="shared" si="18"/>
        <v>2198803</v>
      </c>
      <c r="N269" s="461"/>
      <c r="O269" s="462"/>
      <c r="P269" s="462"/>
    </row>
    <row r="270" spans="2:16">
      <c r="B270" s="455" t="s">
        <v>580</v>
      </c>
      <c r="C270" s="460"/>
      <c r="D270" s="460"/>
      <c r="E270" s="458" t="s">
        <v>576</v>
      </c>
      <c r="F270" s="459"/>
      <c r="G270" s="460"/>
      <c r="H270" s="460"/>
      <c r="I270" s="460"/>
      <c r="J270" s="456">
        <v>44270</v>
      </c>
      <c r="K270" s="459">
        <v>0</v>
      </c>
      <c r="L270" s="459">
        <v>3544508</v>
      </c>
      <c r="M270" s="459">
        <f t="shared" si="18"/>
        <v>3544508</v>
      </c>
      <c r="N270" s="461"/>
      <c r="O270" s="462"/>
      <c r="P270" s="462"/>
    </row>
    <row r="271" spans="2:16">
      <c r="B271" s="455" t="s">
        <v>577</v>
      </c>
      <c r="C271" s="460"/>
      <c r="D271" s="460"/>
      <c r="E271" s="458" t="s">
        <v>576</v>
      </c>
      <c r="F271" s="459"/>
      <c r="G271" s="460"/>
      <c r="H271" s="460"/>
      <c r="I271" s="460"/>
      <c r="J271" s="456">
        <v>44270</v>
      </c>
      <c r="K271" s="459">
        <v>0</v>
      </c>
      <c r="L271" s="459">
        <v>4433040</v>
      </c>
      <c r="M271" s="459">
        <f t="shared" si="18"/>
        <v>4433040</v>
      </c>
      <c r="N271" s="461"/>
      <c r="O271" s="462"/>
      <c r="P271" s="462"/>
    </row>
    <row r="272" spans="2:16">
      <c r="B272" s="455" t="s">
        <v>577</v>
      </c>
      <c r="C272" s="460"/>
      <c r="D272" s="460"/>
      <c r="E272" s="458" t="s">
        <v>576</v>
      </c>
      <c r="F272" s="459"/>
      <c r="G272" s="460"/>
      <c r="H272" s="460"/>
      <c r="I272" s="460"/>
      <c r="J272" s="456">
        <v>44270</v>
      </c>
      <c r="K272" s="459">
        <v>0</v>
      </c>
      <c r="L272" s="459">
        <v>3546428</v>
      </c>
      <c r="M272" s="459">
        <f t="shared" si="18"/>
        <v>3546428</v>
      </c>
      <c r="N272" s="461"/>
      <c r="O272" s="462"/>
      <c r="P272" s="462"/>
    </row>
    <row r="273" spans="2:16">
      <c r="B273" s="455" t="s">
        <v>587</v>
      </c>
      <c r="C273" s="460"/>
      <c r="D273" s="460"/>
      <c r="E273" s="458" t="s">
        <v>576</v>
      </c>
      <c r="F273" s="459"/>
      <c r="G273" s="460"/>
      <c r="H273" s="460"/>
      <c r="I273" s="460"/>
      <c r="J273" s="456">
        <v>44270</v>
      </c>
      <c r="K273" s="459">
        <v>0</v>
      </c>
      <c r="L273" s="459">
        <v>1725</v>
      </c>
      <c r="M273" s="459">
        <f t="shared" si="18"/>
        <v>1725</v>
      </c>
      <c r="N273" s="461"/>
      <c r="O273" s="462"/>
      <c r="P273" s="462"/>
    </row>
    <row r="274" spans="2:16">
      <c r="B274" s="455" t="s">
        <v>585</v>
      </c>
      <c r="C274" s="460"/>
      <c r="D274" s="460"/>
      <c r="E274" s="458" t="s">
        <v>576</v>
      </c>
      <c r="F274" s="459"/>
      <c r="G274" s="460"/>
      <c r="H274" s="460"/>
      <c r="I274" s="460"/>
      <c r="J274" s="456">
        <v>44270</v>
      </c>
      <c r="K274" s="459">
        <v>0</v>
      </c>
      <c r="L274" s="459">
        <v>7196875</v>
      </c>
      <c r="M274" s="459">
        <f t="shared" si="18"/>
        <v>7196875</v>
      </c>
      <c r="N274" s="461"/>
      <c r="O274" s="462"/>
      <c r="P274" s="462"/>
    </row>
    <row r="275" spans="2:16">
      <c r="B275" s="455" t="s">
        <v>582</v>
      </c>
      <c r="C275" s="460"/>
      <c r="D275" s="460"/>
      <c r="E275" s="458" t="s">
        <v>576</v>
      </c>
      <c r="F275" s="459"/>
      <c r="G275" s="460"/>
      <c r="H275" s="460"/>
      <c r="I275" s="460"/>
      <c r="J275" s="456">
        <v>44270</v>
      </c>
      <c r="K275" s="459">
        <v>0</v>
      </c>
      <c r="L275" s="459">
        <v>5875</v>
      </c>
      <c r="M275" s="459">
        <f t="shared" si="18"/>
        <v>5875</v>
      </c>
      <c r="N275" s="461"/>
      <c r="O275" s="462"/>
      <c r="P275" s="462"/>
    </row>
    <row r="276" spans="2:16">
      <c r="B276" s="455" t="s">
        <v>580</v>
      </c>
      <c r="C276" s="460"/>
      <c r="D276" s="460"/>
      <c r="E276" s="458" t="s">
        <v>576</v>
      </c>
      <c r="F276" s="459"/>
      <c r="G276" s="460"/>
      <c r="H276" s="460"/>
      <c r="I276" s="460"/>
      <c r="J276" s="456">
        <v>44270</v>
      </c>
      <c r="K276" s="459">
        <v>0</v>
      </c>
      <c r="L276" s="459">
        <v>2642110</v>
      </c>
      <c r="M276" s="459">
        <f t="shared" si="18"/>
        <v>2642110</v>
      </c>
      <c r="N276" s="461"/>
      <c r="O276" s="462"/>
      <c r="P276" s="462"/>
    </row>
    <row r="277" spans="2:16">
      <c r="B277" s="455" t="s">
        <v>586</v>
      </c>
      <c r="C277" s="460"/>
      <c r="D277" s="460"/>
      <c r="E277" s="458" t="s">
        <v>576</v>
      </c>
      <c r="F277" s="459"/>
      <c r="G277" s="460"/>
      <c r="H277" s="460"/>
      <c r="I277" s="460"/>
      <c r="J277" s="456">
        <v>44270</v>
      </c>
      <c r="K277" s="459">
        <v>0</v>
      </c>
      <c r="L277" s="459">
        <v>4881</v>
      </c>
      <c r="M277" s="459">
        <f t="shared" si="18"/>
        <v>4881</v>
      </c>
      <c r="N277" s="461"/>
      <c r="O277" s="462"/>
      <c r="P277" s="462"/>
    </row>
    <row r="278" spans="2:16">
      <c r="B278" s="455" t="s">
        <v>580</v>
      </c>
      <c r="C278" s="460"/>
      <c r="D278" s="460"/>
      <c r="E278" s="458" t="s">
        <v>576</v>
      </c>
      <c r="F278" s="459"/>
      <c r="G278" s="460"/>
      <c r="H278" s="460"/>
      <c r="I278" s="460"/>
      <c r="J278" s="456">
        <v>44270</v>
      </c>
      <c r="K278" s="459">
        <v>0</v>
      </c>
      <c r="L278" s="459">
        <v>3421875</v>
      </c>
      <c r="M278" s="459">
        <f t="shared" si="18"/>
        <v>3421875</v>
      </c>
      <c r="N278" s="461"/>
      <c r="O278" s="462"/>
      <c r="P278" s="462"/>
    </row>
    <row r="279" spans="2:16">
      <c r="B279" s="455" t="s">
        <v>586</v>
      </c>
      <c r="C279" s="460"/>
      <c r="D279" s="460"/>
      <c r="E279" s="458" t="s">
        <v>576</v>
      </c>
      <c r="F279" s="459"/>
      <c r="G279" s="460"/>
      <c r="H279" s="460"/>
      <c r="I279" s="460"/>
      <c r="J279" s="456">
        <v>44270</v>
      </c>
      <c r="K279" s="459">
        <v>0</v>
      </c>
      <c r="L279" s="459">
        <v>414647</v>
      </c>
      <c r="M279" s="459">
        <f t="shared" si="18"/>
        <v>414647</v>
      </c>
      <c r="N279" s="461"/>
      <c r="O279" s="462"/>
      <c r="P279" s="462"/>
    </row>
    <row r="280" spans="2:16">
      <c r="B280" s="455" t="s">
        <v>583</v>
      </c>
      <c r="C280" s="460"/>
      <c r="D280" s="460"/>
      <c r="E280" s="458" t="s">
        <v>576</v>
      </c>
      <c r="F280" s="459"/>
      <c r="G280" s="460"/>
      <c r="H280" s="460"/>
      <c r="I280" s="460"/>
      <c r="J280" s="456">
        <v>44270</v>
      </c>
      <c r="K280" s="459">
        <v>0</v>
      </c>
      <c r="L280" s="459">
        <v>242578</v>
      </c>
      <c r="M280" s="459">
        <f t="shared" si="18"/>
        <v>242578</v>
      </c>
      <c r="N280" s="461"/>
      <c r="O280" s="462"/>
      <c r="P280" s="462"/>
    </row>
    <row r="281" spans="2:16">
      <c r="B281" s="455" t="s">
        <v>582</v>
      </c>
      <c r="C281" s="460"/>
      <c r="D281" s="460"/>
      <c r="E281" s="458" t="s">
        <v>576</v>
      </c>
      <c r="F281" s="459"/>
      <c r="G281" s="460"/>
      <c r="H281" s="460"/>
      <c r="I281" s="460"/>
      <c r="J281" s="456">
        <v>44270</v>
      </c>
      <c r="K281" s="459">
        <v>0</v>
      </c>
      <c r="L281" s="459">
        <v>857813</v>
      </c>
      <c r="M281" s="459">
        <f t="shared" si="18"/>
        <v>857813</v>
      </c>
      <c r="N281" s="461"/>
      <c r="O281" s="462"/>
      <c r="P281" s="462"/>
    </row>
    <row r="282" spans="2:16">
      <c r="B282" s="455" t="s">
        <v>575</v>
      </c>
      <c r="C282" s="460"/>
      <c r="D282" s="460"/>
      <c r="E282" s="458" t="s">
        <v>576</v>
      </c>
      <c r="F282" s="459"/>
      <c r="G282" s="460"/>
      <c r="H282" s="460"/>
      <c r="I282" s="460"/>
      <c r="J282" s="456">
        <v>44270</v>
      </c>
      <c r="K282" s="459">
        <v>0</v>
      </c>
      <c r="L282" s="459">
        <v>3574219</v>
      </c>
      <c r="M282" s="459">
        <f t="shared" si="18"/>
        <v>3574219</v>
      </c>
      <c r="N282" s="461"/>
      <c r="O282" s="462"/>
      <c r="P282" s="462"/>
    </row>
    <row r="283" spans="2:16">
      <c r="B283" s="455" t="s">
        <v>582</v>
      </c>
      <c r="C283" s="460"/>
      <c r="D283" s="460"/>
      <c r="E283" s="458" t="s">
        <v>576</v>
      </c>
      <c r="F283" s="459"/>
      <c r="G283" s="460"/>
      <c r="H283" s="460"/>
      <c r="I283" s="460"/>
      <c r="J283" s="456">
        <v>44274</v>
      </c>
      <c r="K283" s="459">
        <v>0</v>
      </c>
      <c r="L283" s="459">
        <v>219906</v>
      </c>
      <c r="M283" s="459">
        <f t="shared" si="18"/>
        <v>219906</v>
      </c>
      <c r="N283" s="461"/>
      <c r="O283" s="462"/>
      <c r="P283" s="462"/>
    </row>
    <row r="284" spans="2:16">
      <c r="B284" s="455" t="s">
        <v>575</v>
      </c>
      <c r="C284" s="460"/>
      <c r="D284" s="460"/>
      <c r="E284" s="458" t="s">
        <v>576</v>
      </c>
      <c r="F284" s="459"/>
      <c r="G284" s="460"/>
      <c r="H284" s="460"/>
      <c r="I284" s="460"/>
      <c r="J284" s="456">
        <v>44274</v>
      </c>
      <c r="K284" s="459">
        <v>0</v>
      </c>
      <c r="L284" s="459">
        <v>3591156</v>
      </c>
      <c r="M284" s="459">
        <f t="shared" si="18"/>
        <v>3591156</v>
      </c>
      <c r="N284" s="461"/>
      <c r="O284" s="462"/>
      <c r="P284" s="462"/>
    </row>
    <row r="285" spans="2:16">
      <c r="B285" s="455" t="s">
        <v>582</v>
      </c>
      <c r="C285" s="460"/>
      <c r="D285" s="460"/>
      <c r="E285" s="458" t="s">
        <v>576</v>
      </c>
      <c r="F285" s="459"/>
      <c r="G285" s="460"/>
      <c r="H285" s="460"/>
      <c r="I285" s="460"/>
      <c r="J285" s="456">
        <v>44277</v>
      </c>
      <c r="K285" s="459">
        <v>0</v>
      </c>
      <c r="L285" s="459">
        <v>129609</v>
      </c>
      <c r="M285" s="459">
        <f t="shared" si="18"/>
        <v>129609</v>
      </c>
      <c r="N285" s="461"/>
      <c r="O285" s="462"/>
      <c r="P285" s="462"/>
    </row>
    <row r="286" spans="2:16">
      <c r="B286" s="455" t="s">
        <v>582</v>
      </c>
      <c r="C286" s="460"/>
      <c r="D286" s="460"/>
      <c r="E286" s="458" t="s">
        <v>576</v>
      </c>
      <c r="F286" s="459"/>
      <c r="G286" s="460"/>
      <c r="H286" s="460"/>
      <c r="I286" s="460"/>
      <c r="J286" s="456">
        <v>44277</v>
      </c>
      <c r="K286" s="459">
        <v>0</v>
      </c>
      <c r="L286" s="459">
        <v>74063</v>
      </c>
      <c r="M286" s="459">
        <f t="shared" si="18"/>
        <v>74063</v>
      </c>
      <c r="N286" s="461"/>
      <c r="O286" s="462"/>
      <c r="P286" s="462"/>
    </row>
    <row r="287" spans="2:16">
      <c r="B287" s="455" t="s">
        <v>585</v>
      </c>
      <c r="C287" s="460"/>
      <c r="D287" s="460"/>
      <c r="E287" s="458" t="s">
        <v>576</v>
      </c>
      <c r="F287" s="459"/>
      <c r="G287" s="460"/>
      <c r="H287" s="460"/>
      <c r="I287" s="460"/>
      <c r="J287" s="456">
        <v>44277</v>
      </c>
      <c r="K287" s="459">
        <v>0</v>
      </c>
      <c r="L287" s="459">
        <v>5928876</v>
      </c>
      <c r="M287" s="459">
        <f t="shared" si="18"/>
        <v>5928876</v>
      </c>
      <c r="N287" s="461"/>
      <c r="O287" s="462"/>
      <c r="P287" s="462"/>
    </row>
    <row r="288" spans="2:16">
      <c r="B288" s="455" t="s">
        <v>580</v>
      </c>
      <c r="C288" s="460"/>
      <c r="D288" s="460"/>
      <c r="E288" s="458" t="s">
        <v>576</v>
      </c>
      <c r="F288" s="459"/>
      <c r="G288" s="460"/>
      <c r="H288" s="460"/>
      <c r="I288" s="460"/>
      <c r="J288" s="456">
        <v>44277</v>
      </c>
      <c r="K288" s="459">
        <v>0</v>
      </c>
      <c r="L288" s="459">
        <v>1663518</v>
      </c>
      <c r="M288" s="459">
        <f t="shared" si="18"/>
        <v>1663518</v>
      </c>
      <c r="N288" s="461"/>
      <c r="O288" s="462"/>
      <c r="P288" s="462"/>
    </row>
    <row r="289" spans="2:16">
      <c r="B289" s="455" t="s">
        <v>586</v>
      </c>
      <c r="C289" s="460"/>
      <c r="D289" s="460"/>
      <c r="E289" s="458" t="s">
        <v>576</v>
      </c>
      <c r="F289" s="459"/>
      <c r="G289" s="460"/>
      <c r="H289" s="460"/>
      <c r="I289" s="460"/>
      <c r="J289" s="456">
        <v>44277</v>
      </c>
      <c r="K289" s="459">
        <v>0</v>
      </c>
      <c r="L289" s="459">
        <v>123438</v>
      </c>
      <c r="M289" s="459">
        <f t="shared" si="18"/>
        <v>123438</v>
      </c>
      <c r="N289" s="461"/>
      <c r="O289" s="462"/>
      <c r="P289" s="462"/>
    </row>
    <row r="290" spans="2:16">
      <c r="B290" s="455" t="s">
        <v>587</v>
      </c>
      <c r="C290" s="460"/>
      <c r="D290" s="460"/>
      <c r="E290" s="458" t="s">
        <v>576</v>
      </c>
      <c r="F290" s="459"/>
      <c r="G290" s="460"/>
      <c r="H290" s="460"/>
      <c r="I290" s="460"/>
      <c r="J290" s="456">
        <v>44277</v>
      </c>
      <c r="K290" s="459">
        <v>0</v>
      </c>
      <c r="L290" s="459">
        <v>1234</v>
      </c>
      <c r="M290" s="459">
        <f t="shared" si="18"/>
        <v>1234</v>
      </c>
      <c r="N290" s="461"/>
      <c r="O290" s="462"/>
      <c r="P290" s="462"/>
    </row>
    <row r="291" spans="2:16">
      <c r="B291" s="455" t="s">
        <v>584</v>
      </c>
      <c r="C291" s="460"/>
      <c r="D291" s="460"/>
      <c r="E291" s="458" t="s">
        <v>576</v>
      </c>
      <c r="F291" s="459"/>
      <c r="G291" s="460"/>
      <c r="H291" s="460"/>
      <c r="I291" s="460"/>
      <c r="J291" s="456">
        <v>44279</v>
      </c>
      <c r="K291" s="459">
        <v>0</v>
      </c>
      <c r="L291" s="459">
        <v>478295</v>
      </c>
      <c r="M291" s="459">
        <f t="shared" si="18"/>
        <v>478295</v>
      </c>
      <c r="N291" s="461"/>
      <c r="O291" s="462"/>
      <c r="P291" s="462"/>
    </row>
    <row r="292" spans="2:16">
      <c r="B292" s="455" t="s">
        <v>577</v>
      </c>
      <c r="C292" s="460"/>
      <c r="D292" s="460"/>
      <c r="E292" s="458" t="s">
        <v>576</v>
      </c>
      <c r="F292" s="459"/>
      <c r="G292" s="460"/>
      <c r="H292" s="460"/>
      <c r="I292" s="460"/>
      <c r="J292" s="456">
        <v>44279</v>
      </c>
      <c r="K292" s="459">
        <v>0</v>
      </c>
      <c r="L292" s="459">
        <v>3467708</v>
      </c>
      <c r="M292" s="459">
        <f t="shared" si="18"/>
        <v>3467708</v>
      </c>
      <c r="N292" s="461"/>
      <c r="O292" s="462"/>
      <c r="P292" s="462"/>
    </row>
    <row r="293" spans="2:16">
      <c r="B293" s="455" t="s">
        <v>575</v>
      </c>
      <c r="C293" s="460"/>
      <c r="D293" s="460"/>
      <c r="E293" s="458" t="s">
        <v>576</v>
      </c>
      <c r="F293" s="459"/>
      <c r="G293" s="460"/>
      <c r="H293" s="460"/>
      <c r="I293" s="460"/>
      <c r="J293" s="456">
        <v>44279</v>
      </c>
      <c r="K293" s="459">
        <v>0</v>
      </c>
      <c r="L293" s="459">
        <v>5071</v>
      </c>
      <c r="M293" s="459">
        <f t="shared" ref="M293:M302" si="19">+K293+L293</f>
        <v>5071</v>
      </c>
      <c r="N293" s="461"/>
      <c r="O293" s="462"/>
      <c r="P293" s="462"/>
    </row>
    <row r="294" spans="2:16">
      <c r="B294" s="455" t="s">
        <v>585</v>
      </c>
      <c r="C294" s="460"/>
      <c r="D294" s="460"/>
      <c r="E294" s="458" t="s">
        <v>576</v>
      </c>
      <c r="F294" s="459"/>
      <c r="G294" s="460"/>
      <c r="H294" s="460"/>
      <c r="I294" s="460"/>
      <c r="J294" s="456">
        <v>44279</v>
      </c>
      <c r="K294" s="459">
        <v>0</v>
      </c>
      <c r="L294" s="459">
        <v>1195723</v>
      </c>
      <c r="M294" s="459">
        <f t="shared" si="19"/>
        <v>1195723</v>
      </c>
      <c r="N294" s="461"/>
      <c r="O294" s="462"/>
      <c r="P294" s="462"/>
    </row>
    <row r="295" spans="2:16">
      <c r="B295" s="455" t="s">
        <v>577</v>
      </c>
      <c r="C295" s="460"/>
      <c r="D295" s="460"/>
      <c r="E295" s="458" t="s">
        <v>576</v>
      </c>
      <c r="F295" s="459"/>
      <c r="G295" s="460"/>
      <c r="H295" s="460"/>
      <c r="I295" s="460"/>
      <c r="J295" s="456">
        <v>44279</v>
      </c>
      <c r="K295" s="459">
        <v>0</v>
      </c>
      <c r="L295" s="459">
        <v>2539964</v>
      </c>
      <c r="M295" s="459">
        <f t="shared" si="19"/>
        <v>2539964</v>
      </c>
      <c r="N295" s="461"/>
      <c r="O295" s="462"/>
      <c r="P295" s="462"/>
    </row>
    <row r="296" spans="2:16">
      <c r="B296" s="455" t="s">
        <v>582</v>
      </c>
      <c r="C296" s="460"/>
      <c r="D296" s="460"/>
      <c r="E296" s="458" t="s">
        <v>576</v>
      </c>
      <c r="F296" s="459"/>
      <c r="G296" s="460"/>
      <c r="H296" s="460"/>
      <c r="I296" s="460"/>
      <c r="J296" s="456">
        <v>44279</v>
      </c>
      <c r="K296" s="459">
        <v>0</v>
      </c>
      <c r="L296" s="459">
        <v>296875</v>
      </c>
      <c r="M296" s="459">
        <f t="shared" si="19"/>
        <v>296875</v>
      </c>
      <c r="N296" s="461"/>
      <c r="O296" s="462"/>
      <c r="P296" s="462"/>
    </row>
    <row r="297" spans="2:16">
      <c r="B297" s="455" t="s">
        <v>575</v>
      </c>
      <c r="C297" s="460"/>
      <c r="D297" s="460"/>
      <c r="E297" s="458" t="s">
        <v>576</v>
      </c>
      <c r="F297" s="459"/>
      <c r="G297" s="460"/>
      <c r="H297" s="460"/>
      <c r="I297" s="460"/>
      <c r="J297" s="456">
        <v>44284</v>
      </c>
      <c r="K297" s="459">
        <v>0</v>
      </c>
      <c r="L297" s="459">
        <v>2777121</v>
      </c>
      <c r="M297" s="459">
        <f t="shared" si="19"/>
        <v>2777121</v>
      </c>
      <c r="N297" s="461"/>
      <c r="O297" s="462"/>
      <c r="P297" s="462"/>
    </row>
    <row r="298" spans="2:16">
      <c r="B298" s="455" t="s">
        <v>585</v>
      </c>
      <c r="C298" s="460"/>
      <c r="D298" s="460"/>
      <c r="E298" s="458" t="s">
        <v>576</v>
      </c>
      <c r="F298" s="459"/>
      <c r="G298" s="460"/>
      <c r="H298" s="460"/>
      <c r="I298" s="460"/>
      <c r="J298" s="456">
        <v>44284</v>
      </c>
      <c r="K298" s="459">
        <v>0</v>
      </c>
      <c r="L298" s="459">
        <v>1500000</v>
      </c>
      <c r="M298" s="459">
        <f t="shared" si="19"/>
        <v>1500000</v>
      </c>
      <c r="N298" s="461"/>
      <c r="O298" s="462"/>
      <c r="P298" s="462"/>
    </row>
    <row r="299" spans="2:16">
      <c r="B299" s="455" t="s">
        <v>575</v>
      </c>
      <c r="C299" s="460"/>
      <c r="D299" s="460"/>
      <c r="E299" s="458" t="s">
        <v>576</v>
      </c>
      <c r="F299" s="459"/>
      <c r="G299" s="460"/>
      <c r="H299" s="460"/>
      <c r="I299" s="460"/>
      <c r="J299" s="456">
        <v>44284</v>
      </c>
      <c r="K299" s="459">
        <v>100000000</v>
      </c>
      <c r="L299" s="459">
        <v>0</v>
      </c>
      <c r="M299" s="459">
        <f t="shared" si="19"/>
        <v>100000000</v>
      </c>
      <c r="N299" s="461"/>
      <c r="O299" s="462"/>
      <c r="P299" s="462"/>
    </row>
    <row r="300" spans="2:16">
      <c r="B300" s="455" t="s">
        <v>585</v>
      </c>
      <c r="C300" s="460"/>
      <c r="D300" s="460"/>
      <c r="E300" s="458" t="s">
        <v>576</v>
      </c>
      <c r="F300" s="459"/>
      <c r="G300" s="460"/>
      <c r="H300" s="460"/>
      <c r="I300" s="460"/>
      <c r="J300" s="456">
        <v>44284</v>
      </c>
      <c r="K300" s="459">
        <v>50000000</v>
      </c>
      <c r="L300" s="459">
        <v>0</v>
      </c>
      <c r="M300" s="459">
        <f t="shared" si="19"/>
        <v>50000000</v>
      </c>
      <c r="N300" s="461"/>
      <c r="O300" s="462"/>
      <c r="P300" s="462"/>
    </row>
    <row r="301" spans="2:16">
      <c r="B301" s="455" t="s">
        <v>575</v>
      </c>
      <c r="C301" s="460"/>
      <c r="D301" s="460"/>
      <c r="E301" s="458" t="s">
        <v>576</v>
      </c>
      <c r="F301" s="459"/>
      <c r="G301" s="460"/>
      <c r="H301" s="460"/>
      <c r="I301" s="460"/>
      <c r="J301" s="456">
        <v>44284</v>
      </c>
      <c r="K301" s="459">
        <v>0</v>
      </c>
      <c r="L301" s="459">
        <v>3000000</v>
      </c>
      <c r="M301" s="459">
        <f t="shared" si="19"/>
        <v>3000000</v>
      </c>
      <c r="N301" s="461"/>
      <c r="O301" s="462"/>
      <c r="P301" s="462"/>
    </row>
    <row r="302" spans="2:16">
      <c r="B302" s="455" t="s">
        <v>577</v>
      </c>
      <c r="C302" s="460"/>
      <c r="D302" s="460"/>
      <c r="E302" s="458" t="s">
        <v>576</v>
      </c>
      <c r="F302" s="459"/>
      <c r="G302" s="460"/>
      <c r="H302" s="460"/>
      <c r="I302" s="460"/>
      <c r="J302" s="456">
        <v>44284</v>
      </c>
      <c r="K302" s="459">
        <v>0</v>
      </c>
      <c r="L302" s="459">
        <v>7956726</v>
      </c>
      <c r="M302" s="459">
        <f t="shared" si="19"/>
        <v>7956726</v>
      </c>
      <c r="N302" s="461"/>
      <c r="O302" s="462"/>
      <c r="P302" s="462"/>
    </row>
    <row r="303" spans="2:16">
      <c r="B303" s="467" t="s">
        <v>588</v>
      </c>
      <c r="C303" s="468"/>
      <c r="D303" s="469"/>
      <c r="E303" s="470"/>
      <c r="F303" s="459"/>
      <c r="G303" s="471">
        <f>(F608-E608)*1000000</f>
        <v>-7490362.9999994338</v>
      </c>
      <c r="H303" s="465"/>
      <c r="I303" s="465"/>
      <c r="J303" s="472"/>
      <c r="K303" s="473"/>
      <c r="L303" s="473"/>
      <c r="M303" s="473"/>
      <c r="N303" s="461"/>
      <c r="O303" s="462"/>
      <c r="P303" s="462"/>
    </row>
    <row r="304" spans="2:16">
      <c r="B304" s="467" t="s">
        <v>589</v>
      </c>
      <c r="C304" s="468"/>
      <c r="D304" s="469"/>
      <c r="E304" s="470" t="s">
        <v>590</v>
      </c>
      <c r="F304" s="459">
        <f>SUBTOTAL(9,G304:H304)</f>
        <v>0</v>
      </c>
      <c r="G304" s="471"/>
      <c r="H304" s="465"/>
      <c r="I304" s="465"/>
      <c r="J304" s="472"/>
      <c r="K304" s="473"/>
      <c r="L304" s="473"/>
      <c r="M304" s="473"/>
      <c r="N304" s="461"/>
      <c r="O304" s="462"/>
      <c r="P304" s="462"/>
    </row>
    <row r="305" spans="2:16">
      <c r="B305" s="467" t="s">
        <v>591</v>
      </c>
      <c r="C305" s="468"/>
      <c r="D305" s="469"/>
      <c r="E305" s="470" t="s">
        <v>592</v>
      </c>
      <c r="F305" s="459">
        <f t="shared" ref="F305" si="20">SUBTOTAL(9,G305:H305)</f>
        <v>0</v>
      </c>
      <c r="G305" s="471"/>
      <c r="H305" s="465"/>
      <c r="I305" s="465"/>
      <c r="J305" s="472"/>
      <c r="K305" s="473"/>
      <c r="L305" s="473"/>
      <c r="M305" s="473"/>
      <c r="N305" s="461"/>
      <c r="O305" s="462"/>
      <c r="P305" s="462"/>
    </row>
    <row r="306" spans="2:16" ht="12.5">
      <c r="B306" s="474" t="s">
        <v>593</v>
      </c>
      <c r="C306" s="475"/>
      <c r="D306" s="475"/>
      <c r="E306" s="476"/>
      <c r="F306" s="477">
        <f>SUM(F208:F305)</f>
        <v>1757729000</v>
      </c>
      <c r="G306" s="477">
        <f>SUM(G208:G305)</f>
        <v>1747686038.9665482</v>
      </c>
      <c r="H306" s="477">
        <f>SUM(H208:H305)</f>
        <v>2552598.0334523469</v>
      </c>
      <c r="I306" s="477">
        <f>SUM(I208:I305)</f>
        <v>1757729000</v>
      </c>
      <c r="J306" s="477"/>
      <c r="K306" s="477">
        <f>SUM(K208:K305)</f>
        <v>150000000</v>
      </c>
      <c r="L306" s="477">
        <f>SUM(L208:L305)</f>
        <v>163509228</v>
      </c>
      <c r="M306" s="477">
        <f>SUM(M208:M305)</f>
        <v>313509228</v>
      </c>
      <c r="N306" s="478">
        <f>+G306-K306</f>
        <v>1597686038.9665482</v>
      </c>
      <c r="O306" s="478">
        <f>+(F598-E598)*1000000</f>
        <v>649501382.07121289</v>
      </c>
      <c r="P306" s="478">
        <f>N306-O306</f>
        <v>948184656.89533532</v>
      </c>
    </row>
    <row r="307" spans="2:16" ht="12.5">
      <c r="B307" s="455" t="s">
        <v>594</v>
      </c>
      <c r="C307" s="479">
        <v>44260</v>
      </c>
      <c r="D307" s="457">
        <v>90</v>
      </c>
      <c r="E307" s="480" t="s">
        <v>579</v>
      </c>
      <c r="F307" s="459">
        <f>SUBTOTAL(9,G307:H307)</f>
        <v>60000000</v>
      </c>
      <c r="G307" s="459">
        <v>59850374.06483791</v>
      </c>
      <c r="H307" s="459">
        <v>149625.93516208977</v>
      </c>
      <c r="I307" s="459">
        <f t="shared" ref="I307:I310" si="21">+G307+H307</f>
        <v>60000000</v>
      </c>
      <c r="J307" s="489"/>
      <c r="K307" s="490"/>
      <c r="L307" s="490"/>
      <c r="M307" s="490"/>
      <c r="N307" s="481"/>
      <c r="O307" s="462"/>
      <c r="P307" s="482"/>
    </row>
    <row r="308" spans="2:16" ht="12.5">
      <c r="B308" s="455" t="s">
        <v>594</v>
      </c>
      <c r="C308" s="479">
        <v>44267</v>
      </c>
      <c r="D308" s="457">
        <v>270</v>
      </c>
      <c r="E308" s="480" t="s">
        <v>579</v>
      </c>
      <c r="F308" s="459">
        <f t="shared" ref="F308:F310" si="22">SUBTOTAL(9,G308:H308)</f>
        <v>87500000</v>
      </c>
      <c r="G308" s="459">
        <v>86848635.235732004</v>
      </c>
      <c r="H308" s="459">
        <v>651364.76426799595</v>
      </c>
      <c r="I308" s="459">
        <f t="shared" si="21"/>
        <v>87500000</v>
      </c>
      <c r="J308" s="489"/>
      <c r="K308" s="490"/>
      <c r="L308" s="490"/>
      <c r="M308" s="490"/>
      <c r="N308" s="481"/>
      <c r="O308" s="462"/>
      <c r="P308" s="482"/>
    </row>
    <row r="309" spans="2:16" ht="12.5">
      <c r="B309" s="455" t="s">
        <v>594</v>
      </c>
      <c r="C309" s="479">
        <v>44274</v>
      </c>
      <c r="D309" s="457">
        <v>2520</v>
      </c>
      <c r="E309" s="480" t="s">
        <v>576</v>
      </c>
      <c r="F309" s="459">
        <f t="shared" si="22"/>
        <v>576471000</v>
      </c>
      <c r="G309" s="459">
        <v>576471000</v>
      </c>
      <c r="H309" s="459">
        <v>0</v>
      </c>
      <c r="I309" s="459">
        <f t="shared" si="21"/>
        <v>576471000</v>
      </c>
      <c r="J309" s="489"/>
      <c r="K309" s="490"/>
      <c r="L309" s="490"/>
      <c r="M309" s="490"/>
      <c r="N309" s="481"/>
      <c r="O309" s="462"/>
      <c r="P309" s="482"/>
    </row>
    <row r="310" spans="2:16" ht="12.5">
      <c r="B310" s="455" t="s">
        <v>594</v>
      </c>
      <c r="C310" s="479">
        <v>44285</v>
      </c>
      <c r="D310" s="457">
        <v>2880</v>
      </c>
      <c r="E310" s="480" t="s">
        <v>576</v>
      </c>
      <c r="F310" s="459">
        <f t="shared" si="22"/>
        <v>200000000</v>
      </c>
      <c r="G310" s="459">
        <v>200000000</v>
      </c>
      <c r="H310" s="459">
        <v>0</v>
      </c>
      <c r="I310" s="459">
        <f t="shared" si="21"/>
        <v>200000000</v>
      </c>
      <c r="J310" s="489"/>
      <c r="K310" s="490"/>
      <c r="L310" s="490"/>
      <c r="M310" s="490"/>
      <c r="N310" s="481"/>
      <c r="O310" s="462"/>
      <c r="P310" s="482"/>
    </row>
    <row r="311" spans="2:16" ht="12.5">
      <c r="B311" s="455" t="s">
        <v>594</v>
      </c>
      <c r="C311" s="493"/>
      <c r="D311" s="493"/>
      <c r="E311" s="480" t="s">
        <v>576</v>
      </c>
      <c r="F311" s="489"/>
      <c r="G311" s="489"/>
      <c r="H311" s="489"/>
      <c r="I311" s="489"/>
      <c r="J311" s="456">
        <v>44258</v>
      </c>
      <c r="K311" s="459">
        <v>0</v>
      </c>
      <c r="L311" s="459">
        <v>10718750</v>
      </c>
      <c r="M311" s="484">
        <f t="shared" ref="M311:M332" si="23">+K311+L311</f>
        <v>10718750</v>
      </c>
      <c r="N311" s="481"/>
      <c r="O311" s="462"/>
      <c r="P311" s="482"/>
    </row>
    <row r="312" spans="2:16" ht="12.5">
      <c r="B312" s="455" t="s">
        <v>594</v>
      </c>
      <c r="C312" s="493"/>
      <c r="D312" s="493"/>
      <c r="E312" s="480" t="s">
        <v>576</v>
      </c>
      <c r="F312" s="489"/>
      <c r="G312" s="489"/>
      <c r="H312" s="489"/>
      <c r="I312" s="489"/>
      <c r="J312" s="456">
        <v>44258</v>
      </c>
      <c r="K312" s="459">
        <v>0</v>
      </c>
      <c r="L312" s="459">
        <v>845818</v>
      </c>
      <c r="M312" s="484">
        <f t="shared" si="23"/>
        <v>845818</v>
      </c>
      <c r="N312" s="481"/>
      <c r="O312" s="462"/>
      <c r="P312" s="482"/>
    </row>
    <row r="313" spans="2:16" ht="12.5">
      <c r="B313" s="455" t="s">
        <v>594</v>
      </c>
      <c r="C313" s="493"/>
      <c r="D313" s="493"/>
      <c r="E313" s="480" t="s">
        <v>576</v>
      </c>
      <c r="F313" s="489"/>
      <c r="G313" s="489"/>
      <c r="H313" s="489"/>
      <c r="I313" s="489"/>
      <c r="J313" s="456">
        <v>44260</v>
      </c>
      <c r="K313" s="459">
        <v>0</v>
      </c>
      <c r="L313" s="459">
        <v>2297236</v>
      </c>
      <c r="M313" s="484">
        <f t="shared" si="23"/>
        <v>2297236</v>
      </c>
      <c r="N313" s="481"/>
      <c r="O313" s="462"/>
      <c r="P313" s="482"/>
    </row>
    <row r="314" spans="2:16" ht="12.5">
      <c r="B314" s="455" t="s">
        <v>594</v>
      </c>
      <c r="C314" s="493"/>
      <c r="D314" s="493"/>
      <c r="E314" s="480" t="s">
        <v>576</v>
      </c>
      <c r="F314" s="489"/>
      <c r="G314" s="489"/>
      <c r="H314" s="489"/>
      <c r="I314" s="489"/>
      <c r="J314" s="456">
        <v>44263</v>
      </c>
      <c r="K314" s="459">
        <v>0</v>
      </c>
      <c r="L314" s="459">
        <v>1831090</v>
      </c>
      <c r="M314" s="484">
        <f t="shared" si="23"/>
        <v>1831090</v>
      </c>
      <c r="N314" s="481"/>
      <c r="O314" s="462"/>
      <c r="P314" s="482"/>
    </row>
    <row r="315" spans="2:16" ht="12.5">
      <c r="B315" s="455" t="s">
        <v>594</v>
      </c>
      <c r="C315" s="493"/>
      <c r="D315" s="493"/>
      <c r="E315" s="480" t="s">
        <v>576</v>
      </c>
      <c r="F315" s="489"/>
      <c r="G315" s="489"/>
      <c r="H315" s="489"/>
      <c r="I315" s="489"/>
      <c r="J315" s="456">
        <v>44263</v>
      </c>
      <c r="K315" s="459">
        <v>0</v>
      </c>
      <c r="L315" s="459">
        <v>6838565</v>
      </c>
      <c r="M315" s="484">
        <f t="shared" si="23"/>
        <v>6838565</v>
      </c>
      <c r="N315" s="481"/>
      <c r="O315" s="462"/>
      <c r="P315" s="482"/>
    </row>
    <row r="316" spans="2:16" ht="12.5">
      <c r="B316" s="455" t="s">
        <v>594</v>
      </c>
      <c r="C316" s="493"/>
      <c r="D316" s="493"/>
      <c r="E316" s="480" t="s">
        <v>576</v>
      </c>
      <c r="F316" s="489"/>
      <c r="G316" s="489"/>
      <c r="H316" s="489"/>
      <c r="I316" s="489"/>
      <c r="J316" s="456">
        <v>44265</v>
      </c>
      <c r="K316" s="459">
        <v>0</v>
      </c>
      <c r="L316" s="459">
        <v>4416524</v>
      </c>
      <c r="M316" s="484">
        <f t="shared" si="23"/>
        <v>4416524</v>
      </c>
      <c r="N316" s="481"/>
      <c r="O316" s="462"/>
      <c r="P316" s="482"/>
    </row>
    <row r="317" spans="2:16" ht="12.5">
      <c r="B317" s="455" t="s">
        <v>594</v>
      </c>
      <c r="C317" s="493"/>
      <c r="D317" s="493"/>
      <c r="E317" s="480" t="s">
        <v>576</v>
      </c>
      <c r="F317" s="489"/>
      <c r="G317" s="489"/>
      <c r="H317" s="489"/>
      <c r="I317" s="489"/>
      <c r="J317" s="456">
        <v>44265</v>
      </c>
      <c r="K317" s="459">
        <v>0</v>
      </c>
      <c r="L317" s="459">
        <v>5795379</v>
      </c>
      <c r="M317" s="484">
        <f t="shared" si="23"/>
        <v>5795379</v>
      </c>
      <c r="N317" s="481"/>
      <c r="O317" s="462"/>
      <c r="P317" s="482"/>
    </row>
    <row r="318" spans="2:16" ht="12.5">
      <c r="B318" s="455" t="s">
        <v>594</v>
      </c>
      <c r="C318" s="493"/>
      <c r="D318" s="493"/>
      <c r="E318" s="480" t="s">
        <v>576</v>
      </c>
      <c r="F318" s="489"/>
      <c r="G318" s="489"/>
      <c r="H318" s="489"/>
      <c r="I318" s="489"/>
      <c r="J318" s="456">
        <v>44265</v>
      </c>
      <c r="K318" s="459">
        <v>0</v>
      </c>
      <c r="L318" s="459">
        <v>3812500</v>
      </c>
      <c r="M318" s="484">
        <f t="shared" si="23"/>
        <v>3812500</v>
      </c>
      <c r="N318" s="481"/>
      <c r="O318" s="462"/>
      <c r="P318" s="482"/>
    </row>
    <row r="319" spans="2:16" ht="12.5">
      <c r="B319" s="455" t="s">
        <v>594</v>
      </c>
      <c r="C319" s="493"/>
      <c r="D319" s="493"/>
      <c r="E319" s="480" t="s">
        <v>576</v>
      </c>
      <c r="F319" s="489"/>
      <c r="G319" s="489"/>
      <c r="H319" s="489"/>
      <c r="I319" s="489"/>
      <c r="J319" s="456">
        <v>44266</v>
      </c>
      <c r="K319" s="459">
        <v>0</v>
      </c>
      <c r="L319" s="459">
        <v>5107951</v>
      </c>
      <c r="M319" s="484">
        <f t="shared" si="23"/>
        <v>5107951</v>
      </c>
      <c r="N319" s="481"/>
      <c r="O319" s="462"/>
      <c r="P319" s="482"/>
    </row>
    <row r="320" spans="2:16" ht="12.5">
      <c r="B320" s="455" t="s">
        <v>594</v>
      </c>
      <c r="C320" s="493"/>
      <c r="D320" s="493"/>
      <c r="E320" s="480" t="s">
        <v>576</v>
      </c>
      <c r="F320" s="489"/>
      <c r="G320" s="489"/>
      <c r="H320" s="489"/>
      <c r="I320" s="489"/>
      <c r="J320" s="456">
        <v>44270</v>
      </c>
      <c r="K320" s="459">
        <v>0</v>
      </c>
      <c r="L320" s="459">
        <v>6805492</v>
      </c>
      <c r="M320" s="484">
        <f t="shared" si="23"/>
        <v>6805492</v>
      </c>
      <c r="N320" s="481"/>
      <c r="O320" s="462"/>
      <c r="P320" s="482"/>
    </row>
    <row r="321" spans="2:16" ht="12.5">
      <c r="B321" s="455" t="s">
        <v>594</v>
      </c>
      <c r="C321" s="493"/>
      <c r="D321" s="493"/>
      <c r="E321" s="480" t="s">
        <v>576</v>
      </c>
      <c r="F321" s="489"/>
      <c r="G321" s="489"/>
      <c r="H321" s="489"/>
      <c r="I321" s="489"/>
      <c r="J321" s="456">
        <v>44270</v>
      </c>
      <c r="K321" s="459">
        <v>0</v>
      </c>
      <c r="L321" s="459">
        <v>3574219</v>
      </c>
      <c r="M321" s="484">
        <f t="shared" si="23"/>
        <v>3574219</v>
      </c>
      <c r="N321" s="481"/>
      <c r="O321" s="462"/>
      <c r="P321" s="482"/>
    </row>
    <row r="322" spans="2:16" ht="12.5">
      <c r="B322" s="455" t="s">
        <v>594</v>
      </c>
      <c r="C322" s="493"/>
      <c r="D322" s="493"/>
      <c r="E322" s="480" t="s">
        <v>576</v>
      </c>
      <c r="F322" s="489"/>
      <c r="G322" s="489"/>
      <c r="H322" s="489"/>
      <c r="I322" s="489"/>
      <c r="J322" s="456">
        <v>44270</v>
      </c>
      <c r="K322" s="459">
        <v>0</v>
      </c>
      <c r="L322" s="459">
        <v>2198781</v>
      </c>
      <c r="M322" s="484">
        <f t="shared" si="23"/>
        <v>2198781</v>
      </c>
      <c r="N322" s="481"/>
      <c r="O322" s="462"/>
      <c r="P322" s="482"/>
    </row>
    <row r="323" spans="2:16" ht="12.5">
      <c r="B323" s="455" t="s">
        <v>594</v>
      </c>
      <c r="C323" s="493"/>
      <c r="D323" s="493"/>
      <c r="E323" s="480" t="s">
        <v>576</v>
      </c>
      <c r="F323" s="489"/>
      <c r="G323" s="489"/>
      <c r="H323" s="489"/>
      <c r="I323" s="489"/>
      <c r="J323" s="456">
        <v>44270</v>
      </c>
      <c r="K323" s="459">
        <v>0</v>
      </c>
      <c r="L323" s="459">
        <v>2642088</v>
      </c>
      <c r="M323" s="484">
        <f t="shared" si="23"/>
        <v>2642088</v>
      </c>
      <c r="N323" s="481"/>
      <c r="O323" s="462"/>
      <c r="P323" s="482"/>
    </row>
    <row r="324" spans="2:16" ht="12.5">
      <c r="B324" s="455" t="s">
        <v>594</v>
      </c>
      <c r="C324" s="493"/>
      <c r="D324" s="493"/>
      <c r="E324" s="480" t="s">
        <v>576</v>
      </c>
      <c r="F324" s="489"/>
      <c r="G324" s="489"/>
      <c r="H324" s="489"/>
      <c r="I324" s="489"/>
      <c r="J324" s="456">
        <v>44270</v>
      </c>
      <c r="K324" s="459">
        <v>0</v>
      </c>
      <c r="L324" s="459">
        <v>3421875</v>
      </c>
      <c r="M324" s="484">
        <f t="shared" si="23"/>
        <v>3421875</v>
      </c>
      <c r="N324" s="481"/>
      <c r="O324" s="462"/>
      <c r="P324" s="482"/>
    </row>
    <row r="325" spans="2:16" ht="12.5">
      <c r="B325" s="455" t="s">
        <v>594</v>
      </c>
      <c r="C325" s="493"/>
      <c r="D325" s="493"/>
      <c r="E325" s="480" t="s">
        <v>576</v>
      </c>
      <c r="F325" s="489"/>
      <c r="G325" s="489"/>
      <c r="H325" s="489"/>
      <c r="I325" s="489"/>
      <c r="J325" s="456">
        <v>44270</v>
      </c>
      <c r="K325" s="459">
        <v>0</v>
      </c>
      <c r="L325" s="459">
        <v>7196875</v>
      </c>
      <c r="M325" s="484">
        <f t="shared" si="23"/>
        <v>7196875</v>
      </c>
      <c r="N325" s="481"/>
      <c r="O325" s="462"/>
      <c r="P325" s="482"/>
    </row>
    <row r="326" spans="2:16" ht="12.5">
      <c r="B326" s="455" t="s">
        <v>594</v>
      </c>
      <c r="C326" s="493"/>
      <c r="D326" s="493"/>
      <c r="E326" s="480" t="s">
        <v>576</v>
      </c>
      <c r="F326" s="489"/>
      <c r="G326" s="489"/>
      <c r="H326" s="489"/>
      <c r="I326" s="489"/>
      <c r="J326" s="456">
        <v>44274</v>
      </c>
      <c r="K326" s="459">
        <v>0</v>
      </c>
      <c r="L326" s="459">
        <v>5805719</v>
      </c>
      <c r="M326" s="484">
        <f t="shared" si="23"/>
        <v>5805719</v>
      </c>
      <c r="N326" s="481"/>
      <c r="O326" s="462"/>
      <c r="P326" s="482"/>
    </row>
    <row r="327" spans="2:16" ht="12.5">
      <c r="B327" s="455" t="s">
        <v>594</v>
      </c>
      <c r="C327" s="493"/>
      <c r="D327" s="493"/>
      <c r="E327" s="480" t="s">
        <v>576</v>
      </c>
      <c r="F327" s="489"/>
      <c r="G327" s="489"/>
      <c r="H327" s="489"/>
      <c r="I327" s="489"/>
      <c r="J327" s="456">
        <v>44277</v>
      </c>
      <c r="K327" s="459">
        <v>0</v>
      </c>
      <c r="L327" s="459">
        <v>4627919</v>
      </c>
      <c r="M327" s="484">
        <f t="shared" si="23"/>
        <v>4627919</v>
      </c>
      <c r="N327" s="481"/>
      <c r="O327" s="462"/>
      <c r="P327" s="482"/>
    </row>
    <row r="328" spans="2:16" ht="12.5">
      <c r="B328" s="455" t="s">
        <v>594</v>
      </c>
      <c r="C328" s="493"/>
      <c r="D328" s="493"/>
      <c r="E328" s="480" t="s">
        <v>576</v>
      </c>
      <c r="F328" s="489"/>
      <c r="G328" s="489"/>
      <c r="H328" s="489"/>
      <c r="I328" s="489"/>
      <c r="J328" s="456">
        <v>44279</v>
      </c>
      <c r="K328" s="459">
        <v>0</v>
      </c>
      <c r="L328" s="459">
        <v>3467648</v>
      </c>
      <c r="M328" s="484">
        <f t="shared" si="23"/>
        <v>3467648</v>
      </c>
      <c r="N328" s="481"/>
      <c r="O328" s="462"/>
      <c r="P328" s="482"/>
    </row>
    <row r="329" spans="2:16" ht="12.5">
      <c r="B329" s="455" t="s">
        <v>594</v>
      </c>
      <c r="C329" s="493"/>
      <c r="D329" s="493"/>
      <c r="E329" s="480" t="s">
        <v>576</v>
      </c>
      <c r="F329" s="489"/>
      <c r="G329" s="489"/>
      <c r="H329" s="489"/>
      <c r="I329" s="489"/>
      <c r="J329" s="456">
        <v>44279</v>
      </c>
      <c r="K329" s="459">
        <v>0</v>
      </c>
      <c r="L329" s="459">
        <v>5079966</v>
      </c>
      <c r="M329" s="484">
        <f t="shared" si="23"/>
        <v>5079966</v>
      </c>
      <c r="N329" s="481"/>
      <c r="O329" s="462"/>
      <c r="P329" s="482"/>
    </row>
    <row r="330" spans="2:16" ht="12.5">
      <c r="B330" s="455" t="s">
        <v>594</v>
      </c>
      <c r="C330" s="493"/>
      <c r="D330" s="493"/>
      <c r="E330" s="480" t="s">
        <v>576</v>
      </c>
      <c r="F330" s="489"/>
      <c r="G330" s="489"/>
      <c r="H330" s="489"/>
      <c r="I330" s="489"/>
      <c r="J330" s="456">
        <v>44284</v>
      </c>
      <c r="K330" s="459">
        <v>0</v>
      </c>
      <c r="L330" s="459">
        <v>3688028</v>
      </c>
      <c r="M330" s="484">
        <f t="shared" si="23"/>
        <v>3688028</v>
      </c>
      <c r="N330" s="481"/>
      <c r="O330" s="462"/>
      <c r="P330" s="482"/>
    </row>
    <row r="331" spans="2:16" ht="12.5">
      <c r="B331" s="455" t="s">
        <v>594</v>
      </c>
      <c r="C331" s="493"/>
      <c r="D331" s="493"/>
      <c r="E331" s="480" t="s">
        <v>576</v>
      </c>
      <c r="F331" s="489"/>
      <c r="G331" s="489"/>
      <c r="H331" s="489"/>
      <c r="I331" s="489"/>
      <c r="J331" s="456">
        <v>44285</v>
      </c>
      <c r="K331" s="459">
        <v>0</v>
      </c>
      <c r="L331" s="459">
        <v>8554110</v>
      </c>
      <c r="M331" s="484">
        <f t="shared" si="23"/>
        <v>8554110</v>
      </c>
      <c r="N331" s="481"/>
      <c r="O331" s="462"/>
      <c r="P331" s="482"/>
    </row>
    <row r="332" spans="2:16" ht="12.5">
      <c r="B332" s="455" t="s">
        <v>594</v>
      </c>
      <c r="C332" s="493"/>
      <c r="D332" s="493"/>
      <c r="E332" s="480" t="s">
        <v>576</v>
      </c>
      <c r="F332" s="489"/>
      <c r="G332" s="489"/>
      <c r="H332" s="489"/>
      <c r="I332" s="489"/>
      <c r="J332" s="456">
        <v>44285</v>
      </c>
      <c r="K332" s="459">
        <v>300000000</v>
      </c>
      <c r="L332" s="459">
        <v>0</v>
      </c>
      <c r="M332" s="484">
        <f t="shared" si="23"/>
        <v>300000000</v>
      </c>
      <c r="N332" s="481"/>
      <c r="O332" s="462"/>
      <c r="P332" s="482"/>
    </row>
    <row r="333" spans="2:16" ht="12.5">
      <c r="B333" s="485" t="s">
        <v>595</v>
      </c>
      <c r="C333" s="486"/>
      <c r="D333" s="486"/>
      <c r="E333" s="487"/>
      <c r="F333" s="488">
        <f>SUM(F307:F332)</f>
        <v>923971000</v>
      </c>
      <c r="G333" s="488">
        <f>SUM(G307:G332)</f>
        <v>923170009.30056989</v>
      </c>
      <c r="H333" s="488">
        <f>SUM(H307:H332)</f>
        <v>800990.69943008572</v>
      </c>
      <c r="I333" s="488">
        <f>SUM(I307:I332)</f>
        <v>923971000</v>
      </c>
      <c r="J333" s="488"/>
      <c r="K333" s="488">
        <f>SUM(K307:K332)</f>
        <v>300000000</v>
      </c>
      <c r="L333" s="488">
        <f>SUM(L307:L332)</f>
        <v>98726533</v>
      </c>
      <c r="M333" s="488">
        <f>SUM(M307:M332)</f>
        <v>398726533</v>
      </c>
      <c r="N333" s="478">
        <f>+G333-K333</f>
        <v>623170009.30056989</v>
      </c>
      <c r="O333" s="478"/>
      <c r="P333" s="478">
        <f>+N333-O333</f>
        <v>623170009.30056989</v>
      </c>
    </row>
    <row r="334" spans="2:16">
      <c r="B334" s="455" t="s">
        <v>575</v>
      </c>
      <c r="C334" s="456">
        <v>44288</v>
      </c>
      <c r="D334" s="457">
        <v>2160</v>
      </c>
      <c r="E334" s="458" t="s">
        <v>576</v>
      </c>
      <c r="F334" s="459">
        <f t="shared" ref="F334:F340" si="24">SUBTOTAL(9,G334:H334)</f>
        <v>80000000</v>
      </c>
      <c r="G334" s="459">
        <v>80000000</v>
      </c>
      <c r="H334" s="459">
        <v>0</v>
      </c>
      <c r="I334" s="459">
        <f t="shared" ref="I334:I340" si="25">+G334+H334</f>
        <v>80000000</v>
      </c>
      <c r="J334" s="460"/>
      <c r="K334" s="460"/>
      <c r="L334" s="460"/>
      <c r="M334" s="459"/>
      <c r="N334" s="461"/>
      <c r="O334" s="462"/>
      <c r="P334" s="462"/>
    </row>
    <row r="335" spans="2:16">
      <c r="B335" s="455" t="s">
        <v>575</v>
      </c>
      <c r="C335" s="456">
        <v>44294</v>
      </c>
      <c r="D335" s="457">
        <v>2520</v>
      </c>
      <c r="E335" s="458" t="s">
        <v>576</v>
      </c>
      <c r="F335" s="459">
        <f t="shared" si="24"/>
        <v>100000000</v>
      </c>
      <c r="G335" s="459">
        <v>100000000</v>
      </c>
      <c r="H335" s="459">
        <v>0</v>
      </c>
      <c r="I335" s="459">
        <f t="shared" si="25"/>
        <v>100000000</v>
      </c>
      <c r="J335" s="460"/>
      <c r="K335" s="460"/>
      <c r="L335" s="460"/>
      <c r="M335" s="459"/>
      <c r="N335" s="461"/>
      <c r="O335" s="462"/>
      <c r="P335" s="462"/>
    </row>
    <row r="336" spans="2:16">
      <c r="B336" s="455" t="s">
        <v>582</v>
      </c>
      <c r="C336" s="456">
        <v>44294</v>
      </c>
      <c r="D336" s="457">
        <v>2520</v>
      </c>
      <c r="E336" s="458" t="s">
        <v>576</v>
      </c>
      <c r="F336" s="459">
        <f t="shared" si="24"/>
        <v>45000000</v>
      </c>
      <c r="G336" s="459">
        <v>45000000</v>
      </c>
      <c r="H336" s="459">
        <v>0</v>
      </c>
      <c r="I336" s="459">
        <f t="shared" si="25"/>
        <v>45000000</v>
      </c>
      <c r="J336" s="460"/>
      <c r="K336" s="460"/>
      <c r="L336" s="460"/>
      <c r="M336" s="459"/>
      <c r="N336" s="461"/>
      <c r="O336" s="462"/>
      <c r="P336" s="462"/>
    </row>
    <row r="337" spans="2:16">
      <c r="B337" s="455" t="s">
        <v>585</v>
      </c>
      <c r="C337" s="456">
        <v>44309</v>
      </c>
      <c r="D337" s="457">
        <v>1440</v>
      </c>
      <c r="E337" s="458" t="s">
        <v>576</v>
      </c>
      <c r="F337" s="459">
        <f t="shared" si="24"/>
        <v>150000000</v>
      </c>
      <c r="G337" s="459">
        <v>150000000</v>
      </c>
      <c r="H337" s="459">
        <v>0</v>
      </c>
      <c r="I337" s="459">
        <f t="shared" si="25"/>
        <v>150000000</v>
      </c>
      <c r="J337" s="460"/>
      <c r="K337" s="460"/>
      <c r="L337" s="460"/>
      <c r="M337" s="459"/>
      <c r="N337" s="461"/>
      <c r="O337" s="462"/>
      <c r="P337" s="462"/>
    </row>
    <row r="338" spans="2:16">
      <c r="B338" s="455" t="s">
        <v>578</v>
      </c>
      <c r="C338" s="456">
        <v>44309</v>
      </c>
      <c r="D338" s="457">
        <v>1440</v>
      </c>
      <c r="E338" s="458" t="s">
        <v>576</v>
      </c>
      <c r="F338" s="459">
        <f t="shared" si="24"/>
        <v>400000000</v>
      </c>
      <c r="G338" s="459">
        <v>400000000</v>
      </c>
      <c r="H338" s="459">
        <v>0</v>
      </c>
      <c r="I338" s="459">
        <f t="shared" si="25"/>
        <v>400000000</v>
      </c>
      <c r="J338" s="460"/>
      <c r="K338" s="460"/>
      <c r="L338" s="460"/>
      <c r="M338" s="459"/>
      <c r="N338" s="461"/>
      <c r="O338" s="462"/>
      <c r="P338" s="462"/>
    </row>
    <row r="339" spans="2:16">
      <c r="B339" s="455" t="s">
        <v>596</v>
      </c>
      <c r="C339" s="456">
        <v>44309</v>
      </c>
      <c r="D339" s="457">
        <v>1440</v>
      </c>
      <c r="E339" s="458" t="s">
        <v>576</v>
      </c>
      <c r="F339" s="459">
        <f t="shared" si="24"/>
        <v>250000000</v>
      </c>
      <c r="G339" s="459">
        <v>250000000</v>
      </c>
      <c r="H339" s="459">
        <v>0</v>
      </c>
      <c r="I339" s="459">
        <f t="shared" si="25"/>
        <v>250000000</v>
      </c>
      <c r="J339" s="460"/>
      <c r="K339" s="460"/>
      <c r="L339" s="460"/>
      <c r="M339" s="459"/>
      <c r="N339" s="461"/>
      <c r="O339" s="462"/>
      <c r="P339" s="462"/>
    </row>
    <row r="340" spans="2:16">
      <c r="B340" s="455" t="s">
        <v>583</v>
      </c>
      <c r="C340" s="456">
        <v>44309</v>
      </c>
      <c r="D340" s="457">
        <v>1440</v>
      </c>
      <c r="E340" s="458" t="s">
        <v>576</v>
      </c>
      <c r="F340" s="459">
        <f t="shared" si="24"/>
        <v>10000000</v>
      </c>
      <c r="G340" s="459">
        <v>10000000</v>
      </c>
      <c r="H340" s="459">
        <v>0</v>
      </c>
      <c r="I340" s="459">
        <f t="shared" si="25"/>
        <v>10000000</v>
      </c>
      <c r="J340" s="460"/>
      <c r="K340" s="460"/>
      <c r="L340" s="460"/>
      <c r="M340" s="459"/>
      <c r="N340" s="461"/>
      <c r="O340" s="462"/>
      <c r="P340" s="462"/>
    </row>
    <row r="341" spans="2:16">
      <c r="B341" s="455" t="s">
        <v>575</v>
      </c>
      <c r="C341" s="456"/>
      <c r="D341" s="457"/>
      <c r="E341" s="458" t="s">
        <v>576</v>
      </c>
      <c r="F341" s="459"/>
      <c r="G341" s="459"/>
      <c r="H341" s="459"/>
      <c r="I341" s="459"/>
      <c r="J341" s="456">
        <v>44291</v>
      </c>
      <c r="K341" s="459">
        <v>0</v>
      </c>
      <c r="L341" s="459">
        <v>4049980</v>
      </c>
      <c r="M341" s="459">
        <f t="shared" ref="M341:M404" si="26">+K341+L341</f>
        <v>4049980</v>
      </c>
      <c r="N341" s="461"/>
      <c r="O341" s="462"/>
      <c r="P341" s="462"/>
    </row>
    <row r="342" spans="2:16">
      <c r="B342" s="455" t="s">
        <v>582</v>
      </c>
      <c r="C342" s="456"/>
      <c r="D342" s="457"/>
      <c r="E342" s="458" t="s">
        <v>576</v>
      </c>
      <c r="F342" s="459"/>
      <c r="G342" s="459"/>
      <c r="H342" s="459"/>
      <c r="I342" s="459"/>
      <c r="J342" s="456">
        <v>44291</v>
      </c>
      <c r="K342" s="459">
        <v>0</v>
      </c>
      <c r="L342" s="459">
        <v>962500</v>
      </c>
      <c r="M342" s="459">
        <f t="shared" si="26"/>
        <v>962500</v>
      </c>
      <c r="N342" s="461"/>
      <c r="O342" s="462"/>
      <c r="P342" s="462"/>
    </row>
    <row r="343" spans="2:16">
      <c r="B343" s="455" t="s">
        <v>582</v>
      </c>
      <c r="C343" s="456"/>
      <c r="D343" s="457"/>
      <c r="E343" s="458" t="s">
        <v>576</v>
      </c>
      <c r="F343" s="459"/>
      <c r="G343" s="459"/>
      <c r="H343" s="459"/>
      <c r="I343" s="459"/>
      <c r="J343" s="456">
        <v>44291</v>
      </c>
      <c r="K343" s="459">
        <v>0</v>
      </c>
      <c r="L343" s="459">
        <v>155000</v>
      </c>
      <c r="M343" s="459">
        <f t="shared" si="26"/>
        <v>155000</v>
      </c>
      <c r="N343" s="461"/>
      <c r="O343" s="462"/>
      <c r="P343" s="462"/>
    </row>
    <row r="344" spans="2:16">
      <c r="B344" s="455" t="s">
        <v>586</v>
      </c>
      <c r="C344" s="456"/>
      <c r="D344" s="457"/>
      <c r="E344" s="458" t="s">
        <v>576</v>
      </c>
      <c r="F344" s="459"/>
      <c r="G344" s="459"/>
      <c r="H344" s="459"/>
      <c r="I344" s="459"/>
      <c r="J344" s="456">
        <v>44291</v>
      </c>
      <c r="K344" s="459">
        <v>0</v>
      </c>
      <c r="L344" s="459">
        <v>212300</v>
      </c>
      <c r="M344" s="459">
        <f t="shared" si="26"/>
        <v>212300</v>
      </c>
      <c r="N344" s="461"/>
      <c r="O344" s="462"/>
      <c r="P344" s="462"/>
    </row>
    <row r="345" spans="2:16">
      <c r="B345" s="455" t="s">
        <v>585</v>
      </c>
      <c r="C345" s="456"/>
      <c r="D345" s="457"/>
      <c r="E345" s="458" t="s">
        <v>576</v>
      </c>
      <c r="F345" s="459"/>
      <c r="G345" s="459"/>
      <c r="H345" s="459"/>
      <c r="I345" s="459"/>
      <c r="J345" s="456">
        <v>44291</v>
      </c>
      <c r="K345" s="459">
        <v>0</v>
      </c>
      <c r="L345" s="459">
        <v>3249228</v>
      </c>
      <c r="M345" s="459">
        <f t="shared" si="26"/>
        <v>3249228</v>
      </c>
      <c r="N345" s="461"/>
      <c r="O345" s="462"/>
      <c r="P345" s="462"/>
    </row>
    <row r="346" spans="2:16">
      <c r="B346" s="455" t="s">
        <v>597</v>
      </c>
      <c r="C346" s="456"/>
      <c r="D346" s="457"/>
      <c r="E346" s="458" t="s">
        <v>576</v>
      </c>
      <c r="F346" s="459"/>
      <c r="G346" s="459"/>
      <c r="H346" s="459"/>
      <c r="I346" s="459"/>
      <c r="J346" s="456">
        <v>44291</v>
      </c>
      <c r="K346" s="459">
        <v>0</v>
      </c>
      <c r="L346" s="459">
        <v>166660</v>
      </c>
      <c r="M346" s="459">
        <f t="shared" si="26"/>
        <v>166660</v>
      </c>
      <c r="N346" s="461"/>
      <c r="O346" s="462"/>
      <c r="P346" s="462"/>
    </row>
    <row r="347" spans="2:16">
      <c r="B347" s="455" t="s">
        <v>582</v>
      </c>
      <c r="C347" s="456"/>
      <c r="D347" s="457"/>
      <c r="E347" s="458" t="s">
        <v>576</v>
      </c>
      <c r="F347" s="459"/>
      <c r="G347" s="459"/>
      <c r="H347" s="459"/>
      <c r="I347" s="459"/>
      <c r="J347" s="456">
        <v>44291</v>
      </c>
      <c r="K347" s="459">
        <v>0</v>
      </c>
      <c r="L347" s="459">
        <v>30000</v>
      </c>
      <c r="M347" s="459">
        <f t="shared" si="26"/>
        <v>30000</v>
      </c>
      <c r="N347" s="461"/>
      <c r="O347" s="462"/>
      <c r="P347" s="462"/>
    </row>
    <row r="348" spans="2:16">
      <c r="B348" s="455" t="s">
        <v>575</v>
      </c>
      <c r="C348" s="456"/>
      <c r="D348" s="457"/>
      <c r="E348" s="458" t="s">
        <v>576</v>
      </c>
      <c r="F348" s="459"/>
      <c r="G348" s="459"/>
      <c r="H348" s="459"/>
      <c r="I348" s="459"/>
      <c r="J348" s="456">
        <v>44291</v>
      </c>
      <c r="K348" s="459">
        <v>0</v>
      </c>
      <c r="L348" s="459">
        <v>2042222</v>
      </c>
      <c r="M348" s="459">
        <f t="shared" si="26"/>
        <v>2042222</v>
      </c>
      <c r="N348" s="461"/>
      <c r="O348" s="462"/>
      <c r="P348" s="462"/>
    </row>
    <row r="349" spans="2:16">
      <c r="B349" s="455" t="s">
        <v>581</v>
      </c>
      <c r="C349" s="456"/>
      <c r="D349" s="457"/>
      <c r="E349" s="458" t="s">
        <v>576</v>
      </c>
      <c r="F349" s="459"/>
      <c r="G349" s="459"/>
      <c r="H349" s="459"/>
      <c r="I349" s="459"/>
      <c r="J349" s="456">
        <v>44291</v>
      </c>
      <c r="K349" s="459">
        <v>0</v>
      </c>
      <c r="L349" s="459">
        <v>1531671</v>
      </c>
      <c r="M349" s="459">
        <f t="shared" si="26"/>
        <v>1531671</v>
      </c>
      <c r="N349" s="461"/>
      <c r="O349" s="462"/>
      <c r="P349" s="462"/>
    </row>
    <row r="350" spans="2:16">
      <c r="B350" s="455" t="s">
        <v>578</v>
      </c>
      <c r="C350" s="456"/>
      <c r="D350" s="457"/>
      <c r="E350" s="458" t="s">
        <v>576</v>
      </c>
      <c r="F350" s="459"/>
      <c r="G350" s="459"/>
      <c r="H350" s="459"/>
      <c r="I350" s="459"/>
      <c r="J350" s="456">
        <v>44291</v>
      </c>
      <c r="K350" s="459">
        <v>0</v>
      </c>
      <c r="L350" s="459">
        <v>2663272</v>
      </c>
      <c r="M350" s="459">
        <f t="shared" si="26"/>
        <v>2663272</v>
      </c>
      <c r="N350" s="461"/>
      <c r="O350" s="462"/>
      <c r="P350" s="462"/>
    </row>
    <row r="351" spans="2:16">
      <c r="B351" s="455" t="s">
        <v>598</v>
      </c>
      <c r="C351" s="456"/>
      <c r="D351" s="457"/>
      <c r="E351" s="458" t="s">
        <v>576</v>
      </c>
      <c r="F351" s="459"/>
      <c r="G351" s="459"/>
      <c r="H351" s="459"/>
      <c r="I351" s="459"/>
      <c r="J351" s="456">
        <v>44291</v>
      </c>
      <c r="K351" s="459">
        <v>0</v>
      </c>
      <c r="L351" s="459">
        <v>548438</v>
      </c>
      <c r="M351" s="459">
        <f t="shared" si="26"/>
        <v>548438</v>
      </c>
      <c r="N351" s="461"/>
      <c r="O351" s="462"/>
      <c r="P351" s="462"/>
    </row>
    <row r="352" spans="2:16">
      <c r="B352" s="455" t="s">
        <v>581</v>
      </c>
      <c r="C352" s="456"/>
      <c r="D352" s="457"/>
      <c r="E352" s="458" t="s">
        <v>576</v>
      </c>
      <c r="F352" s="459"/>
      <c r="G352" s="459"/>
      <c r="H352" s="459"/>
      <c r="I352" s="459"/>
      <c r="J352" s="456">
        <v>44291</v>
      </c>
      <c r="K352" s="459">
        <v>0</v>
      </c>
      <c r="L352" s="459">
        <v>6750000</v>
      </c>
      <c r="M352" s="459">
        <f t="shared" si="26"/>
        <v>6750000</v>
      </c>
      <c r="N352" s="461"/>
      <c r="O352" s="462"/>
      <c r="P352" s="462"/>
    </row>
    <row r="353" spans="2:16">
      <c r="B353" s="455" t="s">
        <v>582</v>
      </c>
      <c r="C353" s="456"/>
      <c r="D353" s="457"/>
      <c r="E353" s="458" t="s">
        <v>576</v>
      </c>
      <c r="F353" s="459"/>
      <c r="G353" s="459"/>
      <c r="H353" s="459"/>
      <c r="I353" s="459"/>
      <c r="J353" s="456">
        <v>44292</v>
      </c>
      <c r="K353" s="459">
        <v>0</v>
      </c>
      <c r="L353" s="459">
        <v>356934</v>
      </c>
      <c r="M353" s="459">
        <f t="shared" si="26"/>
        <v>356934</v>
      </c>
      <c r="N353" s="461"/>
      <c r="O353" s="462"/>
      <c r="P353" s="462"/>
    </row>
    <row r="354" spans="2:16">
      <c r="B354" s="455" t="s">
        <v>577</v>
      </c>
      <c r="C354" s="456"/>
      <c r="D354" s="457"/>
      <c r="E354" s="458" t="s">
        <v>576</v>
      </c>
      <c r="F354" s="459"/>
      <c r="G354" s="459"/>
      <c r="H354" s="459"/>
      <c r="I354" s="459"/>
      <c r="J354" s="456">
        <v>44292</v>
      </c>
      <c r="K354" s="459">
        <v>0</v>
      </c>
      <c r="L354" s="459">
        <v>9371994</v>
      </c>
      <c r="M354" s="459">
        <f t="shared" si="26"/>
        <v>9371994</v>
      </c>
      <c r="N354" s="461"/>
      <c r="O354" s="462"/>
      <c r="P354" s="462"/>
    </row>
    <row r="355" spans="2:16">
      <c r="B355" s="455" t="s">
        <v>585</v>
      </c>
      <c r="C355" s="456"/>
      <c r="D355" s="457"/>
      <c r="E355" s="458" t="s">
        <v>576</v>
      </c>
      <c r="F355" s="459"/>
      <c r="G355" s="459"/>
      <c r="H355" s="459"/>
      <c r="I355" s="459"/>
      <c r="J355" s="456">
        <v>44292</v>
      </c>
      <c r="K355" s="459">
        <v>0</v>
      </c>
      <c r="L355" s="459">
        <v>1252431</v>
      </c>
      <c r="M355" s="459">
        <f t="shared" si="26"/>
        <v>1252431</v>
      </c>
      <c r="N355" s="461"/>
      <c r="O355" s="462"/>
      <c r="P355" s="462"/>
    </row>
    <row r="356" spans="2:16">
      <c r="B356" s="455" t="s">
        <v>585</v>
      </c>
      <c r="C356" s="456"/>
      <c r="D356" s="457"/>
      <c r="E356" s="458" t="s">
        <v>576</v>
      </c>
      <c r="F356" s="459"/>
      <c r="G356" s="459"/>
      <c r="H356" s="459"/>
      <c r="I356" s="459"/>
      <c r="J356" s="456">
        <v>44293</v>
      </c>
      <c r="K356" s="459">
        <v>0</v>
      </c>
      <c r="L356" s="459">
        <v>3265625</v>
      </c>
      <c r="M356" s="459">
        <f t="shared" si="26"/>
        <v>3265625</v>
      </c>
      <c r="N356" s="461"/>
      <c r="O356" s="462"/>
      <c r="P356" s="462"/>
    </row>
    <row r="357" spans="2:16">
      <c r="B357" s="455" t="s">
        <v>582</v>
      </c>
      <c r="C357" s="456"/>
      <c r="D357" s="457"/>
      <c r="E357" s="458" t="s">
        <v>576</v>
      </c>
      <c r="F357" s="459"/>
      <c r="G357" s="459"/>
      <c r="H357" s="459"/>
      <c r="I357" s="459"/>
      <c r="J357" s="456">
        <v>44293</v>
      </c>
      <c r="K357" s="459">
        <v>0</v>
      </c>
      <c r="L357" s="459">
        <v>296875</v>
      </c>
      <c r="M357" s="459">
        <f t="shared" si="26"/>
        <v>296875</v>
      </c>
      <c r="N357" s="461"/>
      <c r="O357" s="462"/>
      <c r="P357" s="462"/>
    </row>
    <row r="358" spans="2:16">
      <c r="B358" s="455" t="s">
        <v>585</v>
      </c>
      <c r="C358" s="456"/>
      <c r="D358" s="457"/>
      <c r="E358" s="458" t="s">
        <v>576</v>
      </c>
      <c r="F358" s="459"/>
      <c r="G358" s="459"/>
      <c r="H358" s="459"/>
      <c r="I358" s="459"/>
      <c r="J358" s="456">
        <v>44293</v>
      </c>
      <c r="K358" s="459">
        <v>0</v>
      </c>
      <c r="L358" s="459">
        <v>3062500</v>
      </c>
      <c r="M358" s="459">
        <f t="shared" si="26"/>
        <v>3062500</v>
      </c>
      <c r="N358" s="461"/>
      <c r="O358" s="462"/>
      <c r="P358" s="462"/>
    </row>
    <row r="359" spans="2:16">
      <c r="B359" s="455" t="s">
        <v>582</v>
      </c>
      <c r="C359" s="456"/>
      <c r="D359" s="457"/>
      <c r="E359" s="458" t="s">
        <v>576</v>
      </c>
      <c r="F359" s="459"/>
      <c r="G359" s="459"/>
      <c r="H359" s="459"/>
      <c r="I359" s="459"/>
      <c r="J359" s="456">
        <v>44293</v>
      </c>
      <c r="K359" s="459">
        <v>0</v>
      </c>
      <c r="L359" s="459">
        <v>192846</v>
      </c>
      <c r="M359" s="459">
        <f t="shared" si="26"/>
        <v>192846</v>
      </c>
      <c r="N359" s="461"/>
      <c r="O359" s="462"/>
      <c r="P359" s="462"/>
    </row>
    <row r="360" spans="2:16">
      <c r="B360" s="455" t="s">
        <v>583</v>
      </c>
      <c r="C360" s="456"/>
      <c r="D360" s="457"/>
      <c r="E360" s="458" t="s">
        <v>576</v>
      </c>
      <c r="F360" s="459"/>
      <c r="G360" s="459"/>
      <c r="H360" s="459"/>
      <c r="I360" s="459"/>
      <c r="J360" s="456">
        <v>44293</v>
      </c>
      <c r="K360" s="459">
        <v>0</v>
      </c>
      <c r="L360" s="459">
        <v>113404</v>
      </c>
      <c r="M360" s="459">
        <f t="shared" si="26"/>
        <v>113404</v>
      </c>
      <c r="N360" s="461"/>
      <c r="O360" s="462"/>
      <c r="P360" s="462"/>
    </row>
    <row r="361" spans="2:16">
      <c r="B361" s="455" t="s">
        <v>575</v>
      </c>
      <c r="C361" s="456"/>
      <c r="D361" s="457"/>
      <c r="E361" s="458" t="s">
        <v>576</v>
      </c>
      <c r="F361" s="459"/>
      <c r="G361" s="459"/>
      <c r="H361" s="459"/>
      <c r="I361" s="459"/>
      <c r="J361" s="456">
        <v>44293</v>
      </c>
      <c r="K361" s="459">
        <v>0</v>
      </c>
      <c r="L361" s="459">
        <v>6125000</v>
      </c>
      <c r="M361" s="459">
        <f t="shared" si="26"/>
        <v>6125000</v>
      </c>
      <c r="N361" s="461"/>
      <c r="O361" s="462"/>
      <c r="P361" s="462"/>
    </row>
    <row r="362" spans="2:16">
      <c r="B362" s="455" t="s">
        <v>581</v>
      </c>
      <c r="C362" s="456"/>
      <c r="D362" s="457"/>
      <c r="E362" s="458" t="s">
        <v>576</v>
      </c>
      <c r="F362" s="459"/>
      <c r="G362" s="459"/>
      <c r="H362" s="459"/>
      <c r="I362" s="459"/>
      <c r="J362" s="456">
        <v>44293</v>
      </c>
      <c r="K362" s="459">
        <v>0</v>
      </c>
      <c r="L362" s="459">
        <v>3265625</v>
      </c>
      <c r="M362" s="459">
        <f t="shared" si="26"/>
        <v>3265625</v>
      </c>
      <c r="N362" s="461"/>
      <c r="O362" s="462"/>
      <c r="P362" s="462"/>
    </row>
    <row r="363" spans="2:16">
      <c r="B363" s="455" t="s">
        <v>577</v>
      </c>
      <c r="C363" s="456"/>
      <c r="D363" s="457"/>
      <c r="E363" s="458" t="s">
        <v>576</v>
      </c>
      <c r="F363" s="459"/>
      <c r="G363" s="459"/>
      <c r="H363" s="459"/>
      <c r="I363" s="459"/>
      <c r="J363" s="456">
        <v>44293</v>
      </c>
      <c r="K363" s="459">
        <v>0</v>
      </c>
      <c r="L363" s="459">
        <v>3265625</v>
      </c>
      <c r="M363" s="459">
        <f t="shared" si="26"/>
        <v>3265625</v>
      </c>
      <c r="N363" s="461"/>
      <c r="O363" s="462"/>
      <c r="P363" s="462"/>
    </row>
    <row r="364" spans="2:16">
      <c r="B364" s="455" t="s">
        <v>581</v>
      </c>
      <c r="C364" s="456"/>
      <c r="D364" s="457"/>
      <c r="E364" s="458" t="s">
        <v>576</v>
      </c>
      <c r="F364" s="459"/>
      <c r="G364" s="459"/>
      <c r="H364" s="459"/>
      <c r="I364" s="459"/>
      <c r="J364" s="456">
        <v>44294</v>
      </c>
      <c r="K364" s="459">
        <v>0</v>
      </c>
      <c r="L364" s="459">
        <v>2875000</v>
      </c>
      <c r="M364" s="459">
        <f t="shared" si="26"/>
        <v>2875000</v>
      </c>
      <c r="N364" s="461"/>
      <c r="O364" s="462"/>
      <c r="P364" s="462"/>
    </row>
    <row r="365" spans="2:16">
      <c r="B365" s="455" t="s">
        <v>575</v>
      </c>
      <c r="C365" s="456"/>
      <c r="D365" s="457"/>
      <c r="E365" s="458" t="s">
        <v>576</v>
      </c>
      <c r="F365" s="459"/>
      <c r="G365" s="459"/>
      <c r="H365" s="459"/>
      <c r="I365" s="459"/>
      <c r="J365" s="456">
        <v>44295</v>
      </c>
      <c r="K365" s="459">
        <v>0</v>
      </c>
      <c r="L365" s="459">
        <v>11687500</v>
      </c>
      <c r="M365" s="459">
        <f t="shared" si="26"/>
        <v>11687500</v>
      </c>
      <c r="N365" s="461"/>
      <c r="O365" s="462"/>
      <c r="P365" s="462"/>
    </row>
    <row r="366" spans="2:16">
      <c r="B366" s="455" t="s">
        <v>583</v>
      </c>
      <c r="C366" s="456"/>
      <c r="D366" s="457"/>
      <c r="E366" s="458" t="s">
        <v>576</v>
      </c>
      <c r="F366" s="459"/>
      <c r="G366" s="459"/>
      <c r="H366" s="459"/>
      <c r="I366" s="459"/>
      <c r="J366" s="456">
        <v>44298</v>
      </c>
      <c r="K366" s="459">
        <v>0</v>
      </c>
      <c r="L366" s="459">
        <v>5391</v>
      </c>
      <c r="M366" s="459">
        <f t="shared" si="26"/>
        <v>5391</v>
      </c>
      <c r="N366" s="461"/>
      <c r="O366" s="462"/>
      <c r="P366" s="462"/>
    </row>
    <row r="367" spans="2:16">
      <c r="B367" s="455" t="s">
        <v>582</v>
      </c>
      <c r="C367" s="456"/>
      <c r="D367" s="457"/>
      <c r="E367" s="458" t="s">
        <v>576</v>
      </c>
      <c r="F367" s="459"/>
      <c r="G367" s="459"/>
      <c r="H367" s="459"/>
      <c r="I367" s="459"/>
      <c r="J367" s="456">
        <v>44298</v>
      </c>
      <c r="K367" s="459">
        <v>0</v>
      </c>
      <c r="L367" s="459">
        <v>12938</v>
      </c>
      <c r="M367" s="459">
        <f t="shared" si="26"/>
        <v>12938</v>
      </c>
      <c r="N367" s="461"/>
      <c r="O367" s="462"/>
      <c r="P367" s="462"/>
    </row>
    <row r="368" spans="2:16">
      <c r="B368" s="455" t="s">
        <v>575</v>
      </c>
      <c r="C368" s="456"/>
      <c r="D368" s="457"/>
      <c r="E368" s="458" t="s">
        <v>576</v>
      </c>
      <c r="F368" s="459"/>
      <c r="G368" s="459"/>
      <c r="H368" s="459"/>
      <c r="I368" s="459"/>
      <c r="J368" s="456">
        <v>44298</v>
      </c>
      <c r="K368" s="459">
        <v>0</v>
      </c>
      <c r="L368" s="459">
        <v>4494940</v>
      </c>
      <c r="M368" s="459">
        <f t="shared" si="26"/>
        <v>4494940</v>
      </c>
      <c r="N368" s="461"/>
      <c r="O368" s="462"/>
      <c r="P368" s="462"/>
    </row>
    <row r="369" spans="2:16">
      <c r="B369" s="455" t="s">
        <v>575</v>
      </c>
      <c r="C369" s="456"/>
      <c r="D369" s="457"/>
      <c r="E369" s="458" t="s">
        <v>576</v>
      </c>
      <c r="F369" s="459"/>
      <c r="G369" s="459"/>
      <c r="H369" s="459"/>
      <c r="I369" s="459"/>
      <c r="J369" s="456">
        <v>44299</v>
      </c>
      <c r="K369" s="459">
        <v>0</v>
      </c>
      <c r="L369" s="459">
        <v>3692954</v>
      </c>
      <c r="M369" s="459">
        <f t="shared" si="26"/>
        <v>3692954</v>
      </c>
      <c r="N369" s="461"/>
      <c r="O369" s="462"/>
      <c r="P369" s="462"/>
    </row>
    <row r="370" spans="2:16">
      <c r="B370" s="455" t="s">
        <v>582</v>
      </c>
      <c r="C370" s="456"/>
      <c r="D370" s="457"/>
      <c r="E370" s="458" t="s">
        <v>576</v>
      </c>
      <c r="F370" s="459"/>
      <c r="G370" s="459"/>
      <c r="H370" s="459"/>
      <c r="I370" s="459"/>
      <c r="J370" s="456">
        <v>44299</v>
      </c>
      <c r="K370" s="459">
        <v>0</v>
      </c>
      <c r="L370" s="459">
        <v>88750</v>
      </c>
      <c r="M370" s="459">
        <f t="shared" si="26"/>
        <v>88750</v>
      </c>
      <c r="N370" s="461"/>
      <c r="O370" s="462"/>
      <c r="P370" s="462"/>
    </row>
    <row r="371" spans="2:16">
      <c r="B371" s="455" t="s">
        <v>581</v>
      </c>
      <c r="C371" s="456"/>
      <c r="D371" s="457"/>
      <c r="E371" s="458" t="s">
        <v>576</v>
      </c>
      <c r="F371" s="459"/>
      <c r="G371" s="459"/>
      <c r="H371" s="459"/>
      <c r="I371" s="459"/>
      <c r="J371" s="456">
        <v>44300</v>
      </c>
      <c r="K371" s="459">
        <v>0</v>
      </c>
      <c r="L371" s="459">
        <v>1806234</v>
      </c>
      <c r="M371" s="459">
        <f t="shared" si="26"/>
        <v>1806234</v>
      </c>
      <c r="N371" s="461"/>
      <c r="O371" s="462"/>
      <c r="P371" s="462"/>
    </row>
    <row r="372" spans="2:16">
      <c r="B372" s="455" t="s">
        <v>581</v>
      </c>
      <c r="C372" s="456"/>
      <c r="D372" s="457"/>
      <c r="E372" s="458" t="s">
        <v>576</v>
      </c>
      <c r="F372" s="459"/>
      <c r="G372" s="459"/>
      <c r="H372" s="459"/>
      <c r="I372" s="459"/>
      <c r="J372" s="456">
        <v>44300</v>
      </c>
      <c r="K372" s="459">
        <v>0</v>
      </c>
      <c r="L372" s="459">
        <v>1727940</v>
      </c>
      <c r="M372" s="459">
        <f t="shared" si="26"/>
        <v>1727940</v>
      </c>
      <c r="N372" s="461"/>
      <c r="O372" s="462"/>
      <c r="P372" s="462"/>
    </row>
    <row r="373" spans="2:16">
      <c r="B373" s="455" t="s">
        <v>578</v>
      </c>
      <c r="C373" s="456"/>
      <c r="D373" s="457"/>
      <c r="E373" s="458" t="s">
        <v>576</v>
      </c>
      <c r="F373" s="459"/>
      <c r="G373" s="459"/>
      <c r="H373" s="459"/>
      <c r="I373" s="459"/>
      <c r="J373" s="456">
        <v>44300</v>
      </c>
      <c r="K373" s="459">
        <v>0</v>
      </c>
      <c r="L373" s="459">
        <v>10626980</v>
      </c>
      <c r="M373" s="459">
        <f t="shared" si="26"/>
        <v>10626980</v>
      </c>
      <c r="N373" s="461"/>
      <c r="O373" s="462"/>
      <c r="P373" s="462"/>
    </row>
    <row r="374" spans="2:16">
      <c r="B374" s="455" t="s">
        <v>575</v>
      </c>
      <c r="C374" s="456"/>
      <c r="D374" s="457"/>
      <c r="E374" s="458" t="s">
        <v>576</v>
      </c>
      <c r="F374" s="459"/>
      <c r="G374" s="459"/>
      <c r="H374" s="459"/>
      <c r="I374" s="459"/>
      <c r="J374" s="456">
        <v>44300</v>
      </c>
      <c r="K374" s="459">
        <v>0</v>
      </c>
      <c r="L374" s="459">
        <v>4319843</v>
      </c>
      <c r="M374" s="459">
        <f t="shared" si="26"/>
        <v>4319843</v>
      </c>
      <c r="N374" s="461"/>
      <c r="O374" s="462"/>
      <c r="P374" s="462"/>
    </row>
    <row r="375" spans="2:16">
      <c r="B375" s="455" t="s">
        <v>577</v>
      </c>
      <c r="C375" s="456"/>
      <c r="D375" s="457"/>
      <c r="E375" s="458" t="s">
        <v>576</v>
      </c>
      <c r="F375" s="459"/>
      <c r="G375" s="459"/>
      <c r="H375" s="459"/>
      <c r="I375" s="459"/>
      <c r="J375" s="456">
        <v>44300</v>
      </c>
      <c r="K375" s="459">
        <v>0</v>
      </c>
      <c r="L375" s="459">
        <v>386913</v>
      </c>
      <c r="M375" s="459">
        <f t="shared" si="26"/>
        <v>386913</v>
      </c>
      <c r="N375" s="461"/>
      <c r="O375" s="462"/>
      <c r="P375" s="462"/>
    </row>
    <row r="376" spans="2:16">
      <c r="B376" s="455" t="s">
        <v>575</v>
      </c>
      <c r="C376" s="456"/>
      <c r="D376" s="457"/>
      <c r="E376" s="458" t="s">
        <v>576</v>
      </c>
      <c r="F376" s="459"/>
      <c r="G376" s="459"/>
      <c r="H376" s="459"/>
      <c r="I376" s="459"/>
      <c r="J376" s="456">
        <v>44300</v>
      </c>
      <c r="K376" s="459">
        <v>0</v>
      </c>
      <c r="L376" s="459">
        <v>2656225</v>
      </c>
      <c r="M376" s="459">
        <f t="shared" si="26"/>
        <v>2656225</v>
      </c>
      <c r="N376" s="461"/>
      <c r="O376" s="462"/>
      <c r="P376" s="462"/>
    </row>
    <row r="377" spans="2:16">
      <c r="B377" s="455" t="s">
        <v>582</v>
      </c>
      <c r="C377" s="456"/>
      <c r="D377" s="457"/>
      <c r="E377" s="458" t="s">
        <v>576</v>
      </c>
      <c r="F377" s="459"/>
      <c r="G377" s="459"/>
      <c r="H377" s="459"/>
      <c r="I377" s="459"/>
      <c r="J377" s="456">
        <v>44300</v>
      </c>
      <c r="K377" s="459">
        <v>0</v>
      </c>
      <c r="L377" s="459">
        <v>290625</v>
      </c>
      <c r="M377" s="459">
        <f t="shared" si="26"/>
        <v>290625</v>
      </c>
      <c r="N377" s="461"/>
      <c r="O377" s="462"/>
      <c r="P377" s="462"/>
    </row>
    <row r="378" spans="2:16">
      <c r="B378" s="455" t="s">
        <v>582</v>
      </c>
      <c r="C378" s="456"/>
      <c r="D378" s="457"/>
      <c r="E378" s="458" t="s">
        <v>576</v>
      </c>
      <c r="F378" s="459"/>
      <c r="G378" s="459"/>
      <c r="H378" s="459"/>
      <c r="I378" s="459"/>
      <c r="J378" s="456">
        <v>44301</v>
      </c>
      <c r="K378" s="459">
        <v>0</v>
      </c>
      <c r="L378" s="459">
        <v>135938</v>
      </c>
      <c r="M378" s="459">
        <f t="shared" si="26"/>
        <v>135938</v>
      </c>
      <c r="N378" s="461"/>
      <c r="O378" s="462"/>
      <c r="P378" s="462"/>
    </row>
    <row r="379" spans="2:16">
      <c r="B379" s="455" t="s">
        <v>586</v>
      </c>
      <c r="C379" s="456"/>
      <c r="D379" s="457"/>
      <c r="E379" s="458" t="s">
        <v>576</v>
      </c>
      <c r="F379" s="459"/>
      <c r="G379" s="459"/>
      <c r="H379" s="459"/>
      <c r="I379" s="459"/>
      <c r="J379" s="456">
        <v>44301</v>
      </c>
      <c r="K379" s="459">
        <v>0</v>
      </c>
      <c r="L379" s="459">
        <v>122344</v>
      </c>
      <c r="M379" s="459">
        <f t="shared" si="26"/>
        <v>122344</v>
      </c>
      <c r="N379" s="461"/>
      <c r="O379" s="462"/>
      <c r="P379" s="462"/>
    </row>
    <row r="380" spans="2:16">
      <c r="B380" s="455" t="s">
        <v>575</v>
      </c>
      <c r="C380" s="456"/>
      <c r="D380" s="457"/>
      <c r="E380" s="458" t="s">
        <v>576</v>
      </c>
      <c r="F380" s="459"/>
      <c r="G380" s="459"/>
      <c r="H380" s="459"/>
      <c r="I380" s="459"/>
      <c r="J380" s="456">
        <v>44301</v>
      </c>
      <c r="K380" s="459">
        <v>0</v>
      </c>
      <c r="L380" s="459">
        <v>3964862</v>
      </c>
      <c r="M380" s="459">
        <f t="shared" si="26"/>
        <v>3964862</v>
      </c>
      <c r="N380" s="461"/>
      <c r="O380" s="462"/>
      <c r="P380" s="462"/>
    </row>
    <row r="381" spans="2:16">
      <c r="B381" s="455" t="s">
        <v>577</v>
      </c>
      <c r="C381" s="456"/>
      <c r="D381" s="457"/>
      <c r="E381" s="458" t="s">
        <v>576</v>
      </c>
      <c r="F381" s="459"/>
      <c r="G381" s="459"/>
      <c r="H381" s="459"/>
      <c r="I381" s="459"/>
      <c r="J381" s="456">
        <v>44301</v>
      </c>
      <c r="K381" s="459">
        <v>0</v>
      </c>
      <c r="L381" s="459">
        <v>9492951</v>
      </c>
      <c r="M381" s="459">
        <f t="shared" si="26"/>
        <v>9492951</v>
      </c>
      <c r="N381" s="461"/>
      <c r="O381" s="462"/>
      <c r="P381" s="462"/>
    </row>
    <row r="382" spans="2:16">
      <c r="B382" s="455" t="s">
        <v>583</v>
      </c>
      <c r="C382" s="456"/>
      <c r="D382" s="457"/>
      <c r="E382" s="458" t="s">
        <v>576</v>
      </c>
      <c r="F382" s="459"/>
      <c r="G382" s="459"/>
      <c r="H382" s="459"/>
      <c r="I382" s="459"/>
      <c r="J382" s="456">
        <v>44302</v>
      </c>
      <c r="K382" s="459">
        <v>0</v>
      </c>
      <c r="L382" s="459">
        <v>3931</v>
      </c>
      <c r="M382" s="459">
        <f t="shared" si="26"/>
        <v>3931</v>
      </c>
      <c r="N382" s="461"/>
      <c r="O382" s="462"/>
      <c r="P382" s="462"/>
    </row>
    <row r="383" spans="2:16">
      <c r="B383" s="455" t="s">
        <v>582</v>
      </c>
      <c r="C383" s="456"/>
      <c r="D383" s="457"/>
      <c r="E383" s="458" t="s">
        <v>576</v>
      </c>
      <c r="F383" s="459"/>
      <c r="G383" s="459"/>
      <c r="H383" s="459"/>
      <c r="I383" s="459"/>
      <c r="J383" s="456">
        <v>44302</v>
      </c>
      <c r="K383" s="459">
        <v>0</v>
      </c>
      <c r="L383" s="459">
        <v>115625</v>
      </c>
      <c r="M383" s="459">
        <f t="shared" si="26"/>
        <v>115625</v>
      </c>
      <c r="N383" s="461"/>
      <c r="O383" s="462"/>
      <c r="P383" s="462"/>
    </row>
    <row r="384" spans="2:16">
      <c r="B384" s="455" t="s">
        <v>575</v>
      </c>
      <c r="C384" s="456"/>
      <c r="D384" s="457"/>
      <c r="E384" s="458" t="s">
        <v>576</v>
      </c>
      <c r="F384" s="459"/>
      <c r="G384" s="459"/>
      <c r="H384" s="459"/>
      <c r="I384" s="459"/>
      <c r="J384" s="456">
        <v>44302</v>
      </c>
      <c r="K384" s="459">
        <v>0</v>
      </c>
      <c r="L384" s="459">
        <v>6300000</v>
      </c>
      <c r="M384" s="459">
        <f t="shared" si="26"/>
        <v>6300000</v>
      </c>
      <c r="N384" s="461"/>
      <c r="O384" s="462"/>
      <c r="P384" s="462"/>
    </row>
    <row r="385" spans="2:16">
      <c r="B385" s="455" t="s">
        <v>597</v>
      </c>
      <c r="C385" s="456"/>
      <c r="D385" s="457"/>
      <c r="E385" s="458" t="s">
        <v>576</v>
      </c>
      <c r="F385" s="459"/>
      <c r="G385" s="459"/>
      <c r="H385" s="459"/>
      <c r="I385" s="459"/>
      <c r="J385" s="456">
        <v>44302</v>
      </c>
      <c r="K385" s="459">
        <v>0</v>
      </c>
      <c r="L385" s="459">
        <v>1575000</v>
      </c>
      <c r="M385" s="459">
        <f t="shared" si="26"/>
        <v>1575000</v>
      </c>
      <c r="N385" s="461"/>
      <c r="O385" s="462"/>
      <c r="P385" s="462"/>
    </row>
    <row r="386" spans="2:16">
      <c r="B386" s="455" t="s">
        <v>596</v>
      </c>
      <c r="C386" s="456"/>
      <c r="D386" s="457"/>
      <c r="E386" s="458" t="s">
        <v>576</v>
      </c>
      <c r="F386" s="459"/>
      <c r="G386" s="459"/>
      <c r="H386" s="459"/>
      <c r="I386" s="459"/>
      <c r="J386" s="456">
        <v>44302</v>
      </c>
      <c r="K386" s="459">
        <v>0</v>
      </c>
      <c r="L386" s="459">
        <v>11563</v>
      </c>
      <c r="M386" s="459">
        <f t="shared" si="26"/>
        <v>11563</v>
      </c>
      <c r="N386" s="461"/>
      <c r="O386" s="462"/>
      <c r="P386" s="462"/>
    </row>
    <row r="387" spans="2:16">
      <c r="B387" s="455" t="s">
        <v>575</v>
      </c>
      <c r="C387" s="456"/>
      <c r="D387" s="457"/>
      <c r="E387" s="458" t="s">
        <v>576</v>
      </c>
      <c r="F387" s="459"/>
      <c r="G387" s="459"/>
      <c r="H387" s="459"/>
      <c r="I387" s="459"/>
      <c r="J387" s="456">
        <v>44302</v>
      </c>
      <c r="K387" s="459">
        <v>0</v>
      </c>
      <c r="L387" s="459">
        <v>3875000</v>
      </c>
      <c r="M387" s="459">
        <f t="shared" si="26"/>
        <v>3875000</v>
      </c>
      <c r="N387" s="461"/>
      <c r="O387" s="462"/>
      <c r="P387" s="462"/>
    </row>
    <row r="388" spans="2:16">
      <c r="B388" s="455" t="s">
        <v>582</v>
      </c>
      <c r="C388" s="456"/>
      <c r="D388" s="457"/>
      <c r="E388" s="458" t="s">
        <v>576</v>
      </c>
      <c r="F388" s="459"/>
      <c r="G388" s="459"/>
      <c r="H388" s="459"/>
      <c r="I388" s="459"/>
      <c r="J388" s="456">
        <v>44305</v>
      </c>
      <c r="K388" s="459">
        <v>0</v>
      </c>
      <c r="L388" s="459">
        <v>155000</v>
      </c>
      <c r="M388" s="459">
        <f t="shared" si="26"/>
        <v>155000</v>
      </c>
      <c r="N388" s="461"/>
      <c r="O388" s="462"/>
      <c r="P388" s="462"/>
    </row>
    <row r="389" spans="2:16">
      <c r="B389" s="455" t="s">
        <v>577</v>
      </c>
      <c r="C389" s="456"/>
      <c r="D389" s="457"/>
      <c r="E389" s="458" t="s">
        <v>576</v>
      </c>
      <c r="F389" s="459"/>
      <c r="G389" s="459"/>
      <c r="H389" s="459"/>
      <c r="I389" s="459"/>
      <c r="J389" s="456">
        <v>44305</v>
      </c>
      <c r="K389" s="459">
        <v>0</v>
      </c>
      <c r="L389" s="459">
        <v>6230849</v>
      </c>
      <c r="M389" s="459">
        <f t="shared" si="26"/>
        <v>6230849</v>
      </c>
      <c r="N389" s="461"/>
      <c r="O389" s="462"/>
      <c r="P389" s="462"/>
    </row>
    <row r="390" spans="2:16">
      <c r="B390" s="455" t="s">
        <v>599</v>
      </c>
      <c r="C390" s="456"/>
      <c r="D390" s="457"/>
      <c r="E390" s="458" t="s">
        <v>576</v>
      </c>
      <c r="F390" s="459"/>
      <c r="G390" s="459"/>
      <c r="H390" s="459"/>
      <c r="I390" s="459"/>
      <c r="J390" s="456">
        <v>44305</v>
      </c>
      <c r="K390" s="459">
        <v>0</v>
      </c>
      <c r="L390" s="459">
        <v>48825</v>
      </c>
      <c r="M390" s="459">
        <f t="shared" si="26"/>
        <v>48825</v>
      </c>
      <c r="N390" s="461"/>
      <c r="O390" s="462"/>
      <c r="P390" s="462"/>
    </row>
    <row r="391" spans="2:16">
      <c r="B391" s="455" t="s">
        <v>575</v>
      </c>
      <c r="C391" s="456"/>
      <c r="D391" s="457"/>
      <c r="E391" s="458" t="s">
        <v>576</v>
      </c>
      <c r="F391" s="459"/>
      <c r="G391" s="459"/>
      <c r="H391" s="459"/>
      <c r="I391" s="459"/>
      <c r="J391" s="456">
        <v>44305</v>
      </c>
      <c r="K391" s="459">
        <v>0</v>
      </c>
      <c r="L391" s="459">
        <v>946845</v>
      </c>
      <c r="M391" s="459">
        <f t="shared" si="26"/>
        <v>946845</v>
      </c>
      <c r="N391" s="461"/>
      <c r="O391" s="462"/>
      <c r="P391" s="462"/>
    </row>
    <row r="392" spans="2:16">
      <c r="B392" s="455" t="s">
        <v>575</v>
      </c>
      <c r="C392" s="456"/>
      <c r="D392" s="457"/>
      <c r="E392" s="458" t="s">
        <v>576</v>
      </c>
      <c r="F392" s="459"/>
      <c r="G392" s="459"/>
      <c r="H392" s="459"/>
      <c r="I392" s="459"/>
      <c r="J392" s="456">
        <v>44305</v>
      </c>
      <c r="K392" s="459">
        <v>0</v>
      </c>
      <c r="L392" s="459">
        <v>6059028</v>
      </c>
      <c r="M392" s="459">
        <f t="shared" si="26"/>
        <v>6059028</v>
      </c>
      <c r="N392" s="461"/>
      <c r="O392" s="462"/>
      <c r="P392" s="462"/>
    </row>
    <row r="393" spans="2:16">
      <c r="B393" s="455" t="s">
        <v>586</v>
      </c>
      <c r="C393" s="456"/>
      <c r="D393" s="457"/>
      <c r="E393" s="458" t="s">
        <v>576</v>
      </c>
      <c r="F393" s="459"/>
      <c r="G393" s="459"/>
      <c r="H393" s="459"/>
      <c r="I393" s="459"/>
      <c r="J393" s="456">
        <v>44305</v>
      </c>
      <c r="K393" s="459">
        <v>0</v>
      </c>
      <c r="L393" s="459">
        <v>9688</v>
      </c>
      <c r="M393" s="459">
        <f t="shared" si="26"/>
        <v>9688</v>
      </c>
      <c r="N393" s="461"/>
      <c r="O393" s="462"/>
      <c r="P393" s="462"/>
    </row>
    <row r="394" spans="2:16">
      <c r="B394" s="455" t="s">
        <v>577</v>
      </c>
      <c r="C394" s="456"/>
      <c r="D394" s="457"/>
      <c r="E394" s="458" t="s">
        <v>576</v>
      </c>
      <c r="F394" s="459"/>
      <c r="G394" s="459"/>
      <c r="H394" s="459"/>
      <c r="I394" s="459"/>
      <c r="J394" s="456">
        <v>44305</v>
      </c>
      <c r="K394" s="459">
        <v>0</v>
      </c>
      <c r="L394" s="459">
        <v>4811355</v>
      </c>
      <c r="M394" s="459">
        <f t="shared" si="26"/>
        <v>4811355</v>
      </c>
      <c r="N394" s="461"/>
      <c r="O394" s="462"/>
      <c r="P394" s="462"/>
    </row>
    <row r="395" spans="2:16">
      <c r="B395" s="455" t="s">
        <v>581</v>
      </c>
      <c r="C395" s="456"/>
      <c r="D395" s="457"/>
      <c r="E395" s="458" t="s">
        <v>576</v>
      </c>
      <c r="F395" s="459"/>
      <c r="G395" s="459"/>
      <c r="H395" s="459"/>
      <c r="I395" s="459"/>
      <c r="J395" s="456">
        <v>44306</v>
      </c>
      <c r="K395" s="459">
        <v>0</v>
      </c>
      <c r="L395" s="459">
        <v>962637</v>
      </c>
      <c r="M395" s="459">
        <f t="shared" si="26"/>
        <v>962637</v>
      </c>
      <c r="N395" s="461"/>
      <c r="O395" s="462"/>
      <c r="P395" s="462"/>
    </row>
    <row r="396" spans="2:16">
      <c r="B396" s="455" t="s">
        <v>577</v>
      </c>
      <c r="C396" s="456"/>
      <c r="D396" s="457"/>
      <c r="E396" s="458" t="s">
        <v>576</v>
      </c>
      <c r="F396" s="459"/>
      <c r="G396" s="459"/>
      <c r="H396" s="459"/>
      <c r="I396" s="459"/>
      <c r="J396" s="456">
        <v>44306</v>
      </c>
      <c r="K396" s="459">
        <v>0</v>
      </c>
      <c r="L396" s="459">
        <v>2689734</v>
      </c>
      <c r="M396" s="459">
        <f t="shared" si="26"/>
        <v>2689734</v>
      </c>
      <c r="N396" s="461"/>
      <c r="O396" s="462"/>
      <c r="P396" s="462"/>
    </row>
    <row r="397" spans="2:16">
      <c r="B397" s="455" t="s">
        <v>577</v>
      </c>
      <c r="C397" s="456"/>
      <c r="D397" s="457"/>
      <c r="E397" s="458" t="s">
        <v>576</v>
      </c>
      <c r="F397" s="459"/>
      <c r="G397" s="459"/>
      <c r="H397" s="459"/>
      <c r="I397" s="459"/>
      <c r="J397" s="456">
        <v>44306</v>
      </c>
      <c r="K397" s="459">
        <v>0</v>
      </c>
      <c r="L397" s="459">
        <v>8975342</v>
      </c>
      <c r="M397" s="459">
        <f t="shared" si="26"/>
        <v>8975342</v>
      </c>
      <c r="N397" s="461"/>
      <c r="O397" s="462"/>
      <c r="P397" s="462"/>
    </row>
    <row r="398" spans="2:16">
      <c r="B398" s="455" t="s">
        <v>582</v>
      </c>
      <c r="C398" s="456"/>
      <c r="D398" s="457"/>
      <c r="E398" s="458" t="s">
        <v>576</v>
      </c>
      <c r="F398" s="459"/>
      <c r="G398" s="459"/>
      <c r="H398" s="459"/>
      <c r="I398" s="459"/>
      <c r="J398" s="456">
        <v>44306</v>
      </c>
      <c r="K398" s="459">
        <v>0</v>
      </c>
      <c r="L398" s="459">
        <v>290625</v>
      </c>
      <c r="M398" s="459">
        <f t="shared" si="26"/>
        <v>290625</v>
      </c>
      <c r="N398" s="461"/>
      <c r="O398" s="462"/>
      <c r="P398" s="462"/>
    </row>
    <row r="399" spans="2:16">
      <c r="B399" s="455" t="s">
        <v>575</v>
      </c>
      <c r="C399" s="456"/>
      <c r="D399" s="457"/>
      <c r="E399" s="458" t="s">
        <v>576</v>
      </c>
      <c r="F399" s="459"/>
      <c r="G399" s="459"/>
      <c r="H399" s="459"/>
      <c r="I399" s="459"/>
      <c r="J399" s="456">
        <v>44306</v>
      </c>
      <c r="K399" s="459">
        <v>0</v>
      </c>
      <c r="L399" s="459">
        <v>1415634</v>
      </c>
      <c r="M399" s="459">
        <f t="shared" si="26"/>
        <v>1415634</v>
      </c>
      <c r="N399" s="461"/>
      <c r="O399" s="462"/>
      <c r="P399" s="462"/>
    </row>
    <row r="400" spans="2:16">
      <c r="B400" s="455" t="s">
        <v>577</v>
      </c>
      <c r="C400" s="456"/>
      <c r="D400" s="457"/>
      <c r="E400" s="458" t="s">
        <v>576</v>
      </c>
      <c r="F400" s="459"/>
      <c r="G400" s="459"/>
      <c r="H400" s="459"/>
      <c r="I400" s="459"/>
      <c r="J400" s="456">
        <v>44306</v>
      </c>
      <c r="K400" s="466">
        <v>300000000</v>
      </c>
      <c r="L400" s="466">
        <v>0</v>
      </c>
      <c r="M400" s="466">
        <f t="shared" si="26"/>
        <v>300000000</v>
      </c>
      <c r="N400" s="461"/>
      <c r="O400" s="462"/>
      <c r="P400" s="462"/>
    </row>
    <row r="401" spans="2:16">
      <c r="B401" s="455" t="s">
        <v>583</v>
      </c>
      <c r="C401" s="456"/>
      <c r="D401" s="457"/>
      <c r="E401" s="458" t="s">
        <v>576</v>
      </c>
      <c r="F401" s="459"/>
      <c r="G401" s="459"/>
      <c r="H401" s="459"/>
      <c r="I401" s="459"/>
      <c r="J401" s="456">
        <v>44308</v>
      </c>
      <c r="K401" s="459">
        <v>0</v>
      </c>
      <c r="L401" s="459">
        <v>40781</v>
      </c>
      <c r="M401" s="459">
        <f t="shared" si="26"/>
        <v>40781</v>
      </c>
      <c r="N401" s="461"/>
      <c r="O401" s="462"/>
      <c r="P401" s="462"/>
    </row>
    <row r="402" spans="2:16">
      <c r="B402" s="455" t="s">
        <v>581</v>
      </c>
      <c r="C402" s="456"/>
      <c r="D402" s="457"/>
      <c r="E402" s="458" t="s">
        <v>576</v>
      </c>
      <c r="F402" s="459"/>
      <c r="G402" s="459"/>
      <c r="H402" s="459"/>
      <c r="I402" s="459"/>
      <c r="J402" s="456">
        <v>44308</v>
      </c>
      <c r="K402" s="459">
        <v>0</v>
      </c>
      <c r="L402" s="459">
        <v>7968750</v>
      </c>
      <c r="M402" s="459">
        <f t="shared" si="26"/>
        <v>7968750</v>
      </c>
      <c r="N402" s="461"/>
      <c r="O402" s="462"/>
      <c r="P402" s="462"/>
    </row>
    <row r="403" spans="2:16">
      <c r="B403" s="455" t="s">
        <v>581</v>
      </c>
      <c r="C403" s="456"/>
      <c r="D403" s="457"/>
      <c r="E403" s="458" t="s">
        <v>576</v>
      </c>
      <c r="F403" s="459"/>
      <c r="G403" s="459"/>
      <c r="H403" s="459"/>
      <c r="I403" s="459"/>
      <c r="J403" s="456">
        <v>44308</v>
      </c>
      <c r="K403" s="459">
        <v>0</v>
      </c>
      <c r="L403" s="459">
        <v>2242942</v>
      </c>
      <c r="M403" s="459">
        <f t="shared" si="26"/>
        <v>2242942</v>
      </c>
      <c r="N403" s="461"/>
      <c r="O403" s="462"/>
      <c r="P403" s="462"/>
    </row>
    <row r="404" spans="2:16">
      <c r="B404" s="455" t="s">
        <v>585</v>
      </c>
      <c r="C404" s="456"/>
      <c r="D404" s="457"/>
      <c r="E404" s="458" t="s">
        <v>576</v>
      </c>
      <c r="F404" s="459"/>
      <c r="G404" s="459"/>
      <c r="H404" s="459"/>
      <c r="I404" s="459"/>
      <c r="J404" s="456">
        <v>44309</v>
      </c>
      <c r="K404" s="459">
        <v>0</v>
      </c>
      <c r="L404" s="459">
        <v>299178</v>
      </c>
      <c r="M404" s="459">
        <f t="shared" si="26"/>
        <v>299178</v>
      </c>
      <c r="N404" s="461"/>
      <c r="O404" s="462"/>
      <c r="P404" s="462"/>
    </row>
    <row r="405" spans="2:16">
      <c r="B405" s="455" t="s">
        <v>586</v>
      </c>
      <c r="C405" s="456"/>
      <c r="D405" s="457"/>
      <c r="E405" s="458" t="s">
        <v>576</v>
      </c>
      <c r="F405" s="459"/>
      <c r="G405" s="459"/>
      <c r="H405" s="459"/>
      <c r="I405" s="459"/>
      <c r="J405" s="456">
        <v>44312</v>
      </c>
      <c r="K405" s="459">
        <v>0</v>
      </c>
      <c r="L405" s="459">
        <v>121875</v>
      </c>
      <c r="M405" s="459">
        <f t="shared" ref="M405:M414" si="27">+K405+L405</f>
        <v>121875</v>
      </c>
      <c r="N405" s="461"/>
      <c r="O405" s="462"/>
      <c r="P405" s="462"/>
    </row>
    <row r="406" spans="2:16">
      <c r="B406" s="455" t="s">
        <v>580</v>
      </c>
      <c r="C406" s="456"/>
      <c r="D406" s="457"/>
      <c r="E406" s="458" t="s">
        <v>576</v>
      </c>
      <c r="F406" s="459"/>
      <c r="G406" s="459"/>
      <c r="H406" s="459"/>
      <c r="I406" s="459"/>
      <c r="J406" s="456">
        <v>44312</v>
      </c>
      <c r="K406" s="459">
        <v>0</v>
      </c>
      <c r="L406" s="459">
        <v>12065625</v>
      </c>
      <c r="M406" s="459">
        <f t="shared" si="27"/>
        <v>12065625</v>
      </c>
      <c r="N406" s="461"/>
      <c r="O406" s="462"/>
      <c r="P406" s="462"/>
    </row>
    <row r="407" spans="2:16">
      <c r="B407" s="455" t="s">
        <v>582</v>
      </c>
      <c r="C407" s="456"/>
      <c r="D407" s="457"/>
      <c r="E407" s="458" t="s">
        <v>576</v>
      </c>
      <c r="F407" s="459"/>
      <c r="G407" s="459"/>
      <c r="H407" s="459"/>
      <c r="I407" s="459"/>
      <c r="J407" s="456">
        <v>44312</v>
      </c>
      <c r="K407" s="459">
        <v>0</v>
      </c>
      <c r="L407" s="459">
        <v>99938</v>
      </c>
      <c r="M407" s="459">
        <f t="shared" si="27"/>
        <v>99938</v>
      </c>
      <c r="N407" s="461"/>
      <c r="O407" s="462"/>
      <c r="P407" s="462"/>
    </row>
    <row r="408" spans="2:16">
      <c r="B408" s="455" t="s">
        <v>581</v>
      </c>
      <c r="C408" s="456"/>
      <c r="D408" s="457"/>
      <c r="E408" s="458" t="s">
        <v>576</v>
      </c>
      <c r="F408" s="459"/>
      <c r="G408" s="459"/>
      <c r="H408" s="459"/>
      <c r="I408" s="459"/>
      <c r="J408" s="456">
        <v>44312</v>
      </c>
      <c r="K408" s="459">
        <v>0</v>
      </c>
      <c r="L408" s="459">
        <v>4780940</v>
      </c>
      <c r="M408" s="459">
        <f t="shared" si="27"/>
        <v>4780940</v>
      </c>
      <c r="N408" s="461"/>
      <c r="O408" s="462"/>
      <c r="P408" s="462"/>
    </row>
    <row r="409" spans="2:16">
      <c r="B409" s="455" t="s">
        <v>575</v>
      </c>
      <c r="C409" s="456"/>
      <c r="D409" s="457"/>
      <c r="E409" s="458" t="s">
        <v>576</v>
      </c>
      <c r="F409" s="459"/>
      <c r="G409" s="459"/>
      <c r="H409" s="459"/>
      <c r="I409" s="459"/>
      <c r="J409" s="456">
        <v>44313</v>
      </c>
      <c r="K409" s="459">
        <v>0</v>
      </c>
      <c r="L409" s="459">
        <v>2447907</v>
      </c>
      <c r="M409" s="459">
        <f t="shared" si="27"/>
        <v>2447907</v>
      </c>
      <c r="N409" s="461"/>
      <c r="O409" s="462"/>
      <c r="P409" s="462"/>
    </row>
    <row r="410" spans="2:16">
      <c r="B410" s="455" t="s">
        <v>580</v>
      </c>
      <c r="C410" s="456"/>
      <c r="D410" s="457"/>
      <c r="E410" s="458" t="s">
        <v>576</v>
      </c>
      <c r="F410" s="459"/>
      <c r="G410" s="459"/>
      <c r="H410" s="459"/>
      <c r="I410" s="459"/>
      <c r="J410" s="456">
        <v>44316</v>
      </c>
      <c r="K410" s="459">
        <v>0</v>
      </c>
      <c r="L410" s="459">
        <v>4790982</v>
      </c>
      <c r="M410" s="459">
        <f t="shared" si="27"/>
        <v>4790982</v>
      </c>
      <c r="N410" s="461"/>
      <c r="O410" s="462"/>
      <c r="P410" s="462"/>
    </row>
    <row r="411" spans="2:16">
      <c r="B411" s="455" t="s">
        <v>577</v>
      </c>
      <c r="C411" s="456"/>
      <c r="D411" s="457"/>
      <c r="E411" s="458" t="s">
        <v>576</v>
      </c>
      <c r="F411" s="459"/>
      <c r="G411" s="459"/>
      <c r="H411" s="459"/>
      <c r="I411" s="459"/>
      <c r="J411" s="456">
        <v>44316</v>
      </c>
      <c r="K411" s="459">
        <v>0</v>
      </c>
      <c r="L411" s="459">
        <v>2038705</v>
      </c>
      <c r="M411" s="459">
        <f t="shared" si="27"/>
        <v>2038705</v>
      </c>
      <c r="N411" s="461"/>
      <c r="O411" s="462"/>
      <c r="P411" s="462"/>
    </row>
    <row r="412" spans="2:16">
      <c r="B412" s="455" t="s">
        <v>577</v>
      </c>
      <c r="C412" s="456"/>
      <c r="D412" s="457"/>
      <c r="E412" s="458" t="s">
        <v>576</v>
      </c>
      <c r="F412" s="459"/>
      <c r="G412" s="459"/>
      <c r="H412" s="459"/>
      <c r="I412" s="459"/>
      <c r="J412" s="456">
        <v>44316</v>
      </c>
      <c r="K412" s="459">
        <v>0</v>
      </c>
      <c r="L412" s="459">
        <v>2034</v>
      </c>
      <c r="M412" s="459">
        <f t="shared" si="27"/>
        <v>2034</v>
      </c>
      <c r="N412" s="461"/>
      <c r="O412" s="462"/>
      <c r="P412" s="462"/>
    </row>
    <row r="413" spans="2:16">
      <c r="B413" s="455" t="s">
        <v>575</v>
      </c>
      <c r="C413" s="456"/>
      <c r="D413" s="457"/>
      <c r="E413" s="458" t="s">
        <v>576</v>
      </c>
      <c r="F413" s="459"/>
      <c r="G413" s="459"/>
      <c r="H413" s="459"/>
      <c r="I413" s="459"/>
      <c r="J413" s="456">
        <v>44316</v>
      </c>
      <c r="K413" s="459">
        <v>0</v>
      </c>
      <c r="L413" s="459">
        <v>1453</v>
      </c>
      <c r="M413" s="459">
        <f t="shared" si="27"/>
        <v>1453</v>
      </c>
      <c r="N413" s="461"/>
      <c r="O413" s="462"/>
      <c r="P413" s="462"/>
    </row>
    <row r="414" spans="2:16">
      <c r="B414" s="455" t="s">
        <v>580</v>
      </c>
      <c r="C414" s="456"/>
      <c r="D414" s="457"/>
      <c r="E414" s="458" t="s">
        <v>576</v>
      </c>
      <c r="F414" s="459"/>
      <c r="G414" s="459"/>
      <c r="H414" s="459"/>
      <c r="I414" s="459"/>
      <c r="J414" s="456">
        <v>44316</v>
      </c>
      <c r="K414" s="459">
        <v>0</v>
      </c>
      <c r="L414" s="459">
        <v>11910938</v>
      </c>
      <c r="M414" s="459">
        <f t="shared" si="27"/>
        <v>11910938</v>
      </c>
      <c r="N414" s="461"/>
      <c r="O414" s="462"/>
      <c r="P414" s="462"/>
    </row>
    <row r="415" spans="2:16">
      <c r="B415" s="467" t="s">
        <v>588</v>
      </c>
      <c r="C415" s="468"/>
      <c r="D415" s="469"/>
      <c r="E415" s="470"/>
      <c r="F415" s="459"/>
      <c r="G415" s="471">
        <f>(G608-F608)*1000000</f>
        <v>0</v>
      </c>
      <c r="H415" s="465"/>
      <c r="I415" s="465"/>
      <c r="J415" s="472"/>
      <c r="K415" s="495"/>
      <c r="L415" s="495"/>
      <c r="M415" s="473"/>
      <c r="N415" s="461"/>
      <c r="O415" s="462"/>
      <c r="P415" s="462"/>
    </row>
    <row r="416" spans="2:16">
      <c r="B416" s="467" t="s">
        <v>589</v>
      </c>
      <c r="C416" s="468"/>
      <c r="D416" s="469"/>
      <c r="E416" s="470" t="s">
        <v>590</v>
      </c>
      <c r="F416" s="459">
        <f>SUBTOTAL(9,G416:H416)</f>
        <v>0</v>
      </c>
      <c r="G416" s="471"/>
      <c r="H416" s="465"/>
      <c r="I416" s="465"/>
      <c r="J416" s="472"/>
      <c r="K416" s="495">
        <v>57616663.302156858</v>
      </c>
      <c r="L416" s="495">
        <v>15171312.857132111</v>
      </c>
      <c r="M416" s="473"/>
      <c r="N416" s="461"/>
      <c r="O416" s="462"/>
      <c r="P416" s="462"/>
    </row>
    <row r="417" spans="2:16">
      <c r="B417" s="467" t="s">
        <v>591</v>
      </c>
      <c r="C417" s="468"/>
      <c r="D417" s="469"/>
      <c r="E417" s="470" t="s">
        <v>592</v>
      </c>
      <c r="F417" s="459">
        <f t="shared" ref="F417" si="28">SUBTOTAL(9,G417:H417)</f>
        <v>0</v>
      </c>
      <c r="G417" s="471"/>
      <c r="H417" s="465"/>
      <c r="I417" s="465"/>
      <c r="J417" s="472"/>
      <c r="K417" s="495">
        <v>17998160.667843632</v>
      </c>
      <c r="L417" s="495">
        <v>8627669.9605547432</v>
      </c>
      <c r="M417" s="473"/>
      <c r="N417" s="461"/>
      <c r="O417" s="462"/>
      <c r="P417" s="462"/>
    </row>
    <row r="418" spans="2:16" ht="12.5">
      <c r="B418" s="474" t="s">
        <v>593</v>
      </c>
      <c r="C418" s="475"/>
      <c r="D418" s="475"/>
      <c r="E418" s="476"/>
      <c r="F418" s="477">
        <f>SUM(F334:F417)</f>
        <v>1035000000</v>
      </c>
      <c r="G418" s="477">
        <f>SUM(G334:G417)</f>
        <v>1035000000</v>
      </c>
      <c r="H418" s="477">
        <f>SUM(H334:H417)</f>
        <v>0</v>
      </c>
      <c r="I418" s="477">
        <f>SUM(I334:I417)</f>
        <v>1035000000</v>
      </c>
      <c r="J418" s="477"/>
      <c r="K418" s="477">
        <f>SUM(K334:K417)</f>
        <v>375614823.97000051</v>
      </c>
      <c r="L418" s="477">
        <f>SUM(L334:L417)</f>
        <v>228406169.81768686</v>
      </c>
      <c r="M418" s="477">
        <f>SUM(M334:M417)</f>
        <v>504607187</v>
      </c>
      <c r="N418" s="478">
        <f>+G418-K418</f>
        <v>659385176.02999949</v>
      </c>
      <c r="O418" s="478">
        <f>+(G598-F598)*1000000</f>
        <v>-1357566495.7210047</v>
      </c>
      <c r="P418" s="478">
        <f>N418-O418</f>
        <v>2016951671.7510042</v>
      </c>
    </row>
    <row r="419" spans="2:16" ht="12.5">
      <c r="B419" s="455" t="s">
        <v>594</v>
      </c>
      <c r="C419" s="479">
        <v>44288</v>
      </c>
      <c r="D419" s="457">
        <v>2160</v>
      </c>
      <c r="E419" s="480" t="s">
        <v>576</v>
      </c>
      <c r="F419" s="459">
        <f t="shared" ref="F419:F420" si="29">SUBTOTAL(9,G419:H419)</f>
        <v>320000000</v>
      </c>
      <c r="G419" s="459">
        <v>320000000</v>
      </c>
      <c r="H419" s="459">
        <v>0</v>
      </c>
      <c r="I419" s="459">
        <f t="shared" ref="I419:I420" si="30">+G419+H419</f>
        <v>320000000</v>
      </c>
      <c r="J419" s="489"/>
      <c r="K419" s="490"/>
      <c r="L419" s="490"/>
      <c r="M419" s="490"/>
      <c r="N419" s="481"/>
      <c r="O419" s="462"/>
      <c r="P419" s="482"/>
    </row>
    <row r="420" spans="2:16" ht="12.5">
      <c r="B420" s="455" t="s">
        <v>594</v>
      </c>
      <c r="C420" s="479">
        <v>44300</v>
      </c>
      <c r="D420" s="457">
        <v>3240</v>
      </c>
      <c r="E420" s="480" t="s">
        <v>576</v>
      </c>
      <c r="F420" s="459">
        <f t="shared" si="29"/>
        <v>350000000</v>
      </c>
      <c r="G420" s="459">
        <v>350000000</v>
      </c>
      <c r="H420" s="459">
        <v>0</v>
      </c>
      <c r="I420" s="459">
        <f t="shared" si="30"/>
        <v>350000000</v>
      </c>
      <c r="J420" s="489"/>
      <c r="K420" s="490"/>
      <c r="L420" s="490"/>
      <c r="M420" s="490"/>
      <c r="N420" s="481"/>
      <c r="O420" s="462"/>
      <c r="P420" s="482"/>
    </row>
    <row r="421" spans="2:16" ht="12.5">
      <c r="B421" s="455" t="s">
        <v>594</v>
      </c>
      <c r="C421" s="479"/>
      <c r="D421" s="457"/>
      <c r="E421" s="480" t="s">
        <v>576</v>
      </c>
      <c r="F421" s="459"/>
      <c r="G421" s="459"/>
      <c r="H421" s="459"/>
      <c r="I421" s="459"/>
      <c r="J421" s="456">
        <v>44291</v>
      </c>
      <c r="K421" s="459">
        <v>0</v>
      </c>
      <c r="L421" s="459">
        <v>11331250</v>
      </c>
      <c r="M421" s="459">
        <f t="shared" ref="M421:M442" si="31">+K421+L421</f>
        <v>11331250</v>
      </c>
      <c r="N421" s="481"/>
      <c r="O421" s="462"/>
      <c r="P421" s="482"/>
    </row>
    <row r="422" spans="2:16" ht="12.5">
      <c r="B422" s="455" t="s">
        <v>594</v>
      </c>
      <c r="C422" s="479"/>
      <c r="D422" s="457"/>
      <c r="E422" s="480" t="s">
        <v>576</v>
      </c>
      <c r="F422" s="459"/>
      <c r="G422" s="459"/>
      <c r="H422" s="459"/>
      <c r="I422" s="459"/>
      <c r="J422" s="456">
        <v>44291</v>
      </c>
      <c r="K422" s="459">
        <v>0</v>
      </c>
      <c r="L422" s="459">
        <v>3982357</v>
      </c>
      <c r="M422" s="459">
        <f t="shared" si="31"/>
        <v>3982357</v>
      </c>
      <c r="N422" s="481"/>
      <c r="O422" s="462"/>
      <c r="P422" s="482"/>
    </row>
    <row r="423" spans="2:16" ht="12.5">
      <c r="B423" s="455" t="s">
        <v>594</v>
      </c>
      <c r="C423" s="479"/>
      <c r="D423" s="457"/>
      <c r="E423" s="480" t="s">
        <v>576</v>
      </c>
      <c r="F423" s="459"/>
      <c r="G423" s="459"/>
      <c r="H423" s="459"/>
      <c r="I423" s="459"/>
      <c r="J423" s="456">
        <v>44291</v>
      </c>
      <c r="K423" s="459">
        <v>0</v>
      </c>
      <c r="L423" s="459">
        <v>383360</v>
      </c>
      <c r="M423" s="459">
        <f t="shared" si="31"/>
        <v>383360</v>
      </c>
      <c r="N423" s="481"/>
      <c r="O423" s="462"/>
      <c r="P423" s="482"/>
    </row>
    <row r="424" spans="2:16" ht="12.5">
      <c r="B424" s="455" t="s">
        <v>594</v>
      </c>
      <c r="C424" s="479"/>
      <c r="D424" s="457"/>
      <c r="E424" s="480" t="s">
        <v>576</v>
      </c>
      <c r="F424" s="459"/>
      <c r="G424" s="459"/>
      <c r="H424" s="459"/>
      <c r="I424" s="459"/>
      <c r="J424" s="456">
        <v>44293</v>
      </c>
      <c r="K424" s="459">
        <v>0</v>
      </c>
      <c r="L424" s="459">
        <v>3265625</v>
      </c>
      <c r="M424" s="459">
        <f t="shared" si="31"/>
        <v>3265625</v>
      </c>
      <c r="N424" s="481"/>
      <c r="O424" s="462"/>
      <c r="P424" s="482"/>
    </row>
    <row r="425" spans="2:16" ht="12.5">
      <c r="B425" s="455" t="s">
        <v>594</v>
      </c>
      <c r="C425" s="479"/>
      <c r="D425" s="457"/>
      <c r="E425" s="480" t="s">
        <v>576</v>
      </c>
      <c r="F425" s="459"/>
      <c r="G425" s="459"/>
      <c r="H425" s="459"/>
      <c r="I425" s="459"/>
      <c r="J425" s="456">
        <v>44294</v>
      </c>
      <c r="K425" s="459">
        <v>0</v>
      </c>
      <c r="L425" s="459">
        <v>4312500</v>
      </c>
      <c r="M425" s="459">
        <f t="shared" si="31"/>
        <v>4312500</v>
      </c>
      <c r="N425" s="481"/>
      <c r="O425" s="462"/>
      <c r="P425" s="482"/>
    </row>
    <row r="426" spans="2:16" ht="12.5">
      <c r="B426" s="455" t="s">
        <v>594</v>
      </c>
      <c r="C426" s="479"/>
      <c r="D426" s="457"/>
      <c r="E426" s="480" t="s">
        <v>576</v>
      </c>
      <c r="F426" s="459"/>
      <c r="G426" s="459"/>
      <c r="H426" s="459"/>
      <c r="I426" s="459"/>
      <c r="J426" s="456">
        <v>44298</v>
      </c>
      <c r="K426" s="459">
        <v>0</v>
      </c>
      <c r="L426" s="459">
        <v>1930685</v>
      </c>
      <c r="M426" s="459">
        <f t="shared" si="31"/>
        <v>1930685</v>
      </c>
      <c r="N426" s="481"/>
      <c r="O426" s="462"/>
      <c r="P426" s="482"/>
    </row>
    <row r="427" spans="2:16" ht="12.5">
      <c r="B427" s="455" t="s">
        <v>594</v>
      </c>
      <c r="C427" s="479"/>
      <c r="D427" s="457"/>
      <c r="E427" s="480" t="s">
        <v>576</v>
      </c>
      <c r="F427" s="459"/>
      <c r="G427" s="459"/>
      <c r="H427" s="459"/>
      <c r="I427" s="459"/>
      <c r="J427" s="456">
        <v>44299</v>
      </c>
      <c r="K427" s="459">
        <v>0</v>
      </c>
      <c r="L427" s="459">
        <v>7356421</v>
      </c>
      <c r="M427" s="459">
        <f t="shared" si="31"/>
        <v>7356421</v>
      </c>
      <c r="N427" s="481"/>
      <c r="O427" s="462"/>
      <c r="P427" s="482"/>
    </row>
    <row r="428" spans="2:16" ht="12.5">
      <c r="B428" s="455" t="s">
        <v>594</v>
      </c>
      <c r="C428" s="479"/>
      <c r="D428" s="457"/>
      <c r="E428" s="480" t="s">
        <v>576</v>
      </c>
      <c r="F428" s="459"/>
      <c r="G428" s="459"/>
      <c r="H428" s="459"/>
      <c r="I428" s="459"/>
      <c r="J428" s="456">
        <v>44300</v>
      </c>
      <c r="K428" s="459">
        <v>0</v>
      </c>
      <c r="L428" s="459">
        <v>361108</v>
      </c>
      <c r="M428" s="459">
        <f t="shared" si="31"/>
        <v>361108</v>
      </c>
      <c r="N428" s="481"/>
      <c r="O428" s="462"/>
      <c r="P428" s="482"/>
    </row>
    <row r="429" spans="2:16" ht="12.5">
      <c r="B429" s="455" t="s">
        <v>594</v>
      </c>
      <c r="C429" s="479"/>
      <c r="D429" s="457"/>
      <c r="E429" s="480" t="s">
        <v>576</v>
      </c>
      <c r="F429" s="459"/>
      <c r="G429" s="459"/>
      <c r="H429" s="459"/>
      <c r="I429" s="459"/>
      <c r="J429" s="456">
        <v>44300</v>
      </c>
      <c r="K429" s="459">
        <v>0</v>
      </c>
      <c r="L429" s="459">
        <v>1295966</v>
      </c>
      <c r="M429" s="459">
        <f t="shared" si="31"/>
        <v>1295966</v>
      </c>
      <c r="N429" s="481"/>
      <c r="O429" s="462"/>
      <c r="P429" s="482"/>
    </row>
    <row r="430" spans="2:16" ht="12.5">
      <c r="B430" s="455" t="s">
        <v>594</v>
      </c>
      <c r="C430" s="479"/>
      <c r="D430" s="457"/>
      <c r="E430" s="480" t="s">
        <v>576</v>
      </c>
      <c r="F430" s="459"/>
      <c r="G430" s="459"/>
      <c r="H430" s="459"/>
      <c r="I430" s="459"/>
      <c r="J430" s="456">
        <v>44300</v>
      </c>
      <c r="K430" s="459">
        <v>0</v>
      </c>
      <c r="L430" s="459">
        <v>5418790</v>
      </c>
      <c r="M430" s="459">
        <f t="shared" si="31"/>
        <v>5418790</v>
      </c>
      <c r="N430" s="481"/>
      <c r="O430" s="462"/>
      <c r="P430" s="482"/>
    </row>
    <row r="431" spans="2:16" ht="12.5">
      <c r="B431" s="455" t="s">
        <v>594</v>
      </c>
      <c r="C431" s="479"/>
      <c r="D431" s="457"/>
      <c r="E431" s="480" t="s">
        <v>576</v>
      </c>
      <c r="F431" s="459"/>
      <c r="G431" s="459"/>
      <c r="H431" s="459"/>
      <c r="I431" s="459"/>
      <c r="J431" s="456">
        <v>44302</v>
      </c>
      <c r="K431" s="459">
        <v>0</v>
      </c>
      <c r="L431" s="459">
        <v>3875000</v>
      </c>
      <c r="M431" s="459">
        <f t="shared" si="31"/>
        <v>3875000</v>
      </c>
      <c r="N431" s="481"/>
      <c r="O431" s="462"/>
      <c r="P431" s="482"/>
    </row>
    <row r="432" spans="2:16" ht="12.5">
      <c r="B432" s="455" t="s">
        <v>594</v>
      </c>
      <c r="C432" s="479"/>
      <c r="D432" s="457"/>
      <c r="E432" s="480" t="s">
        <v>576</v>
      </c>
      <c r="F432" s="459"/>
      <c r="G432" s="459"/>
      <c r="H432" s="459"/>
      <c r="I432" s="459"/>
      <c r="J432" s="456">
        <v>44302</v>
      </c>
      <c r="K432" s="459">
        <v>0</v>
      </c>
      <c r="L432" s="459">
        <v>9018750</v>
      </c>
      <c r="M432" s="459">
        <f t="shared" si="31"/>
        <v>9018750</v>
      </c>
      <c r="N432" s="481"/>
      <c r="O432" s="462"/>
      <c r="P432" s="482"/>
    </row>
    <row r="433" spans="2:16" ht="12.5">
      <c r="B433" s="455" t="s">
        <v>594</v>
      </c>
      <c r="C433" s="479"/>
      <c r="D433" s="457"/>
      <c r="E433" s="480" t="s">
        <v>576</v>
      </c>
      <c r="F433" s="459"/>
      <c r="G433" s="459"/>
      <c r="H433" s="459"/>
      <c r="I433" s="459"/>
      <c r="J433" s="456">
        <v>44305</v>
      </c>
      <c r="K433" s="459">
        <v>0</v>
      </c>
      <c r="L433" s="459">
        <v>11049375</v>
      </c>
      <c r="M433" s="459">
        <f t="shared" si="31"/>
        <v>11049375</v>
      </c>
      <c r="N433" s="481"/>
      <c r="O433" s="462"/>
      <c r="P433" s="482"/>
    </row>
    <row r="434" spans="2:16" ht="12.5">
      <c r="B434" s="455" t="s">
        <v>594</v>
      </c>
      <c r="C434" s="479"/>
      <c r="D434" s="457"/>
      <c r="E434" s="480" t="s">
        <v>576</v>
      </c>
      <c r="F434" s="459"/>
      <c r="G434" s="459"/>
      <c r="H434" s="459"/>
      <c r="I434" s="459"/>
      <c r="J434" s="456">
        <v>44305</v>
      </c>
      <c r="K434" s="459">
        <v>0</v>
      </c>
      <c r="L434" s="459">
        <v>4818526</v>
      </c>
      <c r="M434" s="459">
        <f t="shared" si="31"/>
        <v>4818526</v>
      </c>
      <c r="N434" s="481"/>
      <c r="O434" s="462"/>
      <c r="P434" s="482"/>
    </row>
    <row r="435" spans="2:16" ht="12.5">
      <c r="B435" s="455" t="s">
        <v>594</v>
      </c>
      <c r="C435" s="479"/>
      <c r="D435" s="457"/>
      <c r="E435" s="480" t="s">
        <v>576</v>
      </c>
      <c r="F435" s="459"/>
      <c r="G435" s="459"/>
      <c r="H435" s="459"/>
      <c r="I435" s="459"/>
      <c r="J435" s="456">
        <v>44305</v>
      </c>
      <c r="K435" s="459">
        <v>0</v>
      </c>
      <c r="L435" s="459">
        <v>9068836</v>
      </c>
      <c r="M435" s="459">
        <f t="shared" si="31"/>
        <v>9068836</v>
      </c>
      <c r="N435" s="481"/>
      <c r="O435" s="462"/>
      <c r="P435" s="482"/>
    </row>
    <row r="436" spans="2:16" ht="12.5">
      <c r="B436" s="455" t="s">
        <v>594</v>
      </c>
      <c r="C436" s="479"/>
      <c r="D436" s="457"/>
      <c r="E436" s="480" t="s">
        <v>576</v>
      </c>
      <c r="F436" s="459"/>
      <c r="G436" s="459"/>
      <c r="H436" s="459"/>
      <c r="I436" s="459"/>
      <c r="J436" s="456">
        <v>44305</v>
      </c>
      <c r="K436" s="459">
        <v>0</v>
      </c>
      <c r="L436" s="459">
        <v>1545660</v>
      </c>
      <c r="M436" s="459">
        <f t="shared" si="31"/>
        <v>1545660</v>
      </c>
      <c r="N436" s="481"/>
      <c r="O436" s="462"/>
      <c r="P436" s="482"/>
    </row>
    <row r="437" spans="2:16" ht="12.5">
      <c r="B437" s="455" t="s">
        <v>594</v>
      </c>
      <c r="C437" s="479"/>
      <c r="D437" s="457"/>
      <c r="E437" s="480" t="s">
        <v>576</v>
      </c>
      <c r="F437" s="459"/>
      <c r="G437" s="459"/>
      <c r="H437" s="459"/>
      <c r="I437" s="459"/>
      <c r="J437" s="456">
        <v>44305</v>
      </c>
      <c r="K437" s="459">
        <v>0</v>
      </c>
      <c r="L437" s="459">
        <v>946800</v>
      </c>
      <c r="M437" s="459">
        <f t="shared" si="31"/>
        <v>946800</v>
      </c>
      <c r="N437" s="481"/>
      <c r="O437" s="462"/>
      <c r="P437" s="482"/>
    </row>
    <row r="438" spans="2:16" ht="12.5">
      <c r="B438" s="455" t="s">
        <v>594</v>
      </c>
      <c r="C438" s="479"/>
      <c r="D438" s="457"/>
      <c r="E438" s="480" t="s">
        <v>576</v>
      </c>
      <c r="F438" s="459"/>
      <c r="G438" s="459"/>
      <c r="H438" s="459"/>
      <c r="I438" s="459"/>
      <c r="J438" s="456">
        <v>44305</v>
      </c>
      <c r="K438" s="459">
        <v>300000000</v>
      </c>
      <c r="L438" s="459">
        <v>0</v>
      </c>
      <c r="M438" s="459">
        <f t="shared" si="31"/>
        <v>300000000</v>
      </c>
      <c r="N438" s="481"/>
      <c r="O438" s="462"/>
      <c r="P438" s="482"/>
    </row>
    <row r="439" spans="2:16" ht="12.5">
      <c r="B439" s="455" t="s">
        <v>594</v>
      </c>
      <c r="C439" s="479"/>
      <c r="D439" s="457"/>
      <c r="E439" s="480" t="s">
        <v>576</v>
      </c>
      <c r="F439" s="459"/>
      <c r="G439" s="459"/>
      <c r="H439" s="459"/>
      <c r="I439" s="459"/>
      <c r="J439" s="456">
        <v>44306</v>
      </c>
      <c r="K439" s="459">
        <v>0</v>
      </c>
      <c r="L439" s="459">
        <v>4813244</v>
      </c>
      <c r="M439" s="459">
        <f t="shared" si="31"/>
        <v>4813244</v>
      </c>
      <c r="N439" s="481"/>
      <c r="O439" s="462"/>
      <c r="P439" s="482"/>
    </row>
    <row r="440" spans="2:16" ht="12.5">
      <c r="B440" s="455" t="s">
        <v>594</v>
      </c>
      <c r="C440" s="479"/>
      <c r="D440" s="457"/>
      <c r="E440" s="480" t="s">
        <v>576</v>
      </c>
      <c r="F440" s="459"/>
      <c r="G440" s="459"/>
      <c r="H440" s="459"/>
      <c r="I440" s="459"/>
      <c r="J440" s="456">
        <v>44308</v>
      </c>
      <c r="K440" s="459">
        <v>0</v>
      </c>
      <c r="L440" s="459">
        <v>11214871</v>
      </c>
      <c r="M440" s="459">
        <f t="shared" si="31"/>
        <v>11214871</v>
      </c>
      <c r="N440" s="481"/>
      <c r="O440" s="462"/>
      <c r="P440" s="482"/>
    </row>
    <row r="441" spans="2:16" ht="12.5">
      <c r="B441" s="455" t="s">
        <v>594</v>
      </c>
      <c r="C441" s="479"/>
      <c r="D441" s="457"/>
      <c r="E441" s="480" t="s">
        <v>576</v>
      </c>
      <c r="F441" s="459"/>
      <c r="G441" s="459"/>
      <c r="H441" s="459"/>
      <c r="I441" s="459"/>
      <c r="J441" s="456">
        <v>44312</v>
      </c>
      <c r="K441" s="459">
        <v>0</v>
      </c>
      <c r="L441" s="459">
        <v>4094060</v>
      </c>
      <c r="M441" s="459">
        <f t="shared" si="31"/>
        <v>4094060</v>
      </c>
      <c r="N441" s="481"/>
      <c r="O441" s="462"/>
      <c r="P441" s="482"/>
    </row>
    <row r="442" spans="2:16" ht="12.5">
      <c r="B442" s="455" t="s">
        <v>594</v>
      </c>
      <c r="C442" s="479"/>
      <c r="D442" s="457"/>
      <c r="E442" s="480" t="s">
        <v>576</v>
      </c>
      <c r="F442" s="459"/>
      <c r="G442" s="459"/>
      <c r="H442" s="459"/>
      <c r="I442" s="459"/>
      <c r="J442" s="456">
        <v>44313</v>
      </c>
      <c r="K442" s="459">
        <v>0</v>
      </c>
      <c r="L442" s="459">
        <v>4895843</v>
      </c>
      <c r="M442" s="459">
        <f t="shared" si="31"/>
        <v>4895843</v>
      </c>
      <c r="N442" s="481"/>
      <c r="O442" s="462"/>
      <c r="P442" s="482"/>
    </row>
    <row r="443" spans="2:16" ht="12.5">
      <c r="B443" s="485" t="s">
        <v>595</v>
      </c>
      <c r="C443" s="486"/>
      <c r="D443" s="486"/>
      <c r="E443" s="487"/>
      <c r="F443" s="488">
        <f>SUM(F419:F442)</f>
        <v>670000000</v>
      </c>
      <c r="G443" s="488">
        <f>SUM(G419:G442)</f>
        <v>670000000</v>
      </c>
      <c r="H443" s="488">
        <f>SUM(H419:H442)</f>
        <v>0</v>
      </c>
      <c r="I443" s="488">
        <f>SUM(I419:I442)</f>
        <v>670000000</v>
      </c>
      <c r="J443" s="488"/>
      <c r="K443" s="488">
        <f>SUM(K419:K442)</f>
        <v>300000000</v>
      </c>
      <c r="L443" s="488">
        <f>SUM(L419:L442)</f>
        <v>104979027</v>
      </c>
      <c r="M443" s="488">
        <f>SUM(M419:M442)</f>
        <v>404979027</v>
      </c>
      <c r="N443" s="478">
        <f>+G443-K443</f>
        <v>370000000</v>
      </c>
      <c r="O443" s="478"/>
      <c r="P443" s="478">
        <f>+N443-O443</f>
        <v>370000000</v>
      </c>
    </row>
    <row r="444" spans="2:16">
      <c r="B444" s="455" t="s">
        <v>580</v>
      </c>
      <c r="C444" s="456">
        <v>44320</v>
      </c>
      <c r="D444" s="457">
        <v>1800</v>
      </c>
      <c r="E444" s="458" t="s">
        <v>576</v>
      </c>
      <c r="F444" s="459">
        <f t="shared" ref="F444:F457" si="32">SUBTOTAL(9,G444:H444)</f>
        <v>100000000</v>
      </c>
      <c r="G444" s="459">
        <v>100000000</v>
      </c>
      <c r="H444" s="459">
        <v>0</v>
      </c>
      <c r="I444" s="459">
        <f t="shared" ref="I444:I457" si="33">+G444+H444</f>
        <v>100000000</v>
      </c>
      <c r="J444" s="460"/>
      <c r="K444" s="460"/>
      <c r="L444" s="460"/>
      <c r="M444" s="459"/>
      <c r="N444" s="461"/>
      <c r="O444" s="462"/>
      <c r="P444" s="462"/>
    </row>
    <row r="445" spans="2:16">
      <c r="B445" s="455" t="s">
        <v>577</v>
      </c>
      <c r="C445" s="456">
        <v>44320</v>
      </c>
      <c r="D445" s="457">
        <v>1800</v>
      </c>
      <c r="E445" s="458" t="s">
        <v>576</v>
      </c>
      <c r="F445" s="459">
        <f t="shared" si="32"/>
        <v>200000000</v>
      </c>
      <c r="G445" s="459">
        <v>200000000</v>
      </c>
      <c r="H445" s="459">
        <v>0</v>
      </c>
      <c r="I445" s="459">
        <f t="shared" si="33"/>
        <v>200000000</v>
      </c>
      <c r="J445" s="460"/>
      <c r="K445" s="460"/>
      <c r="L445" s="460"/>
      <c r="M445" s="459"/>
      <c r="N445" s="461"/>
      <c r="O445" s="462"/>
      <c r="P445" s="462"/>
    </row>
    <row r="446" spans="2:16">
      <c r="B446" s="455" t="s">
        <v>596</v>
      </c>
      <c r="C446" s="456">
        <v>44320</v>
      </c>
      <c r="D446" s="457">
        <v>1800</v>
      </c>
      <c r="E446" s="458" t="s">
        <v>576</v>
      </c>
      <c r="F446" s="459">
        <f t="shared" si="32"/>
        <v>100000000</v>
      </c>
      <c r="G446" s="459">
        <v>100000000</v>
      </c>
      <c r="H446" s="459">
        <v>0</v>
      </c>
      <c r="I446" s="459">
        <f t="shared" si="33"/>
        <v>100000000</v>
      </c>
      <c r="J446" s="460"/>
      <c r="K446" s="460"/>
      <c r="L446" s="460"/>
      <c r="M446" s="459"/>
      <c r="N446" s="461"/>
      <c r="O446" s="462"/>
      <c r="P446" s="462"/>
    </row>
    <row r="447" spans="2:16">
      <c r="B447" s="455" t="s">
        <v>577</v>
      </c>
      <c r="C447" s="456">
        <v>44323</v>
      </c>
      <c r="D447" s="457">
        <v>360</v>
      </c>
      <c r="E447" s="458" t="s">
        <v>576</v>
      </c>
      <c r="F447" s="459">
        <f t="shared" si="32"/>
        <v>250000000</v>
      </c>
      <c r="G447" s="459">
        <v>247524752.47524753</v>
      </c>
      <c r="H447" s="459">
        <v>2475247.5247524679</v>
      </c>
      <c r="I447" s="459">
        <f t="shared" si="33"/>
        <v>250000000</v>
      </c>
      <c r="J447" s="460"/>
      <c r="K447" s="460"/>
      <c r="L447" s="460"/>
      <c r="M447" s="459"/>
      <c r="N447" s="461"/>
      <c r="O447" s="462"/>
      <c r="P447" s="462"/>
    </row>
    <row r="448" spans="2:16">
      <c r="B448" s="455" t="s">
        <v>600</v>
      </c>
      <c r="C448" s="456">
        <v>44329</v>
      </c>
      <c r="D448" s="457">
        <v>3600</v>
      </c>
      <c r="E448" s="458" t="s">
        <v>576</v>
      </c>
      <c r="F448" s="459">
        <f t="shared" si="32"/>
        <v>150000000</v>
      </c>
      <c r="G448" s="459">
        <v>150000000</v>
      </c>
      <c r="H448" s="459">
        <v>0</v>
      </c>
      <c r="I448" s="459">
        <f t="shared" si="33"/>
        <v>150000000</v>
      </c>
      <c r="J448" s="460"/>
      <c r="K448" s="460"/>
      <c r="L448" s="460"/>
      <c r="M448" s="459"/>
      <c r="N448" s="461"/>
      <c r="O448" s="462"/>
      <c r="P448" s="462"/>
    </row>
    <row r="449" spans="2:16">
      <c r="B449" s="455" t="s">
        <v>583</v>
      </c>
      <c r="C449" s="456">
        <v>44329</v>
      </c>
      <c r="D449" s="457">
        <v>3600</v>
      </c>
      <c r="E449" s="458" t="s">
        <v>576</v>
      </c>
      <c r="F449" s="459">
        <f t="shared" si="32"/>
        <v>1000000</v>
      </c>
      <c r="G449" s="459">
        <v>1000000</v>
      </c>
      <c r="H449" s="459">
        <v>0</v>
      </c>
      <c r="I449" s="459">
        <f t="shared" si="33"/>
        <v>1000000</v>
      </c>
      <c r="J449" s="460"/>
      <c r="K449" s="460"/>
      <c r="L449" s="460"/>
      <c r="M449" s="459"/>
      <c r="N449" s="461"/>
      <c r="O449" s="462"/>
      <c r="P449" s="462"/>
    </row>
    <row r="450" spans="2:16">
      <c r="B450" s="455" t="s">
        <v>578</v>
      </c>
      <c r="C450" s="456">
        <v>44334</v>
      </c>
      <c r="D450" s="457">
        <v>1080</v>
      </c>
      <c r="E450" s="458" t="s">
        <v>576</v>
      </c>
      <c r="F450" s="459">
        <f t="shared" si="32"/>
        <v>221500000</v>
      </c>
      <c r="G450" s="459">
        <v>221500000</v>
      </c>
      <c r="H450" s="459">
        <v>0</v>
      </c>
      <c r="I450" s="459">
        <f t="shared" si="33"/>
        <v>221500000</v>
      </c>
      <c r="J450" s="460"/>
      <c r="K450" s="460"/>
      <c r="L450" s="460"/>
      <c r="M450" s="459"/>
      <c r="N450" s="461"/>
      <c r="O450" s="462"/>
      <c r="P450" s="462"/>
    </row>
    <row r="451" spans="2:16">
      <c r="B451" s="455" t="s">
        <v>580</v>
      </c>
      <c r="C451" s="456">
        <v>44334</v>
      </c>
      <c r="D451" s="457">
        <v>1080</v>
      </c>
      <c r="E451" s="458" t="s">
        <v>576</v>
      </c>
      <c r="F451" s="459">
        <f t="shared" si="32"/>
        <v>88600000</v>
      </c>
      <c r="G451" s="459">
        <v>88600000</v>
      </c>
      <c r="H451" s="459">
        <v>0</v>
      </c>
      <c r="I451" s="459">
        <f t="shared" si="33"/>
        <v>88600000</v>
      </c>
      <c r="J451" s="460"/>
      <c r="K451" s="460"/>
      <c r="L451" s="460"/>
      <c r="M451" s="459"/>
      <c r="N451" s="461"/>
      <c r="O451" s="462"/>
      <c r="P451" s="462"/>
    </row>
    <row r="452" spans="2:16">
      <c r="B452" s="455" t="s">
        <v>577</v>
      </c>
      <c r="C452" s="456">
        <v>44334</v>
      </c>
      <c r="D452" s="457">
        <v>1080</v>
      </c>
      <c r="E452" s="458" t="s">
        <v>576</v>
      </c>
      <c r="F452" s="459">
        <f t="shared" si="32"/>
        <v>132900000</v>
      </c>
      <c r="G452" s="459">
        <v>132900000</v>
      </c>
      <c r="H452" s="459">
        <v>0</v>
      </c>
      <c r="I452" s="459">
        <f t="shared" si="33"/>
        <v>132900000</v>
      </c>
      <c r="J452" s="460"/>
      <c r="K452" s="460"/>
      <c r="L452" s="460"/>
      <c r="M452" s="459"/>
      <c r="N452" s="461"/>
      <c r="O452" s="462"/>
      <c r="P452" s="462"/>
    </row>
    <row r="453" spans="2:16">
      <c r="B453" s="455" t="s">
        <v>582</v>
      </c>
      <c r="C453" s="456">
        <v>44334</v>
      </c>
      <c r="D453" s="457">
        <v>1080</v>
      </c>
      <c r="E453" s="458" t="s">
        <v>576</v>
      </c>
      <c r="F453" s="459">
        <f t="shared" si="32"/>
        <v>7250000</v>
      </c>
      <c r="G453" s="459">
        <v>7250000</v>
      </c>
      <c r="H453" s="459">
        <v>0</v>
      </c>
      <c r="I453" s="459">
        <f t="shared" si="33"/>
        <v>7250000</v>
      </c>
      <c r="J453" s="460"/>
      <c r="K453" s="460"/>
      <c r="L453" s="460"/>
      <c r="M453" s="459"/>
      <c r="N453" s="461"/>
      <c r="O453" s="462"/>
      <c r="P453" s="462"/>
    </row>
    <row r="454" spans="2:16">
      <c r="B454" s="455" t="s">
        <v>580</v>
      </c>
      <c r="C454" s="456">
        <v>44337</v>
      </c>
      <c r="D454" s="457">
        <v>1440</v>
      </c>
      <c r="E454" s="458" t="s">
        <v>576</v>
      </c>
      <c r="F454" s="459">
        <f t="shared" si="32"/>
        <v>300000000</v>
      </c>
      <c r="G454" s="459">
        <v>300000000</v>
      </c>
      <c r="H454" s="459">
        <v>0</v>
      </c>
      <c r="I454" s="459">
        <f t="shared" si="33"/>
        <v>300000000</v>
      </c>
      <c r="J454" s="460"/>
      <c r="K454" s="460"/>
      <c r="L454" s="460"/>
      <c r="M454" s="459"/>
      <c r="N454" s="461"/>
      <c r="O454" s="462"/>
      <c r="P454" s="462"/>
    </row>
    <row r="455" spans="2:16">
      <c r="B455" s="455" t="s">
        <v>585</v>
      </c>
      <c r="C455" s="456">
        <v>44337</v>
      </c>
      <c r="D455" s="457">
        <v>1440</v>
      </c>
      <c r="E455" s="458" t="s">
        <v>576</v>
      </c>
      <c r="F455" s="459">
        <f t="shared" si="32"/>
        <v>50000000</v>
      </c>
      <c r="G455" s="459">
        <v>50000000</v>
      </c>
      <c r="H455" s="459">
        <v>0</v>
      </c>
      <c r="I455" s="459">
        <f t="shared" si="33"/>
        <v>50000000</v>
      </c>
      <c r="J455" s="460"/>
      <c r="K455" s="460"/>
      <c r="L455" s="460"/>
      <c r="M455" s="459"/>
      <c r="N455" s="461"/>
      <c r="O455" s="462"/>
      <c r="P455" s="462"/>
    </row>
    <row r="456" spans="2:16">
      <c r="B456" s="455" t="s">
        <v>586</v>
      </c>
      <c r="C456" s="456">
        <v>44337</v>
      </c>
      <c r="D456" s="457">
        <v>1440</v>
      </c>
      <c r="E456" s="458" t="s">
        <v>576</v>
      </c>
      <c r="F456" s="459">
        <f t="shared" si="32"/>
        <v>2750000</v>
      </c>
      <c r="G456" s="459">
        <v>2750000</v>
      </c>
      <c r="H456" s="459">
        <v>0</v>
      </c>
      <c r="I456" s="459">
        <f t="shared" si="33"/>
        <v>2750000</v>
      </c>
      <c r="J456" s="460"/>
      <c r="K456" s="460"/>
      <c r="L456" s="460"/>
      <c r="M456" s="459"/>
      <c r="N456" s="461"/>
      <c r="O456" s="462"/>
      <c r="P456" s="462"/>
    </row>
    <row r="457" spans="2:16">
      <c r="B457" s="455" t="s">
        <v>600</v>
      </c>
      <c r="C457" s="456">
        <v>44337</v>
      </c>
      <c r="D457" s="457">
        <v>1440</v>
      </c>
      <c r="E457" s="458" t="s">
        <v>576</v>
      </c>
      <c r="F457" s="459">
        <f t="shared" si="32"/>
        <v>100000000</v>
      </c>
      <c r="G457" s="459">
        <v>100000000</v>
      </c>
      <c r="H457" s="459">
        <v>0</v>
      </c>
      <c r="I457" s="459">
        <f t="shared" si="33"/>
        <v>100000000</v>
      </c>
      <c r="J457" s="460"/>
      <c r="K457" s="460"/>
      <c r="L457" s="460"/>
      <c r="M457" s="459"/>
      <c r="N457" s="461"/>
      <c r="O457" s="462"/>
      <c r="P457" s="462"/>
    </row>
    <row r="458" spans="2:16">
      <c r="B458" s="455" t="s">
        <v>575</v>
      </c>
      <c r="C458" s="456"/>
      <c r="D458" s="457"/>
      <c r="E458" s="458" t="s">
        <v>576</v>
      </c>
      <c r="F458" s="459"/>
      <c r="G458" s="459"/>
      <c r="H458" s="459"/>
      <c r="I458" s="459"/>
      <c r="J458" s="456">
        <v>44319</v>
      </c>
      <c r="K458" s="459">
        <v>0</v>
      </c>
      <c r="L458" s="459">
        <v>2094035</v>
      </c>
      <c r="M458" s="459">
        <f t="shared" ref="M458:M521" si="34">+K458+L458</f>
        <v>2094035</v>
      </c>
      <c r="N458" s="461"/>
      <c r="O458" s="462"/>
      <c r="P458" s="462"/>
    </row>
    <row r="459" spans="2:16">
      <c r="B459" s="455" t="s">
        <v>575</v>
      </c>
      <c r="C459" s="456"/>
      <c r="D459" s="457"/>
      <c r="E459" s="458" t="s">
        <v>576</v>
      </c>
      <c r="F459" s="459"/>
      <c r="G459" s="459"/>
      <c r="H459" s="459"/>
      <c r="I459" s="459"/>
      <c r="J459" s="456">
        <v>44319</v>
      </c>
      <c r="K459" s="459">
        <v>0</v>
      </c>
      <c r="L459" s="459">
        <v>2325000</v>
      </c>
      <c r="M459" s="459">
        <f t="shared" si="34"/>
        <v>2325000</v>
      </c>
      <c r="N459" s="461"/>
      <c r="O459" s="462"/>
      <c r="P459" s="462"/>
    </row>
    <row r="460" spans="2:16">
      <c r="B460" s="455" t="s">
        <v>582</v>
      </c>
      <c r="C460" s="456"/>
      <c r="D460" s="457"/>
      <c r="E460" s="458" t="s">
        <v>576</v>
      </c>
      <c r="F460" s="459"/>
      <c r="G460" s="459"/>
      <c r="H460" s="459"/>
      <c r="I460" s="459"/>
      <c r="J460" s="456">
        <v>44319</v>
      </c>
      <c r="K460" s="459">
        <v>0</v>
      </c>
      <c r="L460" s="459">
        <v>1125</v>
      </c>
      <c r="M460" s="459">
        <f t="shared" si="34"/>
        <v>1125</v>
      </c>
      <c r="N460" s="461"/>
      <c r="O460" s="462"/>
      <c r="P460" s="462"/>
    </row>
    <row r="461" spans="2:16">
      <c r="B461" s="455" t="s">
        <v>577</v>
      </c>
      <c r="C461" s="456"/>
      <c r="D461" s="457"/>
      <c r="E461" s="458" t="s">
        <v>576</v>
      </c>
      <c r="F461" s="459"/>
      <c r="G461" s="459"/>
      <c r="H461" s="459"/>
      <c r="I461" s="459"/>
      <c r="J461" s="456">
        <v>44319</v>
      </c>
      <c r="K461" s="459">
        <v>0</v>
      </c>
      <c r="L461" s="459">
        <v>3487500</v>
      </c>
      <c r="M461" s="459">
        <f t="shared" si="34"/>
        <v>3487500</v>
      </c>
      <c r="N461" s="461"/>
      <c r="O461" s="462"/>
      <c r="P461" s="462"/>
    </row>
    <row r="462" spans="2:16">
      <c r="B462" s="455" t="s">
        <v>584</v>
      </c>
      <c r="C462" s="456"/>
      <c r="D462" s="457"/>
      <c r="E462" s="458" t="s">
        <v>576</v>
      </c>
      <c r="F462" s="459"/>
      <c r="G462" s="459"/>
      <c r="H462" s="459"/>
      <c r="I462" s="459"/>
      <c r="J462" s="456">
        <v>44319</v>
      </c>
      <c r="K462" s="459">
        <v>0</v>
      </c>
      <c r="L462" s="459">
        <v>751973</v>
      </c>
      <c r="M462" s="459">
        <f t="shared" si="34"/>
        <v>751973</v>
      </c>
      <c r="N462" s="461"/>
      <c r="O462" s="462"/>
      <c r="P462" s="462"/>
    </row>
    <row r="463" spans="2:16">
      <c r="B463" s="455" t="s">
        <v>585</v>
      </c>
      <c r="C463" s="456"/>
      <c r="D463" s="457"/>
      <c r="E463" s="458" t="s">
        <v>576</v>
      </c>
      <c r="F463" s="459"/>
      <c r="G463" s="459"/>
      <c r="H463" s="459"/>
      <c r="I463" s="459"/>
      <c r="J463" s="456">
        <v>44322</v>
      </c>
      <c r="K463" s="459">
        <v>0</v>
      </c>
      <c r="L463" s="459">
        <v>1500000</v>
      </c>
      <c r="M463" s="459">
        <f t="shared" si="34"/>
        <v>1500000</v>
      </c>
      <c r="N463" s="461"/>
      <c r="O463" s="462"/>
      <c r="P463" s="462"/>
    </row>
    <row r="464" spans="2:16">
      <c r="B464" s="455" t="s">
        <v>585</v>
      </c>
      <c r="C464" s="456"/>
      <c r="D464" s="457"/>
      <c r="E464" s="458" t="s">
        <v>576</v>
      </c>
      <c r="F464" s="459"/>
      <c r="G464" s="459"/>
      <c r="H464" s="459"/>
      <c r="I464" s="459"/>
      <c r="J464" s="456">
        <v>44322</v>
      </c>
      <c r="K464" s="459">
        <v>0</v>
      </c>
      <c r="L464" s="459">
        <v>947936</v>
      </c>
      <c r="M464" s="459">
        <f t="shared" si="34"/>
        <v>947936</v>
      </c>
      <c r="N464" s="461"/>
      <c r="O464" s="462"/>
      <c r="P464" s="462"/>
    </row>
    <row r="465" spans="2:16">
      <c r="B465" s="455" t="s">
        <v>585</v>
      </c>
      <c r="C465" s="456"/>
      <c r="D465" s="457"/>
      <c r="E465" s="458" t="s">
        <v>576</v>
      </c>
      <c r="F465" s="459"/>
      <c r="G465" s="459"/>
      <c r="H465" s="459"/>
      <c r="I465" s="459"/>
      <c r="J465" s="456">
        <v>44322</v>
      </c>
      <c r="K465" s="459">
        <v>0</v>
      </c>
      <c r="L465" s="459">
        <v>9304688</v>
      </c>
      <c r="M465" s="459">
        <f t="shared" si="34"/>
        <v>9304688</v>
      </c>
      <c r="N465" s="461"/>
      <c r="O465" s="462"/>
      <c r="P465" s="462"/>
    </row>
    <row r="466" spans="2:16">
      <c r="B466" s="455" t="s">
        <v>582</v>
      </c>
      <c r="C466" s="456"/>
      <c r="D466" s="457"/>
      <c r="E466" s="458" t="s">
        <v>576</v>
      </c>
      <c r="F466" s="459"/>
      <c r="G466" s="459"/>
      <c r="H466" s="459"/>
      <c r="I466" s="459"/>
      <c r="J466" s="456">
        <v>44322</v>
      </c>
      <c r="K466" s="459">
        <v>0</v>
      </c>
      <c r="L466" s="459">
        <v>39000</v>
      </c>
      <c r="M466" s="459">
        <f t="shared" si="34"/>
        <v>39000</v>
      </c>
      <c r="N466" s="461"/>
      <c r="O466" s="462"/>
      <c r="P466" s="462"/>
    </row>
    <row r="467" spans="2:16">
      <c r="B467" s="455" t="s">
        <v>577</v>
      </c>
      <c r="C467" s="456"/>
      <c r="D467" s="457"/>
      <c r="E467" s="458" t="s">
        <v>576</v>
      </c>
      <c r="F467" s="459"/>
      <c r="G467" s="459"/>
      <c r="H467" s="459"/>
      <c r="I467" s="459"/>
      <c r="J467" s="456">
        <v>44322</v>
      </c>
      <c r="K467" s="459">
        <v>0</v>
      </c>
      <c r="L467" s="459">
        <v>8720814</v>
      </c>
      <c r="M467" s="459">
        <f t="shared" si="34"/>
        <v>8720814</v>
      </c>
      <c r="N467" s="461"/>
      <c r="O467" s="462"/>
      <c r="P467" s="462"/>
    </row>
    <row r="468" spans="2:16">
      <c r="B468" s="455" t="s">
        <v>577</v>
      </c>
      <c r="C468" s="456"/>
      <c r="D468" s="457"/>
      <c r="E468" s="458" t="s">
        <v>576</v>
      </c>
      <c r="F468" s="459"/>
      <c r="G468" s="459"/>
      <c r="H468" s="459"/>
      <c r="I468" s="459"/>
      <c r="J468" s="456">
        <v>44322</v>
      </c>
      <c r="K468" s="459">
        <v>0</v>
      </c>
      <c r="L468" s="459">
        <v>7050000</v>
      </c>
      <c r="M468" s="459">
        <f t="shared" si="34"/>
        <v>7050000</v>
      </c>
      <c r="N468" s="461"/>
      <c r="O468" s="462"/>
      <c r="P468" s="462"/>
    </row>
    <row r="469" spans="2:16">
      <c r="B469" s="455" t="s">
        <v>583</v>
      </c>
      <c r="C469" s="456"/>
      <c r="D469" s="457"/>
      <c r="E469" s="458" t="s">
        <v>576</v>
      </c>
      <c r="F469" s="459"/>
      <c r="G469" s="459"/>
      <c r="H469" s="459"/>
      <c r="I469" s="459"/>
      <c r="J469" s="456">
        <v>44322</v>
      </c>
      <c r="K469" s="459">
        <v>0</v>
      </c>
      <c r="L469" s="459">
        <v>150000</v>
      </c>
      <c r="M469" s="459">
        <f t="shared" si="34"/>
        <v>150000</v>
      </c>
      <c r="N469" s="461"/>
      <c r="O469" s="462"/>
      <c r="P469" s="462"/>
    </row>
    <row r="470" spans="2:16">
      <c r="B470" s="455" t="s">
        <v>575</v>
      </c>
      <c r="C470" s="456"/>
      <c r="D470" s="457"/>
      <c r="E470" s="458" t="s">
        <v>576</v>
      </c>
      <c r="F470" s="459"/>
      <c r="G470" s="459"/>
      <c r="H470" s="459"/>
      <c r="I470" s="459"/>
      <c r="J470" s="456">
        <v>44322</v>
      </c>
      <c r="K470" s="459">
        <v>0</v>
      </c>
      <c r="L470" s="459">
        <v>3450000</v>
      </c>
      <c r="M470" s="459">
        <f t="shared" si="34"/>
        <v>3450000</v>
      </c>
      <c r="N470" s="461"/>
      <c r="O470" s="462"/>
      <c r="P470" s="462"/>
    </row>
    <row r="471" spans="2:16">
      <c r="B471" s="455" t="s">
        <v>583</v>
      </c>
      <c r="C471" s="456"/>
      <c r="D471" s="457"/>
      <c r="E471" s="458" t="s">
        <v>576</v>
      </c>
      <c r="F471" s="459"/>
      <c r="G471" s="459"/>
      <c r="H471" s="459"/>
      <c r="I471" s="459"/>
      <c r="J471" s="456">
        <v>44326</v>
      </c>
      <c r="K471" s="459">
        <v>0</v>
      </c>
      <c r="L471" s="459">
        <v>170000</v>
      </c>
      <c r="M471" s="459">
        <f t="shared" si="34"/>
        <v>170000</v>
      </c>
      <c r="N471" s="461"/>
      <c r="O471" s="462"/>
      <c r="P471" s="462"/>
    </row>
    <row r="472" spans="2:16">
      <c r="B472" s="455" t="s">
        <v>577</v>
      </c>
      <c r="C472" s="456"/>
      <c r="D472" s="457"/>
      <c r="E472" s="458" t="s">
        <v>576</v>
      </c>
      <c r="F472" s="459"/>
      <c r="G472" s="459"/>
      <c r="H472" s="459"/>
      <c r="I472" s="459"/>
      <c r="J472" s="456">
        <v>44326</v>
      </c>
      <c r="K472" s="459">
        <v>0</v>
      </c>
      <c r="L472" s="459">
        <v>4559910</v>
      </c>
      <c r="M472" s="459">
        <f t="shared" si="34"/>
        <v>4559910</v>
      </c>
      <c r="N472" s="461"/>
      <c r="O472" s="462"/>
      <c r="P472" s="462"/>
    </row>
    <row r="473" spans="2:16">
      <c r="B473" s="455" t="s">
        <v>582</v>
      </c>
      <c r="C473" s="456"/>
      <c r="D473" s="457"/>
      <c r="E473" s="458" t="s">
        <v>576</v>
      </c>
      <c r="F473" s="459"/>
      <c r="G473" s="459"/>
      <c r="H473" s="459"/>
      <c r="I473" s="459"/>
      <c r="J473" s="456">
        <v>44326</v>
      </c>
      <c r="K473" s="459">
        <v>0</v>
      </c>
      <c r="L473" s="459">
        <v>170000</v>
      </c>
      <c r="M473" s="459">
        <f t="shared" si="34"/>
        <v>170000</v>
      </c>
      <c r="N473" s="461"/>
      <c r="O473" s="462"/>
      <c r="P473" s="462"/>
    </row>
    <row r="474" spans="2:16">
      <c r="B474" s="455" t="s">
        <v>577</v>
      </c>
      <c r="C474" s="456"/>
      <c r="D474" s="457"/>
      <c r="E474" s="458" t="s">
        <v>576</v>
      </c>
      <c r="F474" s="459"/>
      <c r="G474" s="459"/>
      <c r="H474" s="459"/>
      <c r="I474" s="459"/>
      <c r="J474" s="456">
        <v>44326</v>
      </c>
      <c r="K474" s="466">
        <v>222584000</v>
      </c>
      <c r="L474" s="466">
        <v>0</v>
      </c>
      <c r="M474" s="466">
        <f t="shared" si="34"/>
        <v>222584000</v>
      </c>
      <c r="N474" s="461"/>
      <c r="O474" s="462"/>
      <c r="P474" s="462"/>
    </row>
    <row r="475" spans="2:16">
      <c r="B475" s="455" t="s">
        <v>582</v>
      </c>
      <c r="C475" s="456"/>
      <c r="D475" s="457"/>
      <c r="E475" s="458" t="s">
        <v>576</v>
      </c>
      <c r="F475" s="459"/>
      <c r="G475" s="459"/>
      <c r="H475" s="459"/>
      <c r="I475" s="459"/>
      <c r="J475" s="456">
        <v>44326</v>
      </c>
      <c r="K475" s="466">
        <v>8000000</v>
      </c>
      <c r="L475" s="466">
        <v>0</v>
      </c>
      <c r="M475" s="466">
        <f t="shared" si="34"/>
        <v>8000000</v>
      </c>
      <c r="N475" s="461"/>
      <c r="O475" s="462"/>
      <c r="P475" s="462"/>
    </row>
    <row r="476" spans="2:16">
      <c r="B476" s="455" t="s">
        <v>580</v>
      </c>
      <c r="C476" s="456"/>
      <c r="D476" s="457"/>
      <c r="E476" s="458" t="s">
        <v>576</v>
      </c>
      <c r="F476" s="459"/>
      <c r="G476" s="459"/>
      <c r="H476" s="459"/>
      <c r="I476" s="459"/>
      <c r="J476" s="456">
        <v>44326</v>
      </c>
      <c r="K476" s="459">
        <v>0</v>
      </c>
      <c r="L476" s="459">
        <v>5446423</v>
      </c>
      <c r="M476" s="459">
        <f t="shared" si="34"/>
        <v>5446423</v>
      </c>
      <c r="N476" s="461"/>
      <c r="O476" s="462"/>
      <c r="P476" s="462"/>
    </row>
    <row r="477" spans="2:16">
      <c r="B477" s="455" t="s">
        <v>577</v>
      </c>
      <c r="C477" s="456"/>
      <c r="D477" s="457"/>
      <c r="E477" s="458" t="s">
        <v>576</v>
      </c>
      <c r="F477" s="459"/>
      <c r="G477" s="459"/>
      <c r="H477" s="459"/>
      <c r="I477" s="459"/>
      <c r="J477" s="456">
        <v>44326</v>
      </c>
      <c r="K477" s="459">
        <v>0</v>
      </c>
      <c r="L477" s="459">
        <v>4430067</v>
      </c>
      <c r="M477" s="459">
        <f t="shared" si="34"/>
        <v>4430067</v>
      </c>
      <c r="N477" s="461"/>
      <c r="O477" s="462"/>
      <c r="P477" s="462"/>
    </row>
    <row r="478" spans="2:16">
      <c r="B478" s="455" t="s">
        <v>582</v>
      </c>
      <c r="C478" s="456"/>
      <c r="D478" s="457"/>
      <c r="E478" s="458" t="s">
        <v>576</v>
      </c>
      <c r="F478" s="459"/>
      <c r="G478" s="459"/>
      <c r="H478" s="459"/>
      <c r="I478" s="459"/>
      <c r="J478" s="456">
        <v>44326</v>
      </c>
      <c r="K478" s="459">
        <v>0</v>
      </c>
      <c r="L478" s="459">
        <v>95</v>
      </c>
      <c r="M478" s="459">
        <f t="shared" si="34"/>
        <v>95</v>
      </c>
      <c r="N478" s="461"/>
      <c r="O478" s="462"/>
      <c r="P478" s="462"/>
    </row>
    <row r="479" spans="2:16">
      <c r="B479" s="455" t="s">
        <v>582</v>
      </c>
      <c r="C479" s="456"/>
      <c r="D479" s="457"/>
      <c r="E479" s="458" t="s">
        <v>576</v>
      </c>
      <c r="F479" s="459"/>
      <c r="G479" s="459"/>
      <c r="H479" s="459"/>
      <c r="I479" s="459"/>
      <c r="J479" s="456">
        <v>44326</v>
      </c>
      <c r="K479" s="459">
        <v>0</v>
      </c>
      <c r="L479" s="459">
        <v>3680888</v>
      </c>
      <c r="M479" s="459">
        <f t="shared" si="34"/>
        <v>3680888</v>
      </c>
      <c r="N479" s="461"/>
      <c r="O479" s="462"/>
      <c r="P479" s="462"/>
    </row>
    <row r="480" spans="2:16">
      <c r="B480" s="455" t="s">
        <v>580</v>
      </c>
      <c r="C480" s="456"/>
      <c r="D480" s="457"/>
      <c r="E480" s="458" t="s">
        <v>576</v>
      </c>
      <c r="F480" s="459"/>
      <c r="G480" s="459"/>
      <c r="H480" s="459"/>
      <c r="I480" s="459"/>
      <c r="J480" s="456">
        <v>44326</v>
      </c>
      <c r="K480" s="466">
        <v>77083000</v>
      </c>
      <c r="L480" s="466">
        <v>0</v>
      </c>
      <c r="M480" s="466">
        <f t="shared" si="34"/>
        <v>77083000</v>
      </c>
      <c r="N480" s="461"/>
      <c r="O480" s="462"/>
      <c r="P480" s="462"/>
    </row>
    <row r="481" spans="2:16">
      <c r="B481" s="455" t="s">
        <v>580</v>
      </c>
      <c r="C481" s="456"/>
      <c r="D481" s="457"/>
      <c r="E481" s="458" t="s">
        <v>576</v>
      </c>
      <c r="F481" s="459"/>
      <c r="G481" s="459"/>
      <c r="H481" s="459"/>
      <c r="I481" s="459"/>
      <c r="J481" s="456">
        <v>44326</v>
      </c>
      <c r="K481" s="459">
        <v>0</v>
      </c>
      <c r="L481" s="459">
        <v>1638014</v>
      </c>
      <c r="M481" s="459">
        <f t="shared" si="34"/>
        <v>1638014</v>
      </c>
      <c r="N481" s="461"/>
      <c r="O481" s="462"/>
      <c r="P481" s="462"/>
    </row>
    <row r="482" spans="2:16">
      <c r="B482" s="455" t="s">
        <v>575</v>
      </c>
      <c r="C482" s="456"/>
      <c r="D482" s="457"/>
      <c r="E482" s="458" t="s">
        <v>576</v>
      </c>
      <c r="F482" s="459"/>
      <c r="G482" s="459"/>
      <c r="H482" s="459"/>
      <c r="I482" s="459"/>
      <c r="J482" s="456">
        <v>44326</v>
      </c>
      <c r="K482" s="459">
        <v>0</v>
      </c>
      <c r="L482" s="459">
        <v>1546050</v>
      </c>
      <c r="M482" s="459">
        <f t="shared" si="34"/>
        <v>1546050</v>
      </c>
      <c r="N482" s="461"/>
      <c r="O482" s="462"/>
      <c r="P482" s="462"/>
    </row>
    <row r="483" spans="2:16">
      <c r="B483" s="455" t="s">
        <v>580</v>
      </c>
      <c r="C483" s="456"/>
      <c r="D483" s="457"/>
      <c r="E483" s="458" t="s">
        <v>576</v>
      </c>
      <c r="F483" s="459"/>
      <c r="G483" s="459"/>
      <c r="H483" s="459"/>
      <c r="I483" s="459"/>
      <c r="J483" s="456">
        <v>44326</v>
      </c>
      <c r="K483" s="459">
        <v>0</v>
      </c>
      <c r="L483" s="459">
        <v>4400558</v>
      </c>
      <c r="M483" s="459">
        <f t="shared" si="34"/>
        <v>4400558</v>
      </c>
      <c r="N483" s="461"/>
      <c r="O483" s="462"/>
      <c r="P483" s="462"/>
    </row>
    <row r="484" spans="2:16">
      <c r="B484" s="455" t="s">
        <v>583</v>
      </c>
      <c r="C484" s="456"/>
      <c r="D484" s="457"/>
      <c r="E484" s="458" t="s">
        <v>576</v>
      </c>
      <c r="F484" s="459"/>
      <c r="G484" s="459"/>
      <c r="H484" s="459"/>
      <c r="I484" s="459"/>
      <c r="J484" s="456">
        <v>44326</v>
      </c>
      <c r="K484" s="459">
        <v>0</v>
      </c>
      <c r="L484" s="459">
        <v>252578</v>
      </c>
      <c r="M484" s="459">
        <f t="shared" si="34"/>
        <v>252578</v>
      </c>
      <c r="N484" s="461"/>
      <c r="O484" s="462"/>
      <c r="P484" s="462"/>
    </row>
    <row r="485" spans="2:16">
      <c r="B485" s="455" t="s">
        <v>586</v>
      </c>
      <c r="C485" s="456"/>
      <c r="D485" s="457"/>
      <c r="E485" s="458" t="s">
        <v>576</v>
      </c>
      <c r="F485" s="459"/>
      <c r="G485" s="459"/>
      <c r="H485" s="459"/>
      <c r="I485" s="459"/>
      <c r="J485" s="456">
        <v>44326</v>
      </c>
      <c r="K485" s="466">
        <v>108433000</v>
      </c>
      <c r="L485" s="466">
        <v>0</v>
      </c>
      <c r="M485" s="466">
        <f t="shared" si="34"/>
        <v>108433000</v>
      </c>
      <c r="N485" s="461"/>
      <c r="O485" s="462"/>
      <c r="P485" s="462"/>
    </row>
    <row r="486" spans="2:16">
      <c r="B486" s="455" t="s">
        <v>586</v>
      </c>
      <c r="C486" s="456"/>
      <c r="D486" s="457"/>
      <c r="E486" s="458" t="s">
        <v>576</v>
      </c>
      <c r="F486" s="459"/>
      <c r="G486" s="459"/>
      <c r="H486" s="459"/>
      <c r="I486" s="459"/>
      <c r="J486" s="456">
        <v>44326</v>
      </c>
      <c r="K486" s="459">
        <v>0</v>
      </c>
      <c r="L486" s="459">
        <v>533375</v>
      </c>
      <c r="M486" s="459">
        <f t="shared" si="34"/>
        <v>533375</v>
      </c>
      <c r="N486" s="461"/>
      <c r="O486" s="462"/>
      <c r="P486" s="462"/>
    </row>
    <row r="487" spans="2:16">
      <c r="B487" s="455" t="s">
        <v>585</v>
      </c>
      <c r="C487" s="456"/>
      <c r="D487" s="457"/>
      <c r="E487" s="458" t="s">
        <v>576</v>
      </c>
      <c r="F487" s="459"/>
      <c r="G487" s="459"/>
      <c r="H487" s="459"/>
      <c r="I487" s="459"/>
      <c r="J487" s="456">
        <v>44326</v>
      </c>
      <c r="K487" s="459">
        <v>0</v>
      </c>
      <c r="L487" s="459">
        <v>1770826</v>
      </c>
      <c r="M487" s="459">
        <f t="shared" si="34"/>
        <v>1770826</v>
      </c>
      <c r="N487" s="461"/>
      <c r="O487" s="462"/>
      <c r="P487" s="462"/>
    </row>
    <row r="488" spans="2:16">
      <c r="B488" s="455" t="s">
        <v>586</v>
      </c>
      <c r="C488" s="456"/>
      <c r="D488" s="457"/>
      <c r="E488" s="458" t="s">
        <v>576</v>
      </c>
      <c r="F488" s="459"/>
      <c r="G488" s="459"/>
      <c r="H488" s="459"/>
      <c r="I488" s="459"/>
      <c r="J488" s="456">
        <v>44326</v>
      </c>
      <c r="K488" s="459">
        <v>0</v>
      </c>
      <c r="L488" s="459">
        <v>110938</v>
      </c>
      <c r="M488" s="459">
        <f t="shared" si="34"/>
        <v>110938</v>
      </c>
      <c r="N488" s="461"/>
      <c r="O488" s="462"/>
      <c r="P488" s="462"/>
    </row>
    <row r="489" spans="2:16">
      <c r="B489" s="455" t="s">
        <v>582</v>
      </c>
      <c r="C489" s="456"/>
      <c r="D489" s="457"/>
      <c r="E489" s="458" t="s">
        <v>576</v>
      </c>
      <c r="F489" s="459"/>
      <c r="G489" s="459"/>
      <c r="H489" s="459"/>
      <c r="I489" s="459"/>
      <c r="J489" s="456">
        <v>44326</v>
      </c>
      <c r="K489" s="459">
        <v>0</v>
      </c>
      <c r="L489" s="459">
        <v>8875</v>
      </c>
      <c r="M489" s="459">
        <f t="shared" si="34"/>
        <v>8875</v>
      </c>
      <c r="N489" s="461"/>
      <c r="O489" s="462"/>
      <c r="P489" s="462"/>
    </row>
    <row r="490" spans="2:16">
      <c r="B490" s="455" t="s">
        <v>597</v>
      </c>
      <c r="C490" s="456"/>
      <c r="D490" s="457"/>
      <c r="E490" s="458" t="s">
        <v>576</v>
      </c>
      <c r="F490" s="459"/>
      <c r="G490" s="459"/>
      <c r="H490" s="459"/>
      <c r="I490" s="459"/>
      <c r="J490" s="456">
        <v>44326</v>
      </c>
      <c r="K490" s="459">
        <v>0</v>
      </c>
      <c r="L490" s="459">
        <v>4084827</v>
      </c>
      <c r="M490" s="459">
        <f t="shared" si="34"/>
        <v>4084827</v>
      </c>
      <c r="N490" s="461"/>
      <c r="O490" s="462"/>
      <c r="P490" s="462"/>
    </row>
    <row r="491" spans="2:16">
      <c r="B491" s="455" t="s">
        <v>581</v>
      </c>
      <c r="C491" s="456"/>
      <c r="D491" s="457"/>
      <c r="E491" s="458" t="s">
        <v>576</v>
      </c>
      <c r="F491" s="459"/>
      <c r="G491" s="459"/>
      <c r="H491" s="459"/>
      <c r="I491" s="459"/>
      <c r="J491" s="456">
        <v>44327</v>
      </c>
      <c r="K491" s="459">
        <v>0</v>
      </c>
      <c r="L491" s="459">
        <v>1637682</v>
      </c>
      <c r="M491" s="459">
        <f t="shared" si="34"/>
        <v>1637682</v>
      </c>
      <c r="N491" s="461"/>
      <c r="O491" s="462"/>
      <c r="P491" s="462"/>
    </row>
    <row r="492" spans="2:16">
      <c r="B492" s="455" t="s">
        <v>577</v>
      </c>
      <c r="C492" s="456"/>
      <c r="D492" s="457"/>
      <c r="E492" s="458" t="s">
        <v>576</v>
      </c>
      <c r="F492" s="459"/>
      <c r="G492" s="459"/>
      <c r="H492" s="459"/>
      <c r="I492" s="459"/>
      <c r="J492" s="456">
        <v>44327</v>
      </c>
      <c r="K492" s="459">
        <v>0</v>
      </c>
      <c r="L492" s="459">
        <v>6181223</v>
      </c>
      <c r="M492" s="459">
        <f t="shared" si="34"/>
        <v>6181223</v>
      </c>
      <c r="N492" s="461"/>
      <c r="O492" s="462"/>
      <c r="P492" s="462"/>
    </row>
    <row r="493" spans="2:16">
      <c r="B493" s="455" t="s">
        <v>577</v>
      </c>
      <c r="C493" s="456"/>
      <c r="D493" s="457"/>
      <c r="E493" s="458" t="s">
        <v>576</v>
      </c>
      <c r="F493" s="459"/>
      <c r="G493" s="459"/>
      <c r="H493" s="459"/>
      <c r="I493" s="459"/>
      <c r="J493" s="456">
        <v>44328</v>
      </c>
      <c r="K493" s="459">
        <v>0</v>
      </c>
      <c r="L493" s="459">
        <v>1339281</v>
      </c>
      <c r="M493" s="459">
        <f t="shared" si="34"/>
        <v>1339281</v>
      </c>
      <c r="N493" s="461"/>
      <c r="O493" s="462"/>
      <c r="P493" s="462"/>
    </row>
    <row r="494" spans="2:16">
      <c r="B494" s="455" t="s">
        <v>580</v>
      </c>
      <c r="C494" s="456"/>
      <c r="D494" s="457"/>
      <c r="E494" s="458" t="s">
        <v>576</v>
      </c>
      <c r="F494" s="459"/>
      <c r="G494" s="459"/>
      <c r="H494" s="459"/>
      <c r="I494" s="459"/>
      <c r="J494" s="456">
        <v>44328</v>
      </c>
      <c r="K494" s="459">
        <v>0</v>
      </c>
      <c r="L494" s="459">
        <v>2232141</v>
      </c>
      <c r="M494" s="459">
        <f t="shared" si="34"/>
        <v>2232141</v>
      </c>
      <c r="N494" s="461"/>
      <c r="O494" s="462"/>
      <c r="P494" s="462"/>
    </row>
    <row r="495" spans="2:16">
      <c r="B495" s="455" t="s">
        <v>584</v>
      </c>
      <c r="C495" s="456"/>
      <c r="D495" s="457"/>
      <c r="E495" s="458" t="s">
        <v>576</v>
      </c>
      <c r="F495" s="459"/>
      <c r="G495" s="459"/>
      <c r="H495" s="459"/>
      <c r="I495" s="459"/>
      <c r="J495" s="456">
        <v>44328</v>
      </c>
      <c r="K495" s="459">
        <v>0</v>
      </c>
      <c r="L495" s="459">
        <v>2566953</v>
      </c>
      <c r="M495" s="459">
        <f t="shared" si="34"/>
        <v>2566953</v>
      </c>
      <c r="N495" s="461"/>
      <c r="O495" s="462"/>
      <c r="P495" s="462"/>
    </row>
    <row r="496" spans="2:16">
      <c r="B496" s="455" t="s">
        <v>577</v>
      </c>
      <c r="C496" s="456"/>
      <c r="D496" s="457"/>
      <c r="E496" s="458" t="s">
        <v>576</v>
      </c>
      <c r="F496" s="459"/>
      <c r="G496" s="459"/>
      <c r="H496" s="459"/>
      <c r="I496" s="459"/>
      <c r="J496" s="456">
        <v>44329</v>
      </c>
      <c r="K496" s="459">
        <v>0</v>
      </c>
      <c r="L496" s="459">
        <v>4939870</v>
      </c>
      <c r="M496" s="459">
        <f t="shared" si="34"/>
        <v>4939870</v>
      </c>
      <c r="N496" s="461"/>
      <c r="O496" s="462"/>
      <c r="P496" s="462"/>
    </row>
    <row r="497" spans="2:16">
      <c r="B497" s="455" t="s">
        <v>601</v>
      </c>
      <c r="C497" s="456"/>
      <c r="D497" s="457"/>
      <c r="E497" s="458" t="s">
        <v>576</v>
      </c>
      <c r="F497" s="459"/>
      <c r="G497" s="459"/>
      <c r="H497" s="459"/>
      <c r="I497" s="459"/>
      <c r="J497" s="456">
        <v>44329</v>
      </c>
      <c r="K497" s="459">
        <v>0</v>
      </c>
      <c r="L497" s="459">
        <v>3700</v>
      </c>
      <c r="M497" s="459">
        <f t="shared" si="34"/>
        <v>3700</v>
      </c>
      <c r="N497" s="461"/>
      <c r="O497" s="462"/>
      <c r="P497" s="462"/>
    </row>
    <row r="498" spans="2:16">
      <c r="B498" s="455" t="s">
        <v>587</v>
      </c>
      <c r="C498" s="456"/>
      <c r="D498" s="457"/>
      <c r="E498" s="458" t="s">
        <v>576</v>
      </c>
      <c r="F498" s="459"/>
      <c r="G498" s="459"/>
      <c r="H498" s="459"/>
      <c r="I498" s="459"/>
      <c r="J498" s="456">
        <v>44329</v>
      </c>
      <c r="K498" s="459">
        <v>0</v>
      </c>
      <c r="L498" s="459">
        <v>4813</v>
      </c>
      <c r="M498" s="459">
        <f t="shared" si="34"/>
        <v>4813</v>
      </c>
      <c r="N498" s="461"/>
      <c r="O498" s="462"/>
      <c r="P498" s="462"/>
    </row>
    <row r="499" spans="2:16">
      <c r="B499" s="455" t="s">
        <v>577</v>
      </c>
      <c r="C499" s="456"/>
      <c r="D499" s="457"/>
      <c r="E499" s="458" t="s">
        <v>576</v>
      </c>
      <c r="F499" s="459"/>
      <c r="G499" s="459"/>
      <c r="H499" s="459"/>
      <c r="I499" s="459"/>
      <c r="J499" s="456">
        <v>44329</v>
      </c>
      <c r="K499" s="459">
        <v>0</v>
      </c>
      <c r="L499" s="459">
        <v>7098438</v>
      </c>
      <c r="M499" s="459">
        <f t="shared" si="34"/>
        <v>7098438</v>
      </c>
      <c r="N499" s="461"/>
      <c r="O499" s="462"/>
      <c r="P499" s="462"/>
    </row>
    <row r="500" spans="2:16">
      <c r="B500" s="455" t="s">
        <v>580</v>
      </c>
      <c r="C500" s="456"/>
      <c r="D500" s="457"/>
      <c r="E500" s="458" t="s">
        <v>576</v>
      </c>
      <c r="F500" s="459"/>
      <c r="G500" s="459"/>
      <c r="H500" s="459"/>
      <c r="I500" s="459"/>
      <c r="J500" s="456">
        <v>44329</v>
      </c>
      <c r="K500" s="459">
        <v>0</v>
      </c>
      <c r="L500" s="459">
        <v>964151</v>
      </c>
      <c r="M500" s="459">
        <f t="shared" si="34"/>
        <v>964151</v>
      </c>
      <c r="N500" s="461"/>
      <c r="O500" s="462"/>
      <c r="P500" s="462"/>
    </row>
    <row r="501" spans="2:16">
      <c r="B501" s="455" t="s">
        <v>596</v>
      </c>
      <c r="C501" s="456"/>
      <c r="D501" s="457"/>
      <c r="E501" s="458" t="s">
        <v>576</v>
      </c>
      <c r="F501" s="459"/>
      <c r="G501" s="459"/>
      <c r="H501" s="459"/>
      <c r="I501" s="459"/>
      <c r="J501" s="456">
        <v>44330</v>
      </c>
      <c r="K501" s="459">
        <v>0</v>
      </c>
      <c r="L501" s="459">
        <v>7625</v>
      </c>
      <c r="M501" s="459">
        <f t="shared" si="34"/>
        <v>7625</v>
      </c>
      <c r="N501" s="461"/>
      <c r="O501" s="462"/>
      <c r="P501" s="462"/>
    </row>
    <row r="502" spans="2:16">
      <c r="B502" s="455" t="s">
        <v>602</v>
      </c>
      <c r="C502" s="456"/>
      <c r="D502" s="457"/>
      <c r="E502" s="458" t="s">
        <v>576</v>
      </c>
      <c r="F502" s="459"/>
      <c r="G502" s="459"/>
      <c r="H502" s="459"/>
      <c r="I502" s="459"/>
      <c r="J502" s="456">
        <v>44330</v>
      </c>
      <c r="K502" s="459">
        <v>0</v>
      </c>
      <c r="L502" s="459">
        <v>1096666</v>
      </c>
      <c r="M502" s="459">
        <f t="shared" si="34"/>
        <v>1096666</v>
      </c>
      <c r="N502" s="461"/>
      <c r="O502" s="462"/>
      <c r="P502" s="462"/>
    </row>
    <row r="503" spans="2:16">
      <c r="B503" s="455" t="s">
        <v>577</v>
      </c>
      <c r="C503" s="456"/>
      <c r="D503" s="457"/>
      <c r="E503" s="458" t="s">
        <v>576</v>
      </c>
      <c r="F503" s="459"/>
      <c r="G503" s="459"/>
      <c r="H503" s="459"/>
      <c r="I503" s="459"/>
      <c r="J503" s="456">
        <v>44330</v>
      </c>
      <c r="K503" s="459">
        <v>0</v>
      </c>
      <c r="L503" s="459">
        <v>3870069</v>
      </c>
      <c r="M503" s="459">
        <f t="shared" si="34"/>
        <v>3870069</v>
      </c>
      <c r="N503" s="461"/>
      <c r="O503" s="462"/>
      <c r="P503" s="462"/>
    </row>
    <row r="504" spans="2:16">
      <c r="B504" s="455" t="s">
        <v>583</v>
      </c>
      <c r="C504" s="456"/>
      <c r="D504" s="457"/>
      <c r="E504" s="458" t="s">
        <v>576</v>
      </c>
      <c r="F504" s="459"/>
      <c r="G504" s="459"/>
      <c r="H504" s="459"/>
      <c r="I504" s="459"/>
      <c r="J504" s="456">
        <v>44330</v>
      </c>
      <c r="K504" s="459">
        <v>0</v>
      </c>
      <c r="L504" s="459">
        <v>38125</v>
      </c>
      <c r="M504" s="459">
        <f t="shared" si="34"/>
        <v>38125</v>
      </c>
      <c r="N504" s="461"/>
      <c r="O504" s="462"/>
      <c r="P504" s="462"/>
    </row>
    <row r="505" spans="2:16">
      <c r="B505" s="455" t="s">
        <v>585</v>
      </c>
      <c r="C505" s="456"/>
      <c r="D505" s="457"/>
      <c r="E505" s="458" t="s">
        <v>576</v>
      </c>
      <c r="F505" s="459"/>
      <c r="G505" s="459"/>
      <c r="H505" s="459"/>
      <c r="I505" s="459"/>
      <c r="J505" s="456">
        <v>44330</v>
      </c>
      <c r="K505" s="459">
        <v>0</v>
      </c>
      <c r="L505" s="459">
        <v>47847</v>
      </c>
      <c r="M505" s="459">
        <f t="shared" si="34"/>
        <v>47847</v>
      </c>
      <c r="N505" s="461"/>
      <c r="O505" s="462"/>
      <c r="P505" s="462"/>
    </row>
    <row r="506" spans="2:16">
      <c r="B506" s="455" t="s">
        <v>603</v>
      </c>
      <c r="C506" s="456"/>
      <c r="D506" s="457"/>
      <c r="E506" s="458" t="s">
        <v>576</v>
      </c>
      <c r="F506" s="459"/>
      <c r="G506" s="459"/>
      <c r="H506" s="459"/>
      <c r="I506" s="459"/>
      <c r="J506" s="456">
        <v>44330</v>
      </c>
      <c r="K506" s="459">
        <v>0</v>
      </c>
      <c r="L506" s="459">
        <v>114375</v>
      </c>
      <c r="M506" s="459">
        <f t="shared" si="34"/>
        <v>114375</v>
      </c>
      <c r="N506" s="461"/>
      <c r="O506" s="462"/>
      <c r="P506" s="462"/>
    </row>
    <row r="507" spans="2:16">
      <c r="B507" s="455" t="s">
        <v>575</v>
      </c>
      <c r="C507" s="456"/>
      <c r="D507" s="457"/>
      <c r="E507" s="458" t="s">
        <v>576</v>
      </c>
      <c r="F507" s="459"/>
      <c r="G507" s="459"/>
      <c r="H507" s="459"/>
      <c r="I507" s="459"/>
      <c r="J507" s="456">
        <v>44330</v>
      </c>
      <c r="K507" s="459">
        <v>0</v>
      </c>
      <c r="L507" s="459">
        <v>285156</v>
      </c>
      <c r="M507" s="459">
        <f t="shared" si="34"/>
        <v>285156</v>
      </c>
      <c r="N507" s="461"/>
      <c r="O507" s="462"/>
      <c r="P507" s="462"/>
    </row>
    <row r="508" spans="2:16">
      <c r="B508" s="455" t="s">
        <v>581</v>
      </c>
      <c r="C508" s="456"/>
      <c r="D508" s="457"/>
      <c r="E508" s="458" t="s">
        <v>576</v>
      </c>
      <c r="F508" s="459"/>
      <c r="G508" s="459"/>
      <c r="H508" s="459"/>
      <c r="I508" s="459"/>
      <c r="J508" s="456">
        <v>44330</v>
      </c>
      <c r="K508" s="459">
        <v>0</v>
      </c>
      <c r="L508" s="459">
        <v>95694</v>
      </c>
      <c r="M508" s="459">
        <f t="shared" si="34"/>
        <v>95694</v>
      </c>
      <c r="N508" s="461"/>
      <c r="O508" s="462"/>
      <c r="P508" s="462"/>
    </row>
    <row r="509" spans="2:16">
      <c r="B509" s="455" t="s">
        <v>575</v>
      </c>
      <c r="C509" s="456"/>
      <c r="D509" s="457"/>
      <c r="E509" s="458" t="s">
        <v>576</v>
      </c>
      <c r="F509" s="459"/>
      <c r="G509" s="459"/>
      <c r="H509" s="459"/>
      <c r="I509" s="459"/>
      <c r="J509" s="456">
        <v>44333</v>
      </c>
      <c r="K509" s="459">
        <v>0</v>
      </c>
      <c r="L509" s="459">
        <v>3065355</v>
      </c>
      <c r="M509" s="459">
        <f t="shared" si="34"/>
        <v>3065355</v>
      </c>
      <c r="N509" s="461"/>
      <c r="O509" s="462"/>
      <c r="P509" s="462"/>
    </row>
    <row r="510" spans="2:16">
      <c r="B510" s="455" t="s">
        <v>586</v>
      </c>
      <c r="C510" s="456"/>
      <c r="D510" s="457"/>
      <c r="E510" s="458" t="s">
        <v>576</v>
      </c>
      <c r="F510" s="459"/>
      <c r="G510" s="459"/>
      <c r="H510" s="459"/>
      <c r="I510" s="459"/>
      <c r="J510" s="456">
        <v>44333</v>
      </c>
      <c r="K510" s="459">
        <v>0</v>
      </c>
      <c r="L510" s="459">
        <v>180000</v>
      </c>
      <c r="M510" s="459">
        <f t="shared" si="34"/>
        <v>180000</v>
      </c>
      <c r="N510" s="461"/>
      <c r="O510" s="462"/>
      <c r="P510" s="462"/>
    </row>
    <row r="511" spans="2:16">
      <c r="B511" s="455" t="s">
        <v>580</v>
      </c>
      <c r="C511" s="456"/>
      <c r="D511" s="457"/>
      <c r="E511" s="458" t="s">
        <v>576</v>
      </c>
      <c r="F511" s="459"/>
      <c r="G511" s="459"/>
      <c r="H511" s="459"/>
      <c r="I511" s="459"/>
      <c r="J511" s="456">
        <v>44333</v>
      </c>
      <c r="K511" s="459">
        <v>0</v>
      </c>
      <c r="L511" s="459">
        <v>4036095</v>
      </c>
      <c r="M511" s="459">
        <f t="shared" si="34"/>
        <v>4036095</v>
      </c>
      <c r="N511" s="461"/>
      <c r="O511" s="462"/>
      <c r="P511" s="462"/>
    </row>
    <row r="512" spans="2:16">
      <c r="B512" s="455" t="s">
        <v>582</v>
      </c>
      <c r="C512" s="456"/>
      <c r="D512" s="457"/>
      <c r="E512" s="458" t="s">
        <v>576</v>
      </c>
      <c r="F512" s="459"/>
      <c r="G512" s="459"/>
      <c r="H512" s="459"/>
      <c r="I512" s="459"/>
      <c r="J512" s="456">
        <v>44333</v>
      </c>
      <c r="K512" s="459">
        <v>0</v>
      </c>
      <c r="L512" s="459">
        <v>175000</v>
      </c>
      <c r="M512" s="459">
        <f t="shared" si="34"/>
        <v>175000</v>
      </c>
      <c r="N512" s="461"/>
      <c r="O512" s="462"/>
      <c r="P512" s="462"/>
    </row>
    <row r="513" spans="2:16">
      <c r="B513" s="455" t="s">
        <v>577</v>
      </c>
      <c r="C513" s="456"/>
      <c r="D513" s="457"/>
      <c r="E513" s="458" t="s">
        <v>576</v>
      </c>
      <c r="F513" s="459"/>
      <c r="G513" s="459"/>
      <c r="H513" s="459"/>
      <c r="I513" s="459"/>
      <c r="J513" s="456">
        <v>44333</v>
      </c>
      <c r="K513" s="459">
        <v>0</v>
      </c>
      <c r="L513" s="459">
        <v>4432553</v>
      </c>
      <c r="M513" s="459">
        <f t="shared" si="34"/>
        <v>4432553</v>
      </c>
      <c r="N513" s="461"/>
      <c r="O513" s="462"/>
      <c r="P513" s="462"/>
    </row>
    <row r="514" spans="2:16">
      <c r="B514" s="455" t="s">
        <v>577</v>
      </c>
      <c r="C514" s="456"/>
      <c r="D514" s="457"/>
      <c r="E514" s="458" t="s">
        <v>576</v>
      </c>
      <c r="F514" s="459"/>
      <c r="G514" s="459"/>
      <c r="H514" s="459"/>
      <c r="I514" s="459"/>
      <c r="J514" s="456">
        <v>44334</v>
      </c>
      <c r="K514" s="459">
        <v>0</v>
      </c>
      <c r="L514" s="459">
        <v>5785013</v>
      </c>
      <c r="M514" s="459">
        <f t="shared" si="34"/>
        <v>5785013</v>
      </c>
      <c r="N514" s="461"/>
      <c r="O514" s="462"/>
      <c r="P514" s="462"/>
    </row>
    <row r="515" spans="2:16">
      <c r="B515" s="455" t="s">
        <v>575</v>
      </c>
      <c r="C515" s="456"/>
      <c r="D515" s="457"/>
      <c r="E515" s="458" t="s">
        <v>576</v>
      </c>
      <c r="F515" s="459"/>
      <c r="G515" s="459"/>
      <c r="H515" s="459"/>
      <c r="I515" s="459"/>
      <c r="J515" s="456">
        <v>44334</v>
      </c>
      <c r="K515" s="459">
        <v>0</v>
      </c>
      <c r="L515" s="459">
        <v>1508395</v>
      </c>
      <c r="M515" s="459">
        <f t="shared" si="34"/>
        <v>1508395</v>
      </c>
      <c r="N515" s="461"/>
      <c r="O515" s="462"/>
      <c r="P515" s="462"/>
    </row>
    <row r="516" spans="2:16">
      <c r="B516" s="455" t="s">
        <v>580</v>
      </c>
      <c r="C516" s="456"/>
      <c r="D516" s="457"/>
      <c r="E516" s="458" t="s">
        <v>576</v>
      </c>
      <c r="F516" s="459"/>
      <c r="G516" s="459"/>
      <c r="H516" s="459"/>
      <c r="I516" s="459"/>
      <c r="J516" s="456">
        <v>44334</v>
      </c>
      <c r="K516" s="459">
        <v>0</v>
      </c>
      <c r="L516" s="459">
        <v>2503993</v>
      </c>
      <c r="M516" s="459">
        <f t="shared" si="34"/>
        <v>2503993</v>
      </c>
      <c r="N516" s="461"/>
      <c r="O516" s="462"/>
      <c r="P516" s="462"/>
    </row>
    <row r="517" spans="2:16">
      <c r="B517" s="455" t="s">
        <v>583</v>
      </c>
      <c r="C517" s="456"/>
      <c r="D517" s="457"/>
      <c r="E517" s="458" t="s">
        <v>576</v>
      </c>
      <c r="F517" s="459"/>
      <c r="G517" s="459"/>
      <c r="H517" s="459"/>
      <c r="I517" s="459"/>
      <c r="J517" s="456">
        <v>44336</v>
      </c>
      <c r="K517" s="459">
        <v>0</v>
      </c>
      <c r="L517" s="459">
        <v>61250</v>
      </c>
      <c r="M517" s="459">
        <f t="shared" si="34"/>
        <v>61250</v>
      </c>
      <c r="N517" s="461"/>
      <c r="O517" s="462"/>
      <c r="P517" s="462"/>
    </row>
    <row r="518" spans="2:16">
      <c r="B518" s="455" t="s">
        <v>582</v>
      </c>
      <c r="C518" s="456"/>
      <c r="D518" s="457"/>
      <c r="E518" s="458" t="s">
        <v>576</v>
      </c>
      <c r="F518" s="459"/>
      <c r="G518" s="459"/>
      <c r="H518" s="459"/>
      <c r="I518" s="459"/>
      <c r="J518" s="456">
        <v>44336</v>
      </c>
      <c r="K518" s="459">
        <v>0</v>
      </c>
      <c r="L518" s="459">
        <v>77</v>
      </c>
      <c r="M518" s="459">
        <f t="shared" si="34"/>
        <v>77</v>
      </c>
      <c r="N518" s="461"/>
      <c r="O518" s="462"/>
      <c r="P518" s="462"/>
    </row>
    <row r="519" spans="2:16">
      <c r="B519" s="455" t="s">
        <v>582</v>
      </c>
      <c r="C519" s="456"/>
      <c r="D519" s="457"/>
      <c r="E519" s="458" t="s">
        <v>576</v>
      </c>
      <c r="F519" s="459"/>
      <c r="G519" s="459"/>
      <c r="H519" s="459"/>
      <c r="I519" s="459"/>
      <c r="J519" s="456">
        <v>44336</v>
      </c>
      <c r="K519" s="459">
        <v>0</v>
      </c>
      <c r="L519" s="459">
        <v>6125</v>
      </c>
      <c r="M519" s="459">
        <f t="shared" si="34"/>
        <v>6125</v>
      </c>
      <c r="N519" s="461"/>
      <c r="O519" s="462"/>
      <c r="P519" s="462"/>
    </row>
    <row r="520" spans="2:16">
      <c r="B520" s="455" t="s">
        <v>585</v>
      </c>
      <c r="C520" s="456"/>
      <c r="D520" s="457"/>
      <c r="E520" s="458" t="s">
        <v>576</v>
      </c>
      <c r="F520" s="459"/>
      <c r="G520" s="459"/>
      <c r="H520" s="459"/>
      <c r="I520" s="459"/>
      <c r="J520" s="456">
        <v>44336</v>
      </c>
      <c r="K520" s="459">
        <v>0</v>
      </c>
      <c r="L520" s="459">
        <v>3592833</v>
      </c>
      <c r="M520" s="459">
        <f t="shared" si="34"/>
        <v>3592833</v>
      </c>
      <c r="N520" s="461"/>
      <c r="O520" s="462"/>
      <c r="P520" s="462"/>
    </row>
    <row r="521" spans="2:16">
      <c r="B521" s="455" t="s">
        <v>578</v>
      </c>
      <c r="C521" s="456"/>
      <c r="D521" s="457"/>
      <c r="E521" s="458" t="s">
        <v>576</v>
      </c>
      <c r="F521" s="459"/>
      <c r="G521" s="459"/>
      <c r="H521" s="459"/>
      <c r="I521" s="459"/>
      <c r="J521" s="456">
        <v>44336</v>
      </c>
      <c r="K521" s="459">
        <v>0</v>
      </c>
      <c r="L521" s="459">
        <v>164318</v>
      </c>
      <c r="M521" s="459">
        <f t="shared" si="34"/>
        <v>164318</v>
      </c>
      <c r="N521" s="461"/>
      <c r="O521" s="462"/>
      <c r="P521" s="462"/>
    </row>
    <row r="522" spans="2:16">
      <c r="B522" s="455" t="s">
        <v>577</v>
      </c>
      <c r="C522" s="456"/>
      <c r="D522" s="457"/>
      <c r="E522" s="458" t="s">
        <v>576</v>
      </c>
      <c r="F522" s="459"/>
      <c r="G522" s="459"/>
      <c r="H522" s="459"/>
      <c r="I522" s="459"/>
      <c r="J522" s="456">
        <v>44336</v>
      </c>
      <c r="K522" s="459">
        <v>0</v>
      </c>
      <c r="L522" s="459">
        <v>3592833</v>
      </c>
      <c r="M522" s="459">
        <f t="shared" ref="M522:M541" si="35">+K522+L522</f>
        <v>3592833</v>
      </c>
      <c r="N522" s="461"/>
      <c r="O522" s="462"/>
      <c r="P522" s="462"/>
    </row>
    <row r="523" spans="2:16">
      <c r="B523" s="455" t="s">
        <v>580</v>
      </c>
      <c r="C523" s="456"/>
      <c r="D523" s="457"/>
      <c r="E523" s="458" t="s">
        <v>576</v>
      </c>
      <c r="F523" s="459"/>
      <c r="G523" s="459"/>
      <c r="H523" s="459"/>
      <c r="I523" s="459"/>
      <c r="J523" s="456">
        <v>44336</v>
      </c>
      <c r="K523" s="459">
        <v>0</v>
      </c>
      <c r="L523" s="459">
        <v>388432</v>
      </c>
      <c r="M523" s="459">
        <f t="shared" si="35"/>
        <v>388432</v>
      </c>
      <c r="N523" s="461"/>
      <c r="O523" s="462"/>
      <c r="P523" s="462"/>
    </row>
    <row r="524" spans="2:16">
      <c r="B524" s="455" t="s">
        <v>575</v>
      </c>
      <c r="C524" s="456"/>
      <c r="D524" s="457"/>
      <c r="E524" s="458" t="s">
        <v>576</v>
      </c>
      <c r="F524" s="459"/>
      <c r="G524" s="459"/>
      <c r="H524" s="459"/>
      <c r="I524" s="459"/>
      <c r="J524" s="456">
        <v>44336</v>
      </c>
      <c r="K524" s="459">
        <v>0</v>
      </c>
      <c r="L524" s="459">
        <v>224083</v>
      </c>
      <c r="M524" s="459">
        <f t="shared" si="35"/>
        <v>224083</v>
      </c>
      <c r="N524" s="461"/>
      <c r="O524" s="462"/>
      <c r="P524" s="462"/>
    </row>
    <row r="525" spans="2:16">
      <c r="B525" s="455" t="s">
        <v>577</v>
      </c>
      <c r="C525" s="456"/>
      <c r="D525" s="457"/>
      <c r="E525" s="458" t="s">
        <v>576</v>
      </c>
      <c r="F525" s="459"/>
      <c r="G525" s="459"/>
      <c r="H525" s="459"/>
      <c r="I525" s="459"/>
      <c r="J525" s="456">
        <v>44340</v>
      </c>
      <c r="K525" s="459">
        <v>0</v>
      </c>
      <c r="L525" s="459">
        <v>6609375</v>
      </c>
      <c r="M525" s="459">
        <f t="shared" si="35"/>
        <v>6609375</v>
      </c>
      <c r="N525" s="461"/>
      <c r="O525" s="462"/>
      <c r="P525" s="462"/>
    </row>
    <row r="526" spans="2:16">
      <c r="B526" s="455" t="s">
        <v>575</v>
      </c>
      <c r="C526" s="456"/>
      <c r="D526" s="457"/>
      <c r="E526" s="458" t="s">
        <v>576</v>
      </c>
      <c r="F526" s="459"/>
      <c r="G526" s="459"/>
      <c r="H526" s="459"/>
      <c r="I526" s="459"/>
      <c r="J526" s="456">
        <v>44340</v>
      </c>
      <c r="K526" s="459">
        <v>0</v>
      </c>
      <c r="L526" s="459">
        <v>371064</v>
      </c>
      <c r="M526" s="459">
        <f t="shared" si="35"/>
        <v>371064</v>
      </c>
      <c r="N526" s="461"/>
      <c r="O526" s="462"/>
      <c r="P526" s="462"/>
    </row>
    <row r="527" spans="2:16">
      <c r="B527" s="455" t="s">
        <v>577</v>
      </c>
      <c r="C527" s="456"/>
      <c r="D527" s="457"/>
      <c r="E527" s="458" t="s">
        <v>576</v>
      </c>
      <c r="F527" s="459"/>
      <c r="G527" s="459"/>
      <c r="H527" s="459"/>
      <c r="I527" s="459"/>
      <c r="J527" s="456">
        <v>44340</v>
      </c>
      <c r="K527" s="459">
        <v>0</v>
      </c>
      <c r="L527" s="459">
        <v>3706091</v>
      </c>
      <c r="M527" s="459">
        <f t="shared" si="35"/>
        <v>3706091</v>
      </c>
      <c r="N527" s="461"/>
      <c r="O527" s="462"/>
      <c r="P527" s="462"/>
    </row>
    <row r="528" spans="2:16">
      <c r="B528" s="455" t="s">
        <v>577</v>
      </c>
      <c r="C528" s="456"/>
      <c r="D528" s="457"/>
      <c r="E528" s="458" t="s">
        <v>576</v>
      </c>
      <c r="F528" s="459"/>
      <c r="G528" s="459"/>
      <c r="H528" s="459"/>
      <c r="I528" s="459"/>
      <c r="J528" s="456">
        <v>44340</v>
      </c>
      <c r="K528" s="459">
        <v>0</v>
      </c>
      <c r="L528" s="459">
        <v>9153298</v>
      </c>
      <c r="M528" s="459">
        <f t="shared" si="35"/>
        <v>9153298</v>
      </c>
      <c r="N528" s="461"/>
      <c r="O528" s="462"/>
      <c r="P528" s="462"/>
    </row>
    <row r="529" spans="2:16">
      <c r="B529" s="455" t="s">
        <v>575</v>
      </c>
      <c r="C529" s="456"/>
      <c r="D529" s="457"/>
      <c r="E529" s="458" t="s">
        <v>576</v>
      </c>
      <c r="F529" s="459"/>
      <c r="G529" s="459"/>
      <c r="H529" s="459"/>
      <c r="I529" s="459"/>
      <c r="J529" s="456">
        <v>44340</v>
      </c>
      <c r="K529" s="459">
        <v>0</v>
      </c>
      <c r="L529" s="459">
        <v>2826671</v>
      </c>
      <c r="M529" s="459">
        <f t="shared" si="35"/>
        <v>2826671</v>
      </c>
      <c r="N529" s="461"/>
      <c r="O529" s="462"/>
      <c r="P529" s="462"/>
    </row>
    <row r="530" spans="2:16">
      <c r="B530" s="455" t="s">
        <v>582</v>
      </c>
      <c r="C530" s="456"/>
      <c r="D530" s="457"/>
      <c r="E530" s="458" t="s">
        <v>576</v>
      </c>
      <c r="F530" s="459"/>
      <c r="G530" s="459"/>
      <c r="H530" s="459"/>
      <c r="I530" s="459"/>
      <c r="J530" s="456">
        <v>44340</v>
      </c>
      <c r="K530" s="459">
        <v>0</v>
      </c>
      <c r="L530" s="459">
        <v>140625</v>
      </c>
      <c r="M530" s="459">
        <f t="shared" si="35"/>
        <v>140625</v>
      </c>
      <c r="N530" s="461"/>
      <c r="O530" s="462"/>
      <c r="P530" s="462"/>
    </row>
    <row r="531" spans="2:16">
      <c r="B531" s="455" t="s">
        <v>582</v>
      </c>
      <c r="C531" s="456"/>
      <c r="D531" s="457"/>
      <c r="E531" s="458" t="s">
        <v>576</v>
      </c>
      <c r="F531" s="459"/>
      <c r="G531" s="459"/>
      <c r="H531" s="459"/>
      <c r="I531" s="459"/>
      <c r="J531" s="456">
        <v>44340</v>
      </c>
      <c r="K531" s="459">
        <v>0</v>
      </c>
      <c r="L531" s="459">
        <v>287500</v>
      </c>
      <c r="M531" s="459">
        <f t="shared" si="35"/>
        <v>287500</v>
      </c>
      <c r="N531" s="461"/>
      <c r="O531" s="462"/>
      <c r="P531" s="462"/>
    </row>
    <row r="532" spans="2:16">
      <c r="B532" s="455" t="s">
        <v>580</v>
      </c>
      <c r="C532" s="456"/>
      <c r="D532" s="457"/>
      <c r="E532" s="458" t="s">
        <v>576</v>
      </c>
      <c r="F532" s="459"/>
      <c r="G532" s="459"/>
      <c r="H532" s="459"/>
      <c r="I532" s="459"/>
      <c r="J532" s="456">
        <v>44342</v>
      </c>
      <c r="K532" s="459">
        <v>0</v>
      </c>
      <c r="L532" s="459">
        <v>6562509</v>
      </c>
      <c r="M532" s="459">
        <f t="shared" si="35"/>
        <v>6562509</v>
      </c>
      <c r="N532" s="461"/>
      <c r="O532" s="462"/>
      <c r="P532" s="462"/>
    </row>
    <row r="533" spans="2:16">
      <c r="B533" s="455" t="s">
        <v>577</v>
      </c>
      <c r="C533" s="456"/>
      <c r="D533" s="457"/>
      <c r="E533" s="458" t="s">
        <v>576</v>
      </c>
      <c r="F533" s="459"/>
      <c r="G533" s="459"/>
      <c r="H533" s="459"/>
      <c r="I533" s="459"/>
      <c r="J533" s="456">
        <v>44344</v>
      </c>
      <c r="K533" s="459">
        <v>0</v>
      </c>
      <c r="L533" s="459">
        <v>4505552</v>
      </c>
      <c r="M533" s="459">
        <f t="shared" si="35"/>
        <v>4505552</v>
      </c>
      <c r="N533" s="461"/>
      <c r="O533" s="462"/>
      <c r="P533" s="462"/>
    </row>
    <row r="534" spans="2:16">
      <c r="B534" s="455" t="s">
        <v>583</v>
      </c>
      <c r="C534" s="456"/>
      <c r="D534" s="457"/>
      <c r="E534" s="458" t="s">
        <v>576</v>
      </c>
      <c r="F534" s="459"/>
      <c r="G534" s="459"/>
      <c r="H534" s="459"/>
      <c r="I534" s="459"/>
      <c r="J534" s="456">
        <v>44344</v>
      </c>
      <c r="K534" s="459">
        <v>0</v>
      </c>
      <c r="L534" s="459">
        <v>71094</v>
      </c>
      <c r="M534" s="459">
        <f t="shared" si="35"/>
        <v>71094</v>
      </c>
      <c r="N534" s="461"/>
      <c r="O534" s="462"/>
      <c r="P534" s="462"/>
    </row>
    <row r="535" spans="2:16">
      <c r="B535" s="455" t="s">
        <v>582</v>
      </c>
      <c r="C535" s="456"/>
      <c r="D535" s="457"/>
      <c r="E535" s="458" t="s">
        <v>576</v>
      </c>
      <c r="F535" s="459"/>
      <c r="G535" s="459"/>
      <c r="H535" s="459"/>
      <c r="I535" s="459"/>
      <c r="J535" s="456">
        <v>44344</v>
      </c>
      <c r="K535" s="459">
        <v>0</v>
      </c>
      <c r="L535" s="459">
        <v>71094</v>
      </c>
      <c r="M535" s="459">
        <f t="shared" si="35"/>
        <v>71094</v>
      </c>
      <c r="N535" s="461"/>
      <c r="O535" s="462"/>
      <c r="P535" s="462"/>
    </row>
    <row r="536" spans="2:16">
      <c r="B536" s="455" t="s">
        <v>583</v>
      </c>
      <c r="C536" s="456"/>
      <c r="D536" s="457"/>
      <c r="E536" s="458" t="s">
        <v>576</v>
      </c>
      <c r="F536" s="459"/>
      <c r="G536" s="459"/>
      <c r="H536" s="459"/>
      <c r="I536" s="459"/>
      <c r="J536" s="456">
        <v>44347</v>
      </c>
      <c r="K536" s="459">
        <v>0</v>
      </c>
      <c r="L536" s="459">
        <v>46250</v>
      </c>
      <c r="M536" s="459">
        <f t="shared" si="35"/>
        <v>46250</v>
      </c>
      <c r="N536" s="461"/>
      <c r="O536" s="462"/>
      <c r="P536" s="462"/>
    </row>
    <row r="537" spans="2:16">
      <c r="B537" s="455" t="s">
        <v>575</v>
      </c>
      <c r="C537" s="456"/>
      <c r="D537" s="457"/>
      <c r="E537" s="458" t="s">
        <v>576</v>
      </c>
      <c r="F537" s="459"/>
      <c r="G537" s="459"/>
      <c r="H537" s="459"/>
      <c r="I537" s="459"/>
      <c r="J537" s="456">
        <v>44347</v>
      </c>
      <c r="K537" s="459">
        <v>0</v>
      </c>
      <c r="L537" s="459">
        <v>1487671</v>
      </c>
      <c r="M537" s="459">
        <f t="shared" si="35"/>
        <v>1487671</v>
      </c>
      <c r="N537" s="461"/>
      <c r="O537" s="462"/>
      <c r="P537" s="462"/>
    </row>
    <row r="538" spans="2:16">
      <c r="B538" s="455" t="s">
        <v>575</v>
      </c>
      <c r="C538" s="456"/>
      <c r="D538" s="457"/>
      <c r="E538" s="458" t="s">
        <v>576</v>
      </c>
      <c r="F538" s="459"/>
      <c r="G538" s="459"/>
      <c r="H538" s="459"/>
      <c r="I538" s="459"/>
      <c r="J538" s="456">
        <v>44347</v>
      </c>
      <c r="K538" s="466">
        <v>50000000</v>
      </c>
      <c r="L538" s="466">
        <v>0</v>
      </c>
      <c r="M538" s="466">
        <f t="shared" si="35"/>
        <v>50000000</v>
      </c>
      <c r="N538" s="461"/>
      <c r="O538" s="462"/>
      <c r="P538" s="462"/>
    </row>
    <row r="539" spans="2:16">
      <c r="B539" s="455" t="s">
        <v>577</v>
      </c>
      <c r="C539" s="456"/>
      <c r="D539" s="457"/>
      <c r="E539" s="458" t="s">
        <v>576</v>
      </c>
      <c r="F539" s="459"/>
      <c r="G539" s="459"/>
      <c r="H539" s="459"/>
      <c r="I539" s="459"/>
      <c r="J539" s="456">
        <v>44347</v>
      </c>
      <c r="K539" s="459">
        <v>0</v>
      </c>
      <c r="L539" s="459">
        <v>1478058</v>
      </c>
      <c r="M539" s="459">
        <f t="shared" si="35"/>
        <v>1478058</v>
      </c>
      <c r="N539" s="461"/>
      <c r="O539" s="462"/>
      <c r="P539" s="462"/>
    </row>
    <row r="540" spans="2:16">
      <c r="B540" s="455" t="s">
        <v>585</v>
      </c>
      <c r="C540" s="456"/>
      <c r="D540" s="457"/>
      <c r="E540" s="458" t="s">
        <v>576</v>
      </c>
      <c r="F540" s="459"/>
      <c r="G540" s="459"/>
      <c r="H540" s="459"/>
      <c r="I540" s="459"/>
      <c r="J540" s="456">
        <v>44347</v>
      </c>
      <c r="K540" s="459">
        <v>0</v>
      </c>
      <c r="L540" s="459">
        <v>6088281</v>
      </c>
      <c r="M540" s="459">
        <f t="shared" si="35"/>
        <v>6088281</v>
      </c>
      <c r="N540" s="461"/>
      <c r="O540" s="462"/>
      <c r="P540" s="462"/>
    </row>
    <row r="541" spans="2:16">
      <c r="B541" s="455" t="s">
        <v>580</v>
      </c>
      <c r="C541" s="456"/>
      <c r="D541" s="457"/>
      <c r="E541" s="458" t="s">
        <v>576</v>
      </c>
      <c r="F541" s="459"/>
      <c r="G541" s="459"/>
      <c r="H541" s="459"/>
      <c r="I541" s="459"/>
      <c r="J541" s="456">
        <v>44347</v>
      </c>
      <c r="K541" s="459">
        <v>0</v>
      </c>
      <c r="L541" s="459">
        <v>1478058</v>
      </c>
      <c r="M541" s="459">
        <f t="shared" si="35"/>
        <v>1478058</v>
      </c>
      <c r="N541" s="461"/>
      <c r="O541" s="462"/>
      <c r="P541" s="462"/>
    </row>
    <row r="542" spans="2:16">
      <c r="B542" s="467" t="s">
        <v>588</v>
      </c>
      <c r="C542" s="468"/>
      <c r="D542" s="469"/>
      <c r="E542" s="470"/>
      <c r="F542" s="459"/>
      <c r="G542" s="471">
        <f>(G608-F608)*1000000</f>
        <v>0</v>
      </c>
      <c r="H542" s="465"/>
      <c r="I542" s="465"/>
      <c r="J542" s="472"/>
      <c r="K542" s="495"/>
      <c r="L542" s="495"/>
      <c r="M542" s="473"/>
      <c r="N542" s="461"/>
      <c r="O542" s="462"/>
      <c r="P542" s="462"/>
    </row>
    <row r="543" spans="2:16">
      <c r="B543" s="467" t="s">
        <v>589</v>
      </c>
      <c r="C543" s="468"/>
      <c r="D543" s="469"/>
      <c r="E543" s="470" t="s">
        <v>590</v>
      </c>
      <c r="F543" s="459">
        <f>SUBTOTAL(9,G543:H543)</f>
        <v>0</v>
      </c>
      <c r="G543" s="471"/>
      <c r="H543" s="465"/>
      <c r="I543" s="465"/>
      <c r="J543" s="472"/>
      <c r="K543" s="495"/>
      <c r="L543" s="495"/>
      <c r="M543" s="473"/>
      <c r="N543" s="461"/>
      <c r="O543" s="462"/>
      <c r="P543" s="462"/>
    </row>
    <row r="544" spans="2:16">
      <c r="B544" s="467" t="s">
        <v>591</v>
      </c>
      <c r="C544" s="468"/>
      <c r="D544" s="469"/>
      <c r="E544" s="470" t="s">
        <v>592</v>
      </c>
      <c r="F544" s="459">
        <f t="shared" ref="F544" si="36">SUBTOTAL(9,G544:H544)</f>
        <v>0</v>
      </c>
      <c r="G544" s="471"/>
      <c r="H544" s="465"/>
      <c r="I544" s="465"/>
      <c r="J544" s="472"/>
      <c r="K544" s="495"/>
      <c r="L544" s="495"/>
      <c r="M544" s="473"/>
      <c r="N544" s="461"/>
      <c r="O544" s="462"/>
      <c r="P544" s="462"/>
    </row>
    <row r="545" spans="2:16" s="501" customFormat="1" ht="12.5">
      <c r="B545" s="496" t="s">
        <v>593</v>
      </c>
      <c r="C545" s="497"/>
      <c r="D545" s="497"/>
      <c r="E545" s="498"/>
      <c r="F545" s="499">
        <f>SUM(F444:F544)</f>
        <v>1704000000</v>
      </c>
      <c r="G545" s="499">
        <f t="shared" ref="G545:I545" si="37">SUM(G444:G544)</f>
        <v>1701524752.4752474</v>
      </c>
      <c r="H545" s="499">
        <f t="shared" si="37"/>
        <v>2475247.5247524679</v>
      </c>
      <c r="I545" s="499">
        <f t="shared" si="37"/>
        <v>1704000000</v>
      </c>
      <c r="J545" s="499"/>
      <c r="K545" s="499">
        <f>SUM(K444:K544)</f>
        <v>466100000</v>
      </c>
      <c r="L545" s="499">
        <f t="shared" ref="L545:M545" si="38">SUM(L444:L544)</f>
        <v>179748850</v>
      </c>
      <c r="M545" s="499">
        <f t="shared" si="38"/>
        <v>645848850</v>
      </c>
      <c r="N545" s="500">
        <f>+G545-K545</f>
        <v>1235424752.4752474</v>
      </c>
      <c r="O545" s="500">
        <f>+(H598-G598)*1000000</f>
        <v>729943607.72100484</v>
      </c>
      <c r="P545" s="500">
        <f>N545-O545</f>
        <v>505481144.75424254</v>
      </c>
    </row>
    <row r="546" spans="2:16" ht="12.5">
      <c r="B546" s="455" t="s">
        <v>594</v>
      </c>
      <c r="C546" s="479">
        <v>44323</v>
      </c>
      <c r="D546" s="457">
        <v>360</v>
      </c>
      <c r="E546" s="459" t="s">
        <v>579</v>
      </c>
      <c r="F546" s="459">
        <f t="shared" ref="F546:F547" si="39">SUBTOTAL(9,G546:H546)</f>
        <v>250000000</v>
      </c>
      <c r="G546" s="459">
        <v>247524752.47524753</v>
      </c>
      <c r="H546" s="459">
        <v>2475247.5247524679</v>
      </c>
      <c r="I546" s="459">
        <f t="shared" ref="I546:I547" si="40">+G546+H546</f>
        <v>250000000</v>
      </c>
      <c r="J546" s="489"/>
      <c r="K546" s="490"/>
      <c r="L546" s="490"/>
      <c r="M546" s="490"/>
      <c r="N546" s="502"/>
      <c r="O546" s="503"/>
      <c r="P546" s="503"/>
    </row>
    <row r="547" spans="2:16" ht="12.5">
      <c r="B547" s="455" t="s">
        <v>594</v>
      </c>
      <c r="C547" s="479">
        <v>44329</v>
      </c>
      <c r="D547" s="457">
        <v>3600</v>
      </c>
      <c r="E547" s="459" t="s">
        <v>576</v>
      </c>
      <c r="F547" s="459">
        <f t="shared" si="39"/>
        <v>500000000</v>
      </c>
      <c r="G547" s="459">
        <v>500000000</v>
      </c>
      <c r="H547" s="459">
        <v>0</v>
      </c>
      <c r="I547" s="459">
        <f t="shared" si="40"/>
        <v>500000000</v>
      </c>
      <c r="J547" s="489"/>
      <c r="K547" s="490"/>
      <c r="L547" s="490"/>
      <c r="M547" s="490"/>
      <c r="N547" s="502"/>
      <c r="O547" s="503"/>
      <c r="P547" s="503"/>
    </row>
    <row r="548" spans="2:16" ht="12.5">
      <c r="B548" s="455" t="s">
        <v>594</v>
      </c>
      <c r="C548" s="493"/>
      <c r="D548" s="493"/>
      <c r="E548" s="459" t="s">
        <v>576</v>
      </c>
      <c r="F548" s="489"/>
      <c r="G548" s="489"/>
      <c r="H548" s="489"/>
      <c r="I548" s="489"/>
      <c r="J548" s="456">
        <v>44319</v>
      </c>
      <c r="K548" s="459">
        <v>0</v>
      </c>
      <c r="L548" s="459">
        <v>8248028</v>
      </c>
      <c r="M548" s="459">
        <f t="shared" ref="M548:M565" si="41">+K548+L548</f>
        <v>8248028</v>
      </c>
      <c r="N548" s="502"/>
      <c r="O548" s="503"/>
      <c r="P548" s="503"/>
    </row>
    <row r="549" spans="2:16" ht="12.5">
      <c r="B549" s="455" t="s">
        <v>594</v>
      </c>
      <c r="C549" s="493"/>
      <c r="D549" s="493"/>
      <c r="E549" s="459" t="s">
        <v>576</v>
      </c>
      <c r="F549" s="489"/>
      <c r="G549" s="489"/>
      <c r="H549" s="489"/>
      <c r="I549" s="489"/>
      <c r="J549" s="456">
        <v>44319</v>
      </c>
      <c r="K549" s="459">
        <v>0</v>
      </c>
      <c r="L549" s="459">
        <v>7036122</v>
      </c>
      <c r="M549" s="459">
        <f t="shared" si="41"/>
        <v>7036122</v>
      </c>
      <c r="N549" s="502"/>
      <c r="O549" s="503"/>
      <c r="P549" s="503"/>
    </row>
    <row r="550" spans="2:16" ht="12.5">
      <c r="B550" s="455" t="s">
        <v>594</v>
      </c>
      <c r="C550" s="493"/>
      <c r="D550" s="493"/>
      <c r="E550" s="459" t="s">
        <v>576</v>
      </c>
      <c r="F550" s="489"/>
      <c r="G550" s="489"/>
      <c r="H550" s="489"/>
      <c r="I550" s="489"/>
      <c r="J550" s="456">
        <v>44319</v>
      </c>
      <c r="K550" s="459">
        <v>0</v>
      </c>
      <c r="L550" s="459">
        <v>7098438</v>
      </c>
      <c r="M550" s="459">
        <f t="shared" si="41"/>
        <v>7098438</v>
      </c>
      <c r="N550" s="502"/>
      <c r="O550" s="503"/>
      <c r="P550" s="503"/>
    </row>
    <row r="551" spans="2:16" ht="12.5">
      <c r="B551" s="455" t="s">
        <v>594</v>
      </c>
      <c r="C551" s="493"/>
      <c r="D551" s="493"/>
      <c r="E551" s="459" t="s">
        <v>576</v>
      </c>
      <c r="F551" s="489"/>
      <c r="G551" s="489"/>
      <c r="H551" s="489"/>
      <c r="I551" s="489"/>
      <c r="J551" s="456">
        <v>44321</v>
      </c>
      <c r="K551" s="459">
        <v>0</v>
      </c>
      <c r="L551" s="459">
        <v>9562500</v>
      </c>
      <c r="M551" s="459">
        <f t="shared" si="41"/>
        <v>9562500</v>
      </c>
      <c r="N551" s="502"/>
      <c r="O551" s="503"/>
      <c r="P551" s="503"/>
    </row>
    <row r="552" spans="2:16" ht="12.5">
      <c r="B552" s="455" t="s">
        <v>594</v>
      </c>
      <c r="C552" s="493"/>
      <c r="D552" s="493"/>
      <c r="E552" s="459" t="s">
        <v>576</v>
      </c>
      <c r="F552" s="489"/>
      <c r="G552" s="489"/>
      <c r="H552" s="489"/>
      <c r="I552" s="489"/>
      <c r="J552" s="456">
        <v>44326</v>
      </c>
      <c r="K552" s="459">
        <v>0</v>
      </c>
      <c r="L552" s="459">
        <v>5296613</v>
      </c>
      <c r="M552" s="459">
        <f t="shared" si="41"/>
        <v>5296613</v>
      </c>
      <c r="N552" s="502"/>
      <c r="O552" s="503"/>
      <c r="P552" s="503"/>
    </row>
    <row r="553" spans="2:16" ht="12.5">
      <c r="B553" s="455" t="s">
        <v>594</v>
      </c>
      <c r="C553" s="493"/>
      <c r="D553" s="493"/>
      <c r="E553" s="459" t="s">
        <v>576</v>
      </c>
      <c r="F553" s="489"/>
      <c r="G553" s="489"/>
      <c r="H553" s="489"/>
      <c r="I553" s="489"/>
      <c r="J553" s="456">
        <v>44326</v>
      </c>
      <c r="K553" s="459">
        <v>0</v>
      </c>
      <c r="L553" s="459">
        <v>5797700</v>
      </c>
      <c r="M553" s="459">
        <f t="shared" si="41"/>
        <v>5797700</v>
      </c>
      <c r="N553" s="502"/>
      <c r="O553" s="503"/>
      <c r="P553" s="503"/>
    </row>
    <row r="554" spans="2:16" ht="12.5">
      <c r="B554" s="455" t="s">
        <v>594</v>
      </c>
      <c r="C554" s="493"/>
      <c r="D554" s="493"/>
      <c r="E554" s="459" t="s">
        <v>576</v>
      </c>
      <c r="F554" s="489"/>
      <c r="G554" s="489"/>
      <c r="H554" s="489"/>
      <c r="I554" s="489"/>
      <c r="J554" s="456">
        <v>44327</v>
      </c>
      <c r="K554" s="459">
        <v>0</v>
      </c>
      <c r="L554" s="459">
        <v>5349845</v>
      </c>
      <c r="M554" s="459">
        <f t="shared" si="41"/>
        <v>5349845</v>
      </c>
      <c r="N554" s="502"/>
      <c r="O554" s="503"/>
      <c r="P554" s="503"/>
    </row>
    <row r="555" spans="2:16" ht="12.5">
      <c r="B555" s="455" t="s">
        <v>594</v>
      </c>
      <c r="C555" s="493"/>
      <c r="D555" s="493"/>
      <c r="E555" s="459" t="s">
        <v>576</v>
      </c>
      <c r="F555" s="489"/>
      <c r="G555" s="489"/>
      <c r="H555" s="489"/>
      <c r="I555" s="489"/>
      <c r="J555" s="456">
        <v>44328</v>
      </c>
      <c r="K555" s="459">
        <v>0</v>
      </c>
      <c r="L555" s="459">
        <v>2455375</v>
      </c>
      <c r="M555" s="459">
        <f t="shared" si="41"/>
        <v>2455375</v>
      </c>
      <c r="N555" s="502"/>
      <c r="O555" s="503"/>
      <c r="P555" s="503"/>
    </row>
    <row r="556" spans="2:16" ht="12.5">
      <c r="B556" s="455" t="s">
        <v>594</v>
      </c>
      <c r="C556" s="493"/>
      <c r="D556" s="493"/>
      <c r="E556" s="459" t="s">
        <v>576</v>
      </c>
      <c r="F556" s="489"/>
      <c r="G556" s="489"/>
      <c r="H556" s="489"/>
      <c r="I556" s="489"/>
      <c r="J556" s="456">
        <v>44329</v>
      </c>
      <c r="K556" s="459">
        <v>0</v>
      </c>
      <c r="L556" s="459">
        <v>964104</v>
      </c>
      <c r="M556" s="459">
        <f t="shared" si="41"/>
        <v>964104</v>
      </c>
      <c r="N556" s="502"/>
      <c r="O556" s="503"/>
      <c r="P556" s="503"/>
    </row>
    <row r="557" spans="2:16" ht="12.5">
      <c r="B557" s="455" t="s">
        <v>594</v>
      </c>
      <c r="C557" s="493"/>
      <c r="D557" s="493"/>
      <c r="E557" s="459" t="s">
        <v>576</v>
      </c>
      <c r="F557" s="489"/>
      <c r="G557" s="489"/>
      <c r="H557" s="489"/>
      <c r="I557" s="489"/>
      <c r="J557" s="456">
        <v>44330</v>
      </c>
      <c r="K557" s="459">
        <v>0</v>
      </c>
      <c r="L557" s="459">
        <v>285194</v>
      </c>
      <c r="M557" s="459">
        <f t="shared" si="41"/>
        <v>285194</v>
      </c>
      <c r="N557" s="502"/>
      <c r="O557" s="503"/>
      <c r="P557" s="503"/>
    </row>
    <row r="558" spans="2:16" ht="12.5">
      <c r="B558" s="455" t="s">
        <v>594</v>
      </c>
      <c r="C558" s="493"/>
      <c r="D558" s="493"/>
      <c r="E558" s="459" t="s">
        <v>576</v>
      </c>
      <c r="F558" s="489"/>
      <c r="G558" s="489"/>
      <c r="H558" s="489"/>
      <c r="I558" s="489"/>
      <c r="J558" s="456">
        <v>44333</v>
      </c>
      <c r="K558" s="459">
        <v>0</v>
      </c>
      <c r="L558" s="459">
        <v>8648697</v>
      </c>
      <c r="M558" s="459">
        <f t="shared" si="41"/>
        <v>8648697</v>
      </c>
      <c r="N558" s="502"/>
      <c r="O558" s="503"/>
      <c r="P558" s="503"/>
    </row>
    <row r="559" spans="2:16" ht="12.5">
      <c r="B559" s="455" t="s">
        <v>594</v>
      </c>
      <c r="C559" s="493"/>
      <c r="D559" s="493"/>
      <c r="E559" s="459" t="s">
        <v>576</v>
      </c>
      <c r="F559" s="489"/>
      <c r="G559" s="489"/>
      <c r="H559" s="489"/>
      <c r="I559" s="489"/>
      <c r="J559" s="456">
        <v>44333</v>
      </c>
      <c r="K559" s="459">
        <v>0</v>
      </c>
      <c r="L559" s="459">
        <v>4036050</v>
      </c>
      <c r="M559" s="459">
        <f t="shared" si="41"/>
        <v>4036050</v>
      </c>
      <c r="N559" s="502"/>
      <c r="O559" s="503"/>
      <c r="P559" s="503"/>
    </row>
    <row r="560" spans="2:16" ht="12.5">
      <c r="B560" s="455" t="s">
        <v>594</v>
      </c>
      <c r="C560" s="493"/>
      <c r="D560" s="493"/>
      <c r="E560" s="459" t="s">
        <v>576</v>
      </c>
      <c r="F560" s="489"/>
      <c r="G560" s="489"/>
      <c r="H560" s="489"/>
      <c r="I560" s="489"/>
      <c r="J560" s="456">
        <v>44334</v>
      </c>
      <c r="K560" s="459">
        <v>0</v>
      </c>
      <c r="L560" s="459">
        <v>1251974</v>
      </c>
      <c r="M560" s="459">
        <f t="shared" si="41"/>
        <v>1251974</v>
      </c>
      <c r="N560" s="502"/>
      <c r="O560" s="503"/>
      <c r="P560" s="503"/>
    </row>
    <row r="561" spans="2:16" ht="12.5">
      <c r="B561" s="455" t="s">
        <v>594</v>
      </c>
      <c r="C561" s="493"/>
      <c r="D561" s="493"/>
      <c r="E561" s="459" t="s">
        <v>576</v>
      </c>
      <c r="F561" s="489"/>
      <c r="G561" s="489"/>
      <c r="H561" s="489"/>
      <c r="I561" s="489"/>
      <c r="J561" s="456">
        <v>44340</v>
      </c>
      <c r="K561" s="459">
        <v>0</v>
      </c>
      <c r="L561" s="459">
        <v>942238</v>
      </c>
      <c r="M561" s="459">
        <f t="shared" si="41"/>
        <v>942238</v>
      </c>
      <c r="N561" s="502"/>
      <c r="O561" s="503"/>
      <c r="P561" s="503"/>
    </row>
    <row r="562" spans="2:16" ht="12.5">
      <c r="B562" s="455" t="s">
        <v>594</v>
      </c>
      <c r="C562" s="493"/>
      <c r="D562" s="493"/>
      <c r="E562" s="459" t="s">
        <v>576</v>
      </c>
      <c r="F562" s="489"/>
      <c r="G562" s="489"/>
      <c r="H562" s="489"/>
      <c r="I562" s="489"/>
      <c r="J562" s="456">
        <v>44340</v>
      </c>
      <c r="K562" s="459">
        <v>0</v>
      </c>
      <c r="L562" s="459">
        <v>8181263</v>
      </c>
      <c r="M562" s="459">
        <f t="shared" si="41"/>
        <v>8181263</v>
      </c>
      <c r="N562" s="502"/>
      <c r="O562" s="503"/>
      <c r="P562" s="503"/>
    </row>
    <row r="563" spans="2:16" ht="12.5">
      <c r="B563" s="455" t="s">
        <v>594</v>
      </c>
      <c r="C563" s="493"/>
      <c r="D563" s="493"/>
      <c r="E563" s="459" t="s">
        <v>576</v>
      </c>
      <c r="F563" s="489"/>
      <c r="G563" s="489"/>
      <c r="H563" s="489"/>
      <c r="I563" s="489"/>
      <c r="J563" s="456">
        <v>44342</v>
      </c>
      <c r="K563" s="459">
        <v>0</v>
      </c>
      <c r="L563" s="459">
        <v>2624991</v>
      </c>
      <c r="M563" s="459">
        <f t="shared" si="41"/>
        <v>2624991</v>
      </c>
      <c r="N563" s="502"/>
      <c r="O563" s="503"/>
      <c r="P563" s="503"/>
    </row>
    <row r="564" spans="2:16" ht="12.5">
      <c r="B564" s="455" t="s">
        <v>594</v>
      </c>
      <c r="C564" s="493"/>
      <c r="D564" s="493"/>
      <c r="E564" s="459" t="s">
        <v>576</v>
      </c>
      <c r="F564" s="489"/>
      <c r="G564" s="489"/>
      <c r="H564" s="489"/>
      <c r="I564" s="489"/>
      <c r="J564" s="456">
        <v>44344</v>
      </c>
      <c r="K564" s="459">
        <v>0</v>
      </c>
      <c r="L564" s="459">
        <v>1039760</v>
      </c>
      <c r="M564" s="459">
        <f t="shared" si="41"/>
        <v>1039760</v>
      </c>
      <c r="N564" s="502"/>
      <c r="O564" s="503"/>
      <c r="P564" s="503"/>
    </row>
    <row r="565" spans="2:16" ht="12.5">
      <c r="B565" s="455" t="s">
        <v>594</v>
      </c>
      <c r="C565" s="493"/>
      <c r="D565" s="493"/>
      <c r="E565" s="459" t="s">
        <v>576</v>
      </c>
      <c r="F565" s="489"/>
      <c r="G565" s="489"/>
      <c r="H565" s="489"/>
      <c r="I565" s="489"/>
      <c r="J565" s="456">
        <v>44347</v>
      </c>
      <c r="K565" s="459">
        <v>0</v>
      </c>
      <c r="L565" s="459">
        <v>2448729</v>
      </c>
      <c r="M565" s="459">
        <f t="shared" si="41"/>
        <v>2448729</v>
      </c>
      <c r="N565" s="502"/>
      <c r="O565" s="503"/>
      <c r="P565" s="503"/>
    </row>
    <row r="566" spans="2:16" ht="12.5">
      <c r="B566" s="485" t="s">
        <v>595</v>
      </c>
      <c r="C566" s="486"/>
      <c r="D566" s="486"/>
      <c r="E566" s="487"/>
      <c r="F566" s="488">
        <f>SUM(F546:F565)</f>
        <v>750000000</v>
      </c>
      <c r="G566" s="488">
        <f>SUM(G546:G565)</f>
        <v>747524752.4752475</v>
      </c>
      <c r="H566" s="488">
        <f>SUM(H546:H565)</f>
        <v>2475247.5247524679</v>
      </c>
      <c r="I566" s="488">
        <f>SUM(I546:I565)</f>
        <v>750000000</v>
      </c>
      <c r="J566" s="488"/>
      <c r="K566" s="488">
        <f>SUM(K546:K565)</f>
        <v>0</v>
      </c>
      <c r="L566" s="488">
        <f>SUM(L546:L565)</f>
        <v>81267621</v>
      </c>
      <c r="M566" s="488">
        <f>SUM(M546:M565)</f>
        <v>81267621</v>
      </c>
      <c r="N566" s="478">
        <f>+G566-K566</f>
        <v>747524752.4752475</v>
      </c>
      <c r="O566" s="478"/>
      <c r="P566" s="478">
        <f>+N566-O566</f>
        <v>747524752.4752475</v>
      </c>
    </row>
    <row r="567" spans="2:16" ht="12.5">
      <c r="B567" s="467"/>
      <c r="C567" s="504"/>
      <c r="D567" s="504"/>
      <c r="E567" s="505"/>
      <c r="F567" s="506"/>
      <c r="G567" s="506"/>
      <c r="H567" s="506"/>
      <c r="I567" s="506"/>
      <c r="J567" s="506"/>
      <c r="K567" s="506"/>
      <c r="L567" s="506"/>
      <c r="M567" s="506"/>
      <c r="N567" s="506"/>
      <c r="O567" s="506"/>
      <c r="P567" s="506"/>
    </row>
    <row r="568" spans="2:16" ht="12.5">
      <c r="B568" s="467"/>
      <c r="C568" s="504"/>
      <c r="D568" s="504"/>
      <c r="E568" s="505"/>
      <c r="F568" s="506"/>
      <c r="G568" s="506"/>
      <c r="H568" s="506"/>
      <c r="I568" s="506"/>
      <c r="J568" s="506"/>
      <c r="K568" s="506"/>
      <c r="L568" s="506"/>
      <c r="M568" s="506"/>
      <c r="N568" s="506"/>
      <c r="O568" s="506"/>
      <c r="P568" s="506"/>
    </row>
    <row r="569" spans="2:16" ht="12.5">
      <c r="B569" s="504"/>
      <c r="C569" s="504"/>
      <c r="D569" s="504"/>
      <c r="E569" s="505"/>
      <c r="F569" s="506"/>
      <c r="G569" s="506"/>
      <c r="H569" s="506"/>
      <c r="I569" s="506"/>
      <c r="J569" s="506"/>
      <c r="K569" s="506"/>
      <c r="L569" s="506"/>
      <c r="M569" s="506"/>
      <c r="N569" s="506"/>
      <c r="O569" s="506"/>
      <c r="P569" s="506"/>
    </row>
    <row r="570" spans="2:16" ht="13">
      <c r="B570" s="504"/>
      <c r="C570" s="504"/>
      <c r="D570" s="504"/>
      <c r="E570" s="505"/>
      <c r="F570" s="506"/>
      <c r="G570" s="506"/>
      <c r="H570" s="506"/>
      <c r="I570" s="506"/>
      <c r="J570" s="506"/>
      <c r="K570" s="506"/>
      <c r="L570" s="506"/>
      <c r="M570" s="507" t="s">
        <v>593</v>
      </c>
      <c r="N570" s="508">
        <f>SUMIF($B$7:$B$566,M570,$N$7:$N$566)</f>
        <v>6235789236.2711477</v>
      </c>
      <c r="O570" s="508">
        <f>SUM(O7:O566)</f>
        <v>1687069021.8191171</v>
      </c>
      <c r="P570" s="508">
        <f>SUMIF($B$7:$B$566,M570,$P$7:$P$566)</f>
        <v>4548720214.4520302</v>
      </c>
    </row>
    <row r="571" spans="2:16" ht="12.5">
      <c r="B571" s="504"/>
      <c r="C571" s="504"/>
      <c r="D571" s="504"/>
      <c r="E571" s="505"/>
      <c r="F571" s="506"/>
      <c r="G571" s="506"/>
      <c r="H571" s="506"/>
      <c r="I571" s="506"/>
      <c r="J571" s="506"/>
      <c r="K571" s="506"/>
      <c r="L571" s="506"/>
      <c r="M571" s="509" t="s">
        <v>604</v>
      </c>
      <c r="N571" s="508"/>
      <c r="O571" s="508"/>
      <c r="P571" s="508"/>
    </row>
    <row r="572" spans="2:16" ht="12.5">
      <c r="B572" s="504"/>
      <c r="C572" s="504"/>
      <c r="D572" s="504"/>
      <c r="E572" s="505"/>
      <c r="F572" s="506"/>
      <c r="G572" s="506"/>
      <c r="H572" s="506"/>
      <c r="I572" s="506"/>
      <c r="J572" s="506"/>
      <c r="K572" s="506"/>
      <c r="L572" s="506"/>
      <c r="M572" s="509" t="s">
        <v>605</v>
      </c>
      <c r="N572" s="508"/>
      <c r="O572" s="508"/>
      <c r="P572" s="508"/>
    </row>
    <row r="573" spans="2:16" ht="13">
      <c r="B573" s="504"/>
      <c r="C573" s="504"/>
      <c r="D573" s="504"/>
      <c r="E573" s="505"/>
      <c r="F573" s="506"/>
      <c r="G573" s="506"/>
      <c r="H573" s="506"/>
      <c r="I573" s="506"/>
      <c r="J573" s="506"/>
      <c r="K573" s="506"/>
      <c r="L573" s="506"/>
      <c r="M573" s="507" t="s">
        <v>595</v>
      </c>
      <c r="N573" s="508">
        <f>SUMIF($B$7:$B$566,M573,$N$7:$N$566)</f>
        <v>3897168018.5769582</v>
      </c>
      <c r="O573" s="508"/>
      <c r="P573" s="508">
        <f>SUMIF($B$7:$B$566,M573,$P$7:$P$566)</f>
        <v>3897168018.5769582</v>
      </c>
    </row>
    <row r="574" spans="2:16" ht="12.5">
      <c r="B574" s="504"/>
      <c r="C574" s="504"/>
      <c r="D574" s="504"/>
      <c r="E574" s="505"/>
      <c r="F574" s="506"/>
      <c r="G574" s="506"/>
      <c r="H574" s="506"/>
      <c r="I574" s="506"/>
      <c r="J574" s="506"/>
      <c r="K574" s="506"/>
      <c r="L574" s="506"/>
      <c r="M574" s="509" t="s">
        <v>588</v>
      </c>
      <c r="N574" s="508"/>
      <c r="O574" s="508"/>
      <c r="P574" s="508"/>
    </row>
    <row r="575" spans="2:16" ht="12.5">
      <c r="B575" s="504"/>
      <c r="C575" s="504"/>
      <c r="D575" s="504"/>
      <c r="E575" s="505"/>
      <c r="F575" s="506"/>
      <c r="G575" s="506"/>
      <c r="H575" s="506"/>
      <c r="I575" s="506"/>
      <c r="J575" s="506"/>
      <c r="K575" s="506"/>
      <c r="L575" s="506"/>
      <c r="M575" s="509" t="s">
        <v>576</v>
      </c>
      <c r="N575" s="508"/>
      <c r="O575" s="508"/>
      <c r="P575" s="508"/>
    </row>
    <row r="576" spans="2:16" ht="12.5">
      <c r="B576" s="504"/>
      <c r="C576" s="504"/>
      <c r="D576" s="504"/>
      <c r="E576" s="505"/>
      <c r="F576" s="506"/>
      <c r="G576" s="506"/>
      <c r="H576" s="506"/>
      <c r="I576" s="506"/>
      <c r="J576" s="506"/>
      <c r="K576" s="506"/>
      <c r="L576" s="506"/>
      <c r="M576" s="509" t="s">
        <v>579</v>
      </c>
      <c r="N576" s="508"/>
      <c r="O576" s="508"/>
      <c r="P576" s="508"/>
    </row>
    <row r="577" spans="2:16" ht="12.5">
      <c r="B577" s="467"/>
      <c r="C577" s="504"/>
      <c r="D577" s="504"/>
      <c r="E577" s="505"/>
      <c r="F577" s="506"/>
      <c r="G577" s="506"/>
      <c r="H577" s="506"/>
      <c r="I577" s="506"/>
      <c r="J577" s="506"/>
      <c r="K577" s="506"/>
      <c r="L577" s="506"/>
      <c r="M577" s="509"/>
      <c r="N577" s="508"/>
      <c r="O577" s="508"/>
      <c r="P577" s="510">
        <f>+P570+P573</f>
        <v>8445888233.0289879</v>
      </c>
    </row>
    <row r="578" spans="2:16" ht="12.5">
      <c r="B578" s="467"/>
      <c r="C578" s="504"/>
      <c r="D578" s="504"/>
      <c r="E578" s="505"/>
      <c r="F578" s="506"/>
      <c r="G578" s="506"/>
      <c r="H578" s="506"/>
      <c r="I578" s="506"/>
      <c r="J578" s="506"/>
      <c r="K578" s="506"/>
      <c r="L578" s="506"/>
      <c r="M578" s="506"/>
      <c r="N578" s="511"/>
      <c r="P578" s="441" t="s">
        <v>606</v>
      </c>
    </row>
    <row r="579" spans="2:16" ht="12.5">
      <c r="C579" s="441"/>
      <c r="D579" s="441"/>
      <c r="E579" s="441"/>
      <c r="F579" s="441"/>
      <c r="G579" s="441"/>
      <c r="H579" s="441"/>
      <c r="I579" s="441"/>
      <c r="J579" s="506"/>
      <c r="K579" s="441"/>
      <c r="L579" s="441"/>
      <c r="M579" s="441"/>
    </row>
    <row r="580" spans="2:16" ht="13">
      <c r="C580" s="441"/>
      <c r="D580" s="441"/>
      <c r="E580" s="441"/>
      <c r="F580" s="441"/>
      <c r="G580" s="441"/>
      <c r="H580" s="441"/>
      <c r="I580" s="441"/>
      <c r="J580" s="441"/>
      <c r="K580" s="441"/>
      <c r="L580" s="441"/>
      <c r="M580" s="512"/>
      <c r="P580" s="513"/>
    </row>
    <row r="581" spans="2:16" ht="13">
      <c r="C581" s="441"/>
      <c r="D581" s="441"/>
      <c r="E581" s="441"/>
      <c r="F581" s="441"/>
      <c r="G581" s="441"/>
      <c r="H581" s="441"/>
      <c r="I581" s="441"/>
      <c r="J581" s="441"/>
      <c r="K581" s="514"/>
      <c r="L581" s="441"/>
      <c r="M581" s="512"/>
    </row>
    <row r="582" spans="2:16" ht="12.5">
      <c r="B582" s="515" t="s">
        <v>593</v>
      </c>
      <c r="C582" s="516"/>
      <c r="D582" s="516"/>
      <c r="E582" s="517"/>
      <c r="F582" s="516"/>
      <c r="G582" s="518">
        <f>SUMIF($B$7:$B$566,$B582,$G$7:$G$566)</f>
        <v>8391981761.0112829</v>
      </c>
      <c r="H582" s="518">
        <f>SUMIF($B$7:$B$566,$B582,$H$7:$H$566)</f>
        <v>14035337.988717236</v>
      </c>
      <c r="I582" s="516"/>
      <c r="J582" s="516"/>
      <c r="K582" s="518">
        <f>SUMIF($B$7:$B$566,$B582,$K$7:$K$566)</f>
        <v>2156192524.7401357</v>
      </c>
      <c r="L582" s="518">
        <f>SUMIF($B$7:$B$566,$B582,$L$7:$L$566)</f>
        <v>906390324.83523893</v>
      </c>
      <c r="M582" s="519"/>
      <c r="N582" s="520"/>
      <c r="O582" s="521"/>
    </row>
    <row r="583" spans="2:16" ht="12.5">
      <c r="B583" s="522" t="s">
        <v>604</v>
      </c>
      <c r="C583" s="516"/>
      <c r="D583" s="516"/>
      <c r="E583" s="517"/>
      <c r="F583" s="516"/>
      <c r="G583" s="518">
        <f>SUMIF($B$7:$B$566,B583,$F$7:$F$566)</f>
        <v>0</v>
      </c>
      <c r="H583" s="518">
        <f>SUMIF($B$7:$B$566,$B583,$G$7:$G$566)</f>
        <v>0</v>
      </c>
      <c r="I583" s="517"/>
      <c r="J583" s="517"/>
      <c r="K583" s="518">
        <f>SUMIF($B$7:$B$566,$B583,$K$7:$K$566)</f>
        <v>0</v>
      </c>
      <c r="L583" s="518">
        <f>SUMIF($B$7:$B$566,$B583,$K$7:$K$566)</f>
        <v>0</v>
      </c>
      <c r="M583" s="519"/>
      <c r="N583" s="521"/>
      <c r="O583" s="521"/>
    </row>
    <row r="584" spans="2:16" ht="12.5">
      <c r="B584" s="522" t="s">
        <v>605</v>
      </c>
      <c r="C584" s="516"/>
      <c r="D584" s="516"/>
      <c r="E584" s="517"/>
      <c r="F584" s="516"/>
      <c r="G584" s="518">
        <f>SUMIF($B$7:$B$566,$B584,$F$7:$F$566)</f>
        <v>0</v>
      </c>
      <c r="H584" s="518">
        <f>SUMIF($B$7:$B$566,$B584,$G$7:$G$566)</f>
        <v>0</v>
      </c>
      <c r="I584" s="517"/>
      <c r="J584" s="517"/>
      <c r="K584" s="518">
        <f>SUMIF($B$7:$B$566,$B584,$K$7:$K$566)</f>
        <v>0</v>
      </c>
      <c r="L584" s="518">
        <f>SUMIF($B$7:$B$566,$B584,$K$7:$K$566)</f>
        <v>0</v>
      </c>
      <c r="M584" s="519"/>
      <c r="N584" s="521"/>
      <c r="O584" s="521"/>
    </row>
    <row r="585" spans="2:16" ht="12.5">
      <c r="B585" s="485" t="s">
        <v>595</v>
      </c>
      <c r="C585" s="517"/>
      <c r="D585" s="517"/>
      <c r="E585" s="517"/>
      <c r="F585" s="517"/>
      <c r="G585" s="518">
        <f>SUMIF($B$7:$B$566,$B585,$G$7:$G$566)</f>
        <v>4497168018.5769587</v>
      </c>
      <c r="H585" s="518">
        <f>SUMIF($B$7:$B$566,$B585,$H$7:$H$566)</f>
        <v>5238981.4230418503</v>
      </c>
      <c r="I585" s="517"/>
      <c r="J585" s="519"/>
      <c r="K585" s="518">
        <f>SUMIF($B$7:$B$566,$B585,$K$7:$K$566)</f>
        <v>600000000</v>
      </c>
      <c r="L585" s="518">
        <f>SUMIF($B$7:$B$566,$B585,$L$7:$L$566)</f>
        <v>432743429</v>
      </c>
      <c r="M585" s="519"/>
      <c r="N585" s="520"/>
      <c r="O585" s="521"/>
    </row>
    <row r="586" spans="2:16" ht="12.5">
      <c r="B586" s="467" t="s">
        <v>588</v>
      </c>
      <c r="C586" s="517"/>
      <c r="D586" s="517"/>
      <c r="E586" s="517"/>
      <c r="F586" s="517"/>
      <c r="G586" s="518">
        <f>SUMIF($B$7:$B$566,$B586,$G$7:$G$566)</f>
        <v>9724099.0000003688</v>
      </c>
      <c r="H586" s="518">
        <f>SUMIF($B$7:$B$566,$B586,$H$7:$H$566)</f>
        <v>0</v>
      </c>
      <c r="I586" s="517"/>
      <c r="J586" s="519"/>
      <c r="K586" s="518">
        <f>SUMIF($B$7:$B$566,$B586,$K$7:$K$566)</f>
        <v>0</v>
      </c>
      <c r="L586" s="518">
        <f>SUMIF($B$7:$B$566,$B586,$L$7:$L$566)</f>
        <v>0</v>
      </c>
      <c r="M586" s="519"/>
      <c r="N586" s="523"/>
      <c r="O586" s="523"/>
    </row>
    <row r="587" spans="2:16" ht="12.5">
      <c r="B587" s="524" t="s">
        <v>590</v>
      </c>
      <c r="C587" s="517"/>
      <c r="D587" s="517"/>
      <c r="E587" s="517"/>
      <c r="F587" s="517"/>
      <c r="G587" s="518">
        <f>SUMIF($E$7:$E$566,$B587,$G$7:$G$566)</f>
        <v>0</v>
      </c>
      <c r="H587" s="518">
        <f>SUMIF($E$7:$E$566,$B587,$H$7:$H$566)</f>
        <v>0</v>
      </c>
      <c r="I587" s="517"/>
      <c r="J587" s="519"/>
      <c r="K587" s="518">
        <f>SUMIF($E$7:$E$566,$B587,$K$7:$K$566)</f>
        <v>114690928.48122571</v>
      </c>
      <c r="L587" s="518">
        <f>SUMIF($E$7:$E$566,$B587,$L$7:$L$566)</f>
        <v>30885023.837352224</v>
      </c>
      <c r="M587" s="519"/>
      <c r="N587" s="523"/>
      <c r="O587" s="523"/>
    </row>
    <row r="588" spans="2:16" ht="12.5">
      <c r="B588" s="524" t="s">
        <v>592</v>
      </c>
      <c r="C588" s="517"/>
      <c r="D588" s="517"/>
      <c r="E588" s="517"/>
      <c r="F588" s="517"/>
      <c r="G588" s="518">
        <f>SUMIF($E$7:$E$566,$B588,$G$7:$G$566)</f>
        <v>0</v>
      </c>
      <c r="H588" s="518">
        <f>SUMIF($E$7:$E$566,$B588,$H$7:$H$566)</f>
        <v>0</v>
      </c>
      <c r="I588" s="517"/>
      <c r="J588" s="519"/>
      <c r="K588" s="518">
        <f>SUMIF($E$7:$E$566,$B588,$K$7:$K$566)</f>
        <v>35801596.258909971</v>
      </c>
      <c r="L588" s="518">
        <f>SUMIF($E$7:$E$566,$B588,$L$7:$L$566)</f>
        <v>17450064.997886777</v>
      </c>
      <c r="M588" s="519"/>
      <c r="N588" s="523"/>
      <c r="O588" s="523"/>
    </row>
    <row r="589" spans="2:16" ht="12.5">
      <c r="B589" s="524" t="s">
        <v>576</v>
      </c>
      <c r="C589" s="517"/>
      <c r="D589" s="517"/>
      <c r="E589" s="517"/>
      <c r="F589" s="517"/>
      <c r="G589" s="518">
        <f>SUMIF($E$7:$E$566,$B589,$G$7:$G$566)</f>
        <v>10246224752.475248</v>
      </c>
      <c r="H589" s="518">
        <f>SUMIF($E$7:$E$566,$B589,$H$7:$H$566)</f>
        <v>2475247.5247524679</v>
      </c>
      <c r="I589" s="517"/>
      <c r="J589" s="517"/>
      <c r="K589" s="518">
        <f>SUMIF($E$7:$E$566,$B589,$K$7:$K$566)</f>
        <v>2605700000</v>
      </c>
      <c r="L589" s="518">
        <f>SUMIF($E$7:$E$566,$B589,$L$7:$L$566)</f>
        <v>1290798665</v>
      </c>
      <c r="M589" s="519"/>
      <c r="N589" s="523"/>
      <c r="O589" s="523"/>
    </row>
    <row r="590" spans="2:16" ht="12.5">
      <c r="B590" s="524" t="s">
        <v>579</v>
      </c>
      <c r="C590" s="517"/>
      <c r="D590" s="519"/>
      <c r="E590" s="517"/>
      <c r="F590" s="517"/>
      <c r="G590" s="518">
        <f>SUMIF($E$7:$E$566,$B590,$G$7:$G$566)</f>
        <v>2633200928.1129937</v>
      </c>
      <c r="H590" s="518">
        <f>SUMIF($E$7:$E$566,$B590,$H$7:$H$566)</f>
        <v>16799071.887006618</v>
      </c>
      <c r="I590" s="517"/>
      <c r="J590" s="519"/>
      <c r="K590" s="518">
        <f>SUMIF($E$7:$E$566,$B590,$K$7:$K$566)</f>
        <v>0</v>
      </c>
      <c r="L590" s="518">
        <f>SUMIF($E$7:$E566,$B590,$L$7:$L$566)</f>
        <v>0</v>
      </c>
      <c r="M590" s="519"/>
      <c r="N590" s="523"/>
      <c r="O590" s="523"/>
    </row>
    <row r="591" spans="2:16">
      <c r="B591" s="525"/>
      <c r="C591" s="525"/>
      <c r="D591" s="525"/>
      <c r="E591" s="525"/>
      <c r="F591" s="526"/>
      <c r="G591" s="527">
        <f>SUM(G586:G590)</f>
        <v>12889149779.588242</v>
      </c>
      <c r="H591" s="527">
        <f>SUM(H586:H590)</f>
        <v>19274319.411759086</v>
      </c>
      <c r="I591" s="528"/>
      <c r="J591" s="525"/>
      <c r="K591" s="527">
        <f>SUM(K586:K590)</f>
        <v>2756192524.7401357</v>
      </c>
      <c r="L591" s="527">
        <f>SUM(L586:L590)</f>
        <v>1339133753.8352389</v>
      </c>
      <c r="M591" s="529"/>
      <c r="N591" s="529"/>
      <c r="O591" s="530"/>
    </row>
    <row r="592" spans="2:16" ht="12.5">
      <c r="C592" s="441"/>
      <c r="D592" s="441"/>
      <c r="E592" s="441"/>
      <c r="F592" s="441"/>
      <c r="G592" s="441"/>
      <c r="H592" s="441"/>
      <c r="I592" s="441"/>
      <c r="J592" s="441"/>
      <c r="K592" s="441"/>
      <c r="L592" s="441"/>
      <c r="M592" s="441"/>
      <c r="O592" s="511"/>
    </row>
    <row r="593" spans="2:16" ht="12.5">
      <c r="C593" s="441"/>
      <c r="D593" s="531"/>
      <c r="E593" s="531"/>
      <c r="F593" s="531"/>
      <c r="G593" s="531"/>
      <c r="H593" s="532"/>
      <c r="I593" s="531"/>
      <c r="J593" s="441"/>
      <c r="K593" s="441"/>
      <c r="L593" s="441"/>
      <c r="M593" s="441"/>
    </row>
    <row r="594" spans="2:16">
      <c r="C594" s="441"/>
      <c r="D594" s="533"/>
      <c r="E594" s="533"/>
      <c r="F594" s="533"/>
      <c r="G594" s="534"/>
      <c r="I594" s="533"/>
      <c r="J594" s="536"/>
      <c r="K594" s="441"/>
      <c r="L594" s="441"/>
      <c r="M594" s="532"/>
      <c r="N594" s="532"/>
    </row>
    <row r="595" spans="2:16" ht="12.5">
      <c r="C595" s="441"/>
      <c r="D595" s="532"/>
      <c r="E595" s="532"/>
      <c r="F595" s="532"/>
      <c r="G595" s="532"/>
      <c r="H595" s="532"/>
      <c r="I595" s="532"/>
      <c r="J595" s="536"/>
      <c r="K595" s="533"/>
      <c r="L595" s="533"/>
      <c r="M595" s="533"/>
      <c r="N595" s="533"/>
    </row>
    <row r="596" spans="2:16" ht="13">
      <c r="C596" s="441"/>
      <c r="D596" s="537"/>
      <c r="E596" s="537"/>
      <c r="F596" s="537"/>
      <c r="G596" s="537"/>
      <c r="H596" s="537"/>
      <c r="I596" s="537"/>
      <c r="J596" s="537"/>
      <c r="K596" s="537"/>
      <c r="L596" s="537"/>
      <c r="M596" s="537"/>
      <c r="N596" s="537"/>
      <c r="O596" s="537"/>
      <c r="P596" s="538"/>
    </row>
    <row r="597" spans="2:16" ht="13">
      <c r="B597" s="539"/>
      <c r="C597" s="540" t="s">
        <v>607</v>
      </c>
      <c r="D597" s="540" t="s">
        <v>608</v>
      </c>
      <c r="E597" s="540" t="s">
        <v>609</v>
      </c>
      <c r="F597" s="541" t="s">
        <v>610</v>
      </c>
      <c r="G597" s="540" t="s">
        <v>4</v>
      </c>
      <c r="H597" s="541" t="s">
        <v>5</v>
      </c>
      <c r="I597" s="540" t="s">
        <v>24</v>
      </c>
      <c r="J597" s="541" t="s">
        <v>11</v>
      </c>
      <c r="K597" s="540" t="s">
        <v>12</v>
      </c>
      <c r="L597" s="541" t="s">
        <v>611</v>
      </c>
      <c r="M597" s="540" t="s">
        <v>612</v>
      </c>
      <c r="N597" s="541" t="s">
        <v>14</v>
      </c>
      <c r="O597" s="540" t="s">
        <v>26</v>
      </c>
    </row>
    <row r="598" spans="2:16" ht="12.5">
      <c r="B598" s="542" t="s">
        <v>613</v>
      </c>
      <c r="C598" s="543">
        <f>SUM(C599:C607)</f>
        <v>3003.7292627694519</v>
      </c>
      <c r="D598" s="543">
        <f t="shared" ref="D598:L598" si="42">SUM(D599:D607)</f>
        <v>4302.9523161930283</v>
      </c>
      <c r="E598" s="543">
        <f t="shared" si="42"/>
        <v>4668.919790517356</v>
      </c>
      <c r="F598" s="543">
        <f t="shared" si="42"/>
        <v>5318.4211725885689</v>
      </c>
      <c r="G598" s="543">
        <f t="shared" si="42"/>
        <v>3960.8546768675642</v>
      </c>
      <c r="H598" s="544">
        <f t="shared" si="42"/>
        <v>4690.798284588569</v>
      </c>
      <c r="I598" s="545">
        <f t="shared" si="42"/>
        <v>0</v>
      </c>
      <c r="J598" s="545">
        <f t="shared" si="42"/>
        <v>0</v>
      </c>
      <c r="K598" s="545">
        <f t="shared" si="42"/>
        <v>0</v>
      </c>
      <c r="L598" s="545">
        <f t="shared" si="42"/>
        <v>0</v>
      </c>
      <c r="M598" s="545">
        <f>SUM(M599:M607)</f>
        <v>0</v>
      </c>
      <c r="N598" s="545">
        <f>SUM(N599:N607)</f>
        <v>0</v>
      </c>
      <c r="O598" s="545">
        <f>SUM(O599:O607)</f>
        <v>0</v>
      </c>
    </row>
    <row r="599" spans="2:16" ht="12.5">
      <c r="B599" s="542" t="s">
        <v>614</v>
      </c>
      <c r="C599" s="543">
        <f>C612+C620</f>
        <v>633.20852100000002</v>
      </c>
      <c r="D599" s="543">
        <f t="shared" ref="D599:K599" si="43">D612+D620</f>
        <v>1355.4944909999999</v>
      </c>
      <c r="E599" s="543">
        <f t="shared" si="43"/>
        <v>1791.8114639999999</v>
      </c>
      <c r="F599" s="543">
        <f t="shared" si="43"/>
        <v>2367.5126059999998</v>
      </c>
      <c r="G599" s="543">
        <f t="shared" si="43"/>
        <v>997.60404300000005</v>
      </c>
      <c r="H599" s="544">
        <f t="shared" si="43"/>
        <v>1739.8897179999999</v>
      </c>
      <c r="I599" s="545">
        <f t="shared" si="43"/>
        <v>0</v>
      </c>
      <c r="J599" s="545">
        <f t="shared" si="43"/>
        <v>0</v>
      </c>
      <c r="K599" s="545">
        <f t="shared" si="43"/>
        <v>0</v>
      </c>
      <c r="L599" s="545">
        <f t="shared" ref="L599" si="44">+L612+L620</f>
        <v>0</v>
      </c>
      <c r="M599" s="545">
        <f>+M612+M620</f>
        <v>0</v>
      </c>
      <c r="N599" s="545">
        <f>+N612+N620</f>
        <v>0</v>
      </c>
      <c r="O599" s="545">
        <f>+O612+O620</f>
        <v>0</v>
      </c>
    </row>
    <row r="600" spans="2:16" ht="12.5">
      <c r="B600" s="542" t="s">
        <v>615</v>
      </c>
      <c r="C600" s="543">
        <f>C615+C621</f>
        <v>1154.15935425</v>
      </c>
      <c r="D600" s="543">
        <f t="shared" ref="D600:K600" si="45">D615+D621</f>
        <v>1155.0254312499999</v>
      </c>
      <c r="E600" s="543">
        <f t="shared" si="45"/>
        <v>1146.55082025</v>
      </c>
      <c r="F600" s="543">
        <f t="shared" si="45"/>
        <v>1001.97241225</v>
      </c>
      <c r="G600" s="543">
        <f t="shared" si="45"/>
        <v>1001.4483182499999</v>
      </c>
      <c r="H600" s="544">
        <f t="shared" si="45"/>
        <v>1001.97241225</v>
      </c>
      <c r="I600" s="545">
        <f t="shared" si="45"/>
        <v>0</v>
      </c>
      <c r="J600" s="545">
        <f t="shared" si="45"/>
        <v>0</v>
      </c>
      <c r="K600" s="545">
        <f t="shared" si="45"/>
        <v>0</v>
      </c>
      <c r="L600" s="545">
        <f t="shared" ref="L600" si="46">+L615+L621</f>
        <v>0</v>
      </c>
      <c r="M600" s="545">
        <f>+M615+M621</f>
        <v>0</v>
      </c>
      <c r="N600" s="545">
        <f>+N615+N621</f>
        <v>0</v>
      </c>
      <c r="O600" s="545">
        <f>+O615+O621</f>
        <v>0</v>
      </c>
    </row>
    <row r="601" spans="2:16" ht="12.5">
      <c r="B601" s="542" t="s">
        <v>616</v>
      </c>
      <c r="C601" s="543">
        <f>C622</f>
        <v>28.763525959999996</v>
      </c>
      <c r="D601" s="543">
        <f t="shared" ref="D601:K602" si="47">D622</f>
        <v>32.267119959999995</v>
      </c>
      <c r="E601" s="543">
        <f t="shared" si="47"/>
        <v>34.665655960000002</v>
      </c>
      <c r="F601" s="543">
        <f t="shared" si="47"/>
        <v>37.417906959999996</v>
      </c>
      <c r="G601" s="543">
        <f t="shared" si="47"/>
        <v>39.731059960000003</v>
      </c>
      <c r="H601" s="544">
        <f t="shared" si="47"/>
        <v>37.417906959999996</v>
      </c>
      <c r="I601" s="545">
        <f t="shared" si="47"/>
        <v>0</v>
      </c>
      <c r="J601" s="545">
        <f t="shared" si="47"/>
        <v>0</v>
      </c>
      <c r="K601" s="545">
        <f t="shared" si="47"/>
        <v>0</v>
      </c>
      <c r="L601" s="545">
        <f t="shared" ref="L601:O602" si="48">+L622</f>
        <v>0</v>
      </c>
      <c r="M601" s="545">
        <f t="shared" si="48"/>
        <v>0</v>
      </c>
      <c r="N601" s="545">
        <f t="shared" si="48"/>
        <v>0</v>
      </c>
      <c r="O601" s="545">
        <f t="shared" si="48"/>
        <v>0</v>
      </c>
    </row>
    <row r="602" spans="2:16" ht="12.5">
      <c r="B602" s="542" t="s">
        <v>617</v>
      </c>
      <c r="C602" s="543">
        <f>C623</f>
        <v>569.53716655945198</v>
      </c>
      <c r="D602" s="543">
        <f t="shared" si="47"/>
        <v>597.425140983029</v>
      </c>
      <c r="E602" s="543">
        <f t="shared" si="47"/>
        <v>565.39987930735572</v>
      </c>
      <c r="F602" s="543">
        <f t="shared" si="47"/>
        <v>549.13630437856864</v>
      </c>
      <c r="G602" s="543">
        <f t="shared" si="47"/>
        <v>559.68931265756396</v>
      </c>
      <c r="H602" s="544">
        <f t="shared" si="47"/>
        <v>549.13630437856864</v>
      </c>
      <c r="I602" s="545">
        <f t="shared" si="47"/>
        <v>0</v>
      </c>
      <c r="J602" s="545">
        <f t="shared" si="47"/>
        <v>0</v>
      </c>
      <c r="K602" s="545">
        <f t="shared" si="47"/>
        <v>0</v>
      </c>
      <c r="L602" s="545">
        <f t="shared" si="48"/>
        <v>0</v>
      </c>
      <c r="M602" s="545">
        <f t="shared" si="48"/>
        <v>0</v>
      </c>
      <c r="N602" s="545">
        <f t="shared" si="48"/>
        <v>0</v>
      </c>
      <c r="O602" s="545">
        <f t="shared" si="48"/>
        <v>0</v>
      </c>
    </row>
    <row r="603" spans="2:16" ht="12.5">
      <c r="B603" s="542" t="s">
        <v>62</v>
      </c>
      <c r="C603" s="543">
        <f>C624+C618</f>
        <v>118.717609</v>
      </c>
      <c r="D603" s="543">
        <f t="shared" ref="D603" si="49">D624+D618</f>
        <v>118.774462</v>
      </c>
      <c r="E603" s="543">
        <f>E624+E618</f>
        <v>118.920469</v>
      </c>
      <c r="F603" s="543">
        <f t="shared" ref="F603:H603" si="50">F624+F618</f>
        <v>119.090925</v>
      </c>
      <c r="G603" s="543">
        <f t="shared" si="50"/>
        <v>119.090925</v>
      </c>
      <c r="H603" s="544">
        <f t="shared" si="50"/>
        <v>119.090925</v>
      </c>
      <c r="I603" s="545">
        <f>I624+I618</f>
        <v>0</v>
      </c>
      <c r="J603" s="545">
        <f t="shared" ref="J603:K603" si="51">J624+J618</f>
        <v>0</v>
      </c>
      <c r="K603" s="545">
        <f t="shared" si="51"/>
        <v>0</v>
      </c>
      <c r="L603" s="545">
        <f>L624+L618</f>
        <v>0</v>
      </c>
      <c r="M603" s="545">
        <f>M624+M618</f>
        <v>0</v>
      </c>
      <c r="N603" s="545">
        <f>N624+N618</f>
        <v>0</v>
      </c>
      <c r="O603" s="545">
        <f>O624+O618</f>
        <v>0</v>
      </c>
    </row>
    <row r="604" spans="2:16" ht="12.5">
      <c r="B604" s="542" t="s">
        <v>618</v>
      </c>
      <c r="C604" s="543">
        <f>C613+C625</f>
        <v>477.16078399999998</v>
      </c>
      <c r="D604" s="543">
        <f t="shared" ref="D604:K604" si="52">D613+D625</f>
        <v>1021.783369</v>
      </c>
      <c r="E604" s="543">
        <f t="shared" si="52"/>
        <v>989.38919999999996</v>
      </c>
      <c r="F604" s="543">
        <f t="shared" si="52"/>
        <v>1221.108716</v>
      </c>
      <c r="G604" s="543">
        <f t="shared" si="52"/>
        <v>1221.108716</v>
      </c>
      <c r="H604" s="544">
        <f t="shared" si="52"/>
        <v>1221.108716</v>
      </c>
      <c r="I604" s="545">
        <f t="shared" si="52"/>
        <v>0</v>
      </c>
      <c r="J604" s="545">
        <f t="shared" si="52"/>
        <v>0</v>
      </c>
      <c r="K604" s="545">
        <f t="shared" si="52"/>
        <v>0</v>
      </c>
      <c r="L604" s="545">
        <f t="shared" ref="L604" si="53">+L613+L625</f>
        <v>0</v>
      </c>
      <c r="M604" s="545">
        <f>+M613+M625</f>
        <v>0</v>
      </c>
      <c r="N604" s="545">
        <f>+N613+N625</f>
        <v>0</v>
      </c>
      <c r="O604" s="545">
        <f>+O613+O625</f>
        <v>0</v>
      </c>
    </row>
    <row r="605" spans="2:16" ht="12.5">
      <c r="B605" s="542" t="s">
        <v>619</v>
      </c>
      <c r="C605" s="543">
        <f>C616+C626</f>
        <v>0</v>
      </c>
      <c r="D605" s="543">
        <f t="shared" ref="D605:K605" si="54">D616+D626</f>
        <v>0</v>
      </c>
      <c r="E605" s="543">
        <f t="shared" si="54"/>
        <v>0</v>
      </c>
      <c r="F605" s="543">
        <f t="shared" si="54"/>
        <v>0</v>
      </c>
      <c r="G605" s="543">
        <f t="shared" si="54"/>
        <v>0</v>
      </c>
      <c r="H605" s="544">
        <f t="shared" si="54"/>
        <v>0</v>
      </c>
      <c r="I605" s="545">
        <f t="shared" si="54"/>
        <v>0</v>
      </c>
      <c r="J605" s="545">
        <f t="shared" si="54"/>
        <v>0</v>
      </c>
      <c r="K605" s="545">
        <f t="shared" si="54"/>
        <v>0</v>
      </c>
      <c r="L605" s="545">
        <f t="shared" ref="L605" si="55">+L616+L626</f>
        <v>0</v>
      </c>
      <c r="M605" s="545">
        <f>+M616+M626</f>
        <v>0</v>
      </c>
      <c r="N605" s="545">
        <f>+N616+N626</f>
        <v>0</v>
      </c>
      <c r="O605" s="545">
        <f>+O616+O626</f>
        <v>0</v>
      </c>
    </row>
    <row r="606" spans="2:16" ht="12.5">
      <c r="B606" s="542" t="s">
        <v>620</v>
      </c>
      <c r="C606" s="543">
        <f>C614</f>
        <v>22.182302</v>
      </c>
      <c r="D606" s="543">
        <f t="shared" ref="D606:K606" si="56">D614</f>
        <v>22.182302</v>
      </c>
      <c r="E606" s="543">
        <f t="shared" si="56"/>
        <v>22.182302</v>
      </c>
      <c r="F606" s="543">
        <f t="shared" si="56"/>
        <v>22.182302</v>
      </c>
      <c r="G606" s="543">
        <f t="shared" si="56"/>
        <v>22.182302</v>
      </c>
      <c r="H606" s="544">
        <f t="shared" si="56"/>
        <v>22.182302</v>
      </c>
      <c r="I606" s="545">
        <f t="shared" si="56"/>
        <v>0</v>
      </c>
      <c r="J606" s="545">
        <f t="shared" si="56"/>
        <v>0</v>
      </c>
      <c r="K606" s="545">
        <f t="shared" si="56"/>
        <v>0</v>
      </c>
      <c r="L606" s="545">
        <f t="shared" ref="L606:M606" si="57">+L614</f>
        <v>0</v>
      </c>
      <c r="M606" s="545">
        <f t="shared" si="57"/>
        <v>0</v>
      </c>
      <c r="N606" s="545">
        <f>+N614</f>
        <v>0</v>
      </c>
      <c r="O606" s="545">
        <f>+O614</f>
        <v>0</v>
      </c>
    </row>
    <row r="607" spans="2:16" ht="12.5">
      <c r="B607" s="542" t="s">
        <v>621</v>
      </c>
      <c r="C607" s="543">
        <f>C617</f>
        <v>0</v>
      </c>
      <c r="D607" s="543">
        <f t="shared" ref="D607:K607" si="58">D617</f>
        <v>0</v>
      </c>
      <c r="E607" s="543">
        <f t="shared" si="58"/>
        <v>0</v>
      </c>
      <c r="F607" s="543">
        <f t="shared" si="58"/>
        <v>0</v>
      </c>
      <c r="G607" s="543">
        <f t="shared" si="58"/>
        <v>0</v>
      </c>
      <c r="H607" s="544">
        <f t="shared" si="58"/>
        <v>0</v>
      </c>
      <c r="I607" s="545">
        <f t="shared" si="58"/>
        <v>0</v>
      </c>
      <c r="J607" s="545">
        <f t="shared" si="58"/>
        <v>0</v>
      </c>
      <c r="K607" s="545">
        <f t="shared" si="58"/>
        <v>0</v>
      </c>
      <c r="L607" s="545">
        <f t="shared" ref="L607" si="59">+L617</f>
        <v>0</v>
      </c>
      <c r="M607" s="545">
        <f>+M617</f>
        <v>0</v>
      </c>
      <c r="N607" s="545">
        <f>+N617</f>
        <v>0</v>
      </c>
      <c r="O607" s="545">
        <f>+O617</f>
        <v>0</v>
      </c>
    </row>
    <row r="608" spans="2:16" ht="12.5">
      <c r="B608" s="542" t="s">
        <v>622</v>
      </c>
      <c r="C608" s="543">
        <f>C630</f>
        <v>947.63845087999937</v>
      </c>
      <c r="D608" s="543">
        <f>D630</f>
        <v>997.5397268800001</v>
      </c>
      <c r="E608" s="543">
        <f>E630</f>
        <v>964.85291287999917</v>
      </c>
      <c r="F608" s="543">
        <f t="shared" ref="F608:L608" si="60">F630</f>
        <v>957.36254987999973</v>
      </c>
      <c r="G608" s="543">
        <f t="shared" si="60"/>
        <v>957.36254987999973</v>
      </c>
      <c r="H608" s="544">
        <f t="shared" si="60"/>
        <v>957.36254987999973</v>
      </c>
      <c r="I608" s="543">
        <f>I630</f>
        <v>0</v>
      </c>
      <c r="J608" s="543">
        <f t="shared" si="60"/>
        <v>0</v>
      </c>
      <c r="K608" s="543">
        <f t="shared" si="60"/>
        <v>0</v>
      </c>
      <c r="L608" s="543">
        <f t="shared" si="60"/>
        <v>0</v>
      </c>
      <c r="M608" s="543">
        <v>0</v>
      </c>
      <c r="N608" s="543">
        <f>N630</f>
        <v>0</v>
      </c>
      <c r="O608" s="543">
        <f>O630</f>
        <v>0</v>
      </c>
    </row>
    <row r="609" spans="2:16" ht="12.5">
      <c r="C609" s="441"/>
      <c r="D609" s="441"/>
      <c r="E609" s="441"/>
      <c r="F609" s="441"/>
      <c r="G609" s="441"/>
      <c r="H609" s="441"/>
      <c r="I609" s="441"/>
      <c r="J609" s="546"/>
      <c r="K609" s="441"/>
      <c r="L609" s="441"/>
      <c r="M609" s="547"/>
    </row>
    <row r="610" spans="2:16" ht="13">
      <c r="C610" s="548"/>
      <c r="D610" s="441"/>
      <c r="E610" s="441"/>
      <c r="F610" s="441"/>
      <c r="G610" s="441"/>
      <c r="H610" s="441"/>
      <c r="I610" s="441"/>
      <c r="J610" s="441"/>
      <c r="K610" s="441"/>
      <c r="L610" s="441"/>
      <c r="M610" s="441"/>
    </row>
    <row r="611" spans="2:16" ht="12.5">
      <c r="C611" s="441"/>
      <c r="D611" s="441"/>
      <c r="E611" s="441"/>
      <c r="F611" s="441"/>
      <c r="G611" s="441"/>
      <c r="H611" s="441"/>
      <c r="I611" s="441"/>
      <c r="J611" s="441"/>
      <c r="K611" s="441"/>
      <c r="L611" s="441"/>
      <c r="M611" s="441"/>
      <c r="O611" s="549"/>
      <c r="P611" s="441" t="s">
        <v>623</v>
      </c>
    </row>
    <row r="612" spans="2:16" ht="12.5">
      <c r="B612" s="550" t="s">
        <v>624</v>
      </c>
      <c r="C612" s="551">
        <v>633.20852100000002</v>
      </c>
      <c r="D612" s="551">
        <v>1355.4944909999999</v>
      </c>
      <c r="E612" s="551">
        <v>1791.8114639999999</v>
      </c>
      <c r="F612" s="551">
        <v>2367.5126059999998</v>
      </c>
      <c r="G612" s="551">
        <v>997.60404300000005</v>
      </c>
      <c r="H612" s="552">
        <f>1739889718/1000000</f>
        <v>1739.8897179999999</v>
      </c>
      <c r="I612" s="551"/>
      <c r="J612" s="553"/>
      <c r="K612" s="553"/>
      <c r="L612" s="551"/>
      <c r="M612" s="551"/>
      <c r="N612" s="551"/>
      <c r="O612" s="551"/>
    </row>
    <row r="613" spans="2:16" ht="12.5">
      <c r="B613" s="550" t="s">
        <v>625</v>
      </c>
      <c r="C613" s="551">
        <v>477.16078399999998</v>
      </c>
      <c r="D613" s="551">
        <v>1021.783369</v>
      </c>
      <c r="E613" s="551">
        <v>989.38919999999996</v>
      </c>
      <c r="F613" s="551">
        <v>1221.108716</v>
      </c>
      <c r="G613" s="551">
        <v>1221.108716</v>
      </c>
      <c r="H613" s="554">
        <v>1221.108716</v>
      </c>
      <c r="I613" s="551"/>
      <c r="J613" s="553"/>
      <c r="K613" s="553"/>
      <c r="L613" s="551"/>
      <c r="M613" s="551"/>
      <c r="N613" s="551"/>
      <c r="O613" s="551"/>
    </row>
    <row r="614" spans="2:16" ht="12.5">
      <c r="B614" s="550" t="s">
        <v>626</v>
      </c>
      <c r="C614" s="551">
        <v>22.182302</v>
      </c>
      <c r="D614" s="551">
        <v>22.182302</v>
      </c>
      <c r="E614" s="551">
        <v>22.182302</v>
      </c>
      <c r="F614" s="551">
        <v>22.182302</v>
      </c>
      <c r="G614" s="551">
        <v>22.182302</v>
      </c>
      <c r="H614" s="554">
        <v>22.182302</v>
      </c>
      <c r="I614" s="551"/>
      <c r="J614" s="553"/>
      <c r="K614" s="553"/>
      <c r="L614" s="551"/>
      <c r="M614" s="551"/>
      <c r="N614" s="551"/>
      <c r="O614" s="551"/>
    </row>
    <row r="615" spans="2:16" ht="12.5">
      <c r="B615" s="550" t="s">
        <v>627</v>
      </c>
      <c r="C615" s="551">
        <v>1139.4508269999999</v>
      </c>
      <c r="D615" s="551">
        <v>1140.8789859999999</v>
      </c>
      <c r="E615" s="551">
        <v>1132.1875030000001</v>
      </c>
      <c r="F615" s="551">
        <v>988.543994</v>
      </c>
      <c r="G615" s="551">
        <v>988.543994</v>
      </c>
      <c r="H615" s="554">
        <v>988.543994</v>
      </c>
      <c r="I615" s="551"/>
      <c r="J615" s="553"/>
      <c r="K615" s="553"/>
      <c r="L615" s="551"/>
      <c r="M615" s="551"/>
      <c r="N615" s="551"/>
      <c r="O615" s="551"/>
    </row>
    <row r="616" spans="2:16" ht="12.5">
      <c r="B616" s="550" t="s">
        <v>628</v>
      </c>
      <c r="C616" s="551">
        <v>0</v>
      </c>
      <c r="D616" s="551">
        <v>0</v>
      </c>
      <c r="E616" s="551">
        <v>0</v>
      </c>
      <c r="F616" s="551">
        <v>0</v>
      </c>
      <c r="G616" s="551">
        <v>0</v>
      </c>
      <c r="H616" s="554">
        <v>0</v>
      </c>
      <c r="I616" s="551"/>
      <c r="J616" s="553"/>
      <c r="K616" s="553"/>
      <c r="L616" s="551"/>
      <c r="M616" s="551"/>
      <c r="N616" s="551"/>
      <c r="O616" s="551"/>
    </row>
    <row r="617" spans="2:16" ht="12.5">
      <c r="B617" s="550" t="s">
        <v>629</v>
      </c>
      <c r="C617" s="551">
        <v>0</v>
      </c>
      <c r="D617" s="551">
        <v>0</v>
      </c>
      <c r="E617" s="551">
        <v>0</v>
      </c>
      <c r="F617" s="551">
        <v>0</v>
      </c>
      <c r="G617" s="551">
        <v>0</v>
      </c>
      <c r="H617" s="554">
        <v>0</v>
      </c>
      <c r="I617" s="551"/>
      <c r="J617" s="553"/>
      <c r="K617" s="553"/>
      <c r="L617" s="551"/>
      <c r="M617" s="551"/>
      <c r="N617" s="551"/>
      <c r="O617" s="551"/>
    </row>
    <row r="618" spans="2:16" ht="12.5">
      <c r="B618" s="550" t="s">
        <v>630</v>
      </c>
      <c r="C618" s="551">
        <v>118.717609</v>
      </c>
      <c r="D618" s="551">
        <v>118.774462</v>
      </c>
      <c r="E618" s="551">
        <v>118.920469</v>
      </c>
      <c r="F618" s="551">
        <v>119.090925</v>
      </c>
      <c r="G618" s="551">
        <v>119.090925</v>
      </c>
      <c r="H618" s="554">
        <v>119.090925</v>
      </c>
      <c r="I618" s="551"/>
      <c r="J618" s="553"/>
      <c r="K618" s="553"/>
      <c r="L618" s="551"/>
      <c r="M618" s="551"/>
      <c r="N618" s="551"/>
      <c r="O618" s="551"/>
    </row>
    <row r="619" spans="2:16">
      <c r="B619" s="526"/>
      <c r="C619" s="526"/>
      <c r="D619" s="526"/>
      <c r="E619" s="526"/>
      <c r="F619" s="525"/>
      <c r="G619" s="525"/>
      <c r="H619" s="555"/>
      <c r="I619" s="526"/>
      <c r="J619" s="553"/>
      <c r="K619" s="551"/>
      <c r="L619" s="491"/>
      <c r="M619" s="441"/>
      <c r="N619" s="491"/>
    </row>
    <row r="620" spans="2:16" s="559" customFormat="1" ht="12.5">
      <c r="B620" s="556" t="s">
        <v>631</v>
      </c>
      <c r="C620" s="557"/>
      <c r="D620" s="557"/>
      <c r="E620" s="557"/>
      <c r="F620" s="557"/>
      <c r="G620" s="557"/>
      <c r="H620" s="557"/>
      <c r="I620" s="557"/>
      <c r="J620" s="557"/>
      <c r="K620" s="557"/>
      <c r="L620" s="557"/>
      <c r="M620" s="558"/>
      <c r="N620" s="558"/>
      <c r="O620" s="557"/>
    </row>
    <row r="621" spans="2:16" ht="12.5">
      <c r="B621" s="560" t="s">
        <v>632</v>
      </c>
      <c r="C621" s="551">
        <v>14.708527249999999</v>
      </c>
      <c r="D621" s="551">
        <v>14.146445249999999</v>
      </c>
      <c r="E621" s="551">
        <v>14.36331725</v>
      </c>
      <c r="F621" s="551">
        <v>13.42841825</v>
      </c>
      <c r="G621" s="551">
        <v>12.904324249999998</v>
      </c>
      <c r="H621" s="554">
        <v>13.42841825</v>
      </c>
      <c r="I621" s="551"/>
      <c r="J621" s="553"/>
      <c r="K621" s="553"/>
      <c r="L621" s="551"/>
      <c r="M621" s="561"/>
      <c r="N621" s="561"/>
      <c r="O621" s="551"/>
    </row>
    <row r="622" spans="2:16" ht="12.5">
      <c r="B622" s="560" t="s">
        <v>633</v>
      </c>
      <c r="C622" s="551">
        <v>28.763525959999996</v>
      </c>
      <c r="D622" s="551">
        <v>32.267119959999995</v>
      </c>
      <c r="E622" s="551">
        <v>34.665655960000002</v>
      </c>
      <c r="F622" s="551">
        <v>37.417906959999996</v>
      </c>
      <c r="G622" s="551">
        <v>39.731059960000003</v>
      </c>
      <c r="H622" s="554">
        <v>37.417906959999996</v>
      </c>
      <c r="I622" s="551"/>
      <c r="J622" s="553"/>
      <c r="K622" s="553"/>
      <c r="L622" s="551"/>
      <c r="M622" s="561"/>
      <c r="N622" s="561"/>
      <c r="O622" s="551"/>
    </row>
    <row r="623" spans="2:16" ht="12.5">
      <c r="B623" s="560" t="s">
        <v>634</v>
      </c>
      <c r="C623" s="551">
        <v>569.53716655945198</v>
      </c>
      <c r="D623" s="551">
        <v>597.425140983029</v>
      </c>
      <c r="E623" s="551">
        <v>565.39987930735572</v>
      </c>
      <c r="F623" s="551">
        <v>549.13630437856864</v>
      </c>
      <c r="G623" s="551">
        <v>559.68931265756396</v>
      </c>
      <c r="H623" s="554">
        <v>549.13630437856864</v>
      </c>
      <c r="I623" s="551"/>
      <c r="J623" s="553"/>
      <c r="K623" s="553"/>
      <c r="L623" s="551"/>
      <c r="M623" s="561"/>
      <c r="N623" s="561"/>
      <c r="O623" s="551"/>
    </row>
    <row r="624" spans="2:16" s="559" customFormat="1" ht="12.5">
      <c r="B624" s="556" t="s">
        <v>635</v>
      </c>
      <c r="C624" s="557"/>
      <c r="D624" s="557"/>
      <c r="E624" s="557"/>
      <c r="F624" s="557"/>
      <c r="G624" s="557"/>
      <c r="H624" s="557"/>
      <c r="I624" s="557"/>
      <c r="J624" s="557"/>
      <c r="K624" s="557"/>
      <c r="L624" s="557"/>
      <c r="M624" s="558"/>
      <c r="N624" s="558"/>
      <c r="O624" s="557"/>
    </row>
    <row r="625" spans="2:15" ht="12.5">
      <c r="B625" s="560" t="s">
        <v>636</v>
      </c>
      <c r="C625" s="551">
        <v>0</v>
      </c>
      <c r="D625" s="551">
        <v>0</v>
      </c>
      <c r="E625" s="551">
        <v>0</v>
      </c>
      <c r="F625" s="551">
        <v>0</v>
      </c>
      <c r="G625" s="551">
        <v>0</v>
      </c>
      <c r="H625" s="554">
        <v>0</v>
      </c>
      <c r="I625" s="551"/>
      <c r="J625" s="553"/>
      <c r="K625" s="553"/>
      <c r="L625" s="551"/>
      <c r="M625" s="561"/>
      <c r="N625" s="561"/>
      <c r="O625" s="551"/>
    </row>
    <row r="626" spans="2:15" ht="12.5">
      <c r="B626" s="560" t="s">
        <v>637</v>
      </c>
      <c r="C626" s="551">
        <v>0</v>
      </c>
      <c r="D626" s="551">
        <v>0</v>
      </c>
      <c r="E626" s="551">
        <v>0</v>
      </c>
      <c r="F626" s="551">
        <v>0</v>
      </c>
      <c r="G626" s="551">
        <v>0</v>
      </c>
      <c r="H626" s="554">
        <v>0</v>
      </c>
      <c r="I626" s="551"/>
      <c r="J626" s="553"/>
      <c r="K626" s="553"/>
      <c r="L626" s="551"/>
      <c r="M626" s="561"/>
      <c r="N626" s="561"/>
      <c r="O626" s="551"/>
    </row>
    <row r="627" spans="2:15" ht="12.5">
      <c r="B627" s="560" t="s">
        <v>638</v>
      </c>
      <c r="C627" s="551">
        <v>3013.1319174128503</v>
      </c>
      <c r="D627" s="551">
        <v>3276.1929536813077</v>
      </c>
      <c r="E627" s="551">
        <v>3231.1963119504935</v>
      </c>
      <c r="F627" s="551">
        <v>3464.1282694725642</v>
      </c>
      <c r="G627" s="551">
        <v>3476.1223908506054</v>
      </c>
      <c r="H627" s="554">
        <v>3464.1282694725642</v>
      </c>
      <c r="I627" s="551"/>
      <c r="J627" s="553"/>
      <c r="K627" s="553"/>
      <c r="L627" s="551"/>
      <c r="M627" s="561"/>
      <c r="N627" s="561"/>
      <c r="O627" s="551"/>
    </row>
    <row r="628" spans="2:15" ht="12.5">
      <c r="B628" s="560" t="s">
        <v>639</v>
      </c>
      <c r="C628" s="551">
        <v>5610.8190922700005</v>
      </c>
      <c r="D628" s="551">
        <v>5638.3769314300007</v>
      </c>
      <c r="E628" s="551">
        <v>5517.6252189499992</v>
      </c>
      <c r="F628" s="551">
        <v>5717.0575361200008</v>
      </c>
      <c r="G628" s="551">
        <v>5695.82921609</v>
      </c>
      <c r="H628" s="554">
        <v>5717.0575361200008</v>
      </c>
      <c r="I628" s="551"/>
      <c r="J628" s="553"/>
      <c r="K628" s="553"/>
      <c r="L628" s="551"/>
      <c r="M628" s="561"/>
      <c r="N628" s="561"/>
      <c r="O628" s="551"/>
    </row>
    <row r="629" spans="2:15">
      <c r="G629" s="562"/>
    </row>
    <row r="630" spans="2:15" ht="13">
      <c r="B630" s="563" t="s">
        <v>622</v>
      </c>
      <c r="C630" s="564">
        <v>947.63845087999937</v>
      </c>
      <c r="D630" s="564">
        <v>997.5397268800001</v>
      </c>
      <c r="E630" s="564">
        <v>964.85291287999917</v>
      </c>
      <c r="F630" s="564">
        <v>957.36254987999973</v>
      </c>
      <c r="G630" s="564">
        <v>957.36254987999973</v>
      </c>
      <c r="H630" s="565">
        <v>957.36254987999973</v>
      </c>
      <c r="I630" s="565"/>
      <c r="J630" s="565"/>
      <c r="K630" s="565"/>
      <c r="L630" s="565"/>
      <c r="M630" s="565"/>
      <c r="N630" s="565"/>
      <c r="O630" s="565"/>
    </row>
    <row r="631" spans="2:15">
      <c r="G631" s="562"/>
    </row>
    <row r="632" spans="2:15" ht="12.5">
      <c r="B632" s="566" t="s">
        <v>640</v>
      </c>
      <c r="C632" s="566"/>
      <c r="D632" s="566"/>
      <c r="E632" s="566"/>
      <c r="F632" s="441"/>
      <c r="G632" s="441"/>
      <c r="H632" s="441"/>
      <c r="I632" s="441"/>
      <c r="J632" s="441"/>
      <c r="K632" s="441"/>
      <c r="L632" s="441"/>
      <c r="M632" s="441"/>
    </row>
    <row r="634" spans="2:15" ht="12.5">
      <c r="B634" s="567" t="s">
        <v>641</v>
      </c>
      <c r="C634" s="567"/>
      <c r="D634" s="441"/>
      <c r="E634" s="441"/>
      <c r="F634" s="441"/>
      <c r="G634" s="441"/>
      <c r="H634" s="441"/>
      <c r="I634" s="441"/>
      <c r="J634" s="441"/>
      <c r="K634" s="441"/>
      <c r="L634" s="441"/>
      <c r="M634" s="441"/>
    </row>
    <row r="635" spans="2:15" ht="12.5">
      <c r="B635" s="567" t="s">
        <v>642</v>
      </c>
      <c r="C635" s="567"/>
      <c r="D635" s="441"/>
      <c r="E635" s="441"/>
      <c r="F635" s="441"/>
      <c r="G635" s="441"/>
      <c r="H635" s="441"/>
      <c r="I635" s="441"/>
      <c r="J635" s="441"/>
      <c r="K635" s="441"/>
      <c r="L635" s="441"/>
      <c r="M635" s="441"/>
    </row>
    <row r="637" spans="2:15" ht="12.5">
      <c r="C637" s="441"/>
      <c r="D637" s="551"/>
      <c r="E637" s="551"/>
      <c r="F637" s="551"/>
      <c r="G637" s="551"/>
      <c r="H637" s="551"/>
      <c r="I637" s="551"/>
      <c r="J637" s="551"/>
      <c r="K637" s="551"/>
      <c r="L637" s="551"/>
      <c r="M637" s="551"/>
      <c r="N637" s="551"/>
      <c r="O637" s="551"/>
    </row>
  </sheetData>
  <mergeCells count="2">
    <mergeCell ref="B4:H4"/>
    <mergeCell ref="J4:L4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G181"/>
  <sheetViews>
    <sheetView topLeftCell="E151" zoomScale="98" zoomScaleNormal="98" workbookViewId="0">
      <selection activeCell="L163" sqref="L163"/>
    </sheetView>
  </sheetViews>
  <sheetFormatPr defaultColWidth="9.1796875" defaultRowHeight="14.5"/>
  <cols>
    <col min="4" max="4" width="24.54296875" customWidth="1"/>
    <col min="5" max="5" width="27.453125" customWidth="1"/>
    <col min="8" max="8" width="12.81640625" bestFit="1" customWidth="1"/>
    <col min="11" max="11" width="19" customWidth="1"/>
    <col min="12" max="12" width="15.453125" bestFit="1" customWidth="1"/>
    <col min="13" max="13" width="13.453125" customWidth="1"/>
    <col min="14" max="14" width="12.26953125" bestFit="1" customWidth="1"/>
    <col min="15" max="15" width="25" customWidth="1"/>
    <col min="16" max="16" width="13.453125" bestFit="1" customWidth="1"/>
    <col min="17" max="18" width="15" bestFit="1" customWidth="1"/>
    <col min="22" max="22" width="10.7265625" bestFit="1" customWidth="1"/>
    <col min="118" max="122" width="0" hidden="1" customWidth="1"/>
    <col min="130" max="130" width="8" customWidth="1"/>
    <col min="131" max="134" width="0" hidden="1" customWidth="1"/>
  </cols>
  <sheetData>
    <row r="2" spans="1:137">
      <c r="A2" s="568"/>
      <c r="B2" s="568"/>
      <c r="C2" s="568"/>
      <c r="D2" s="568"/>
      <c r="E2" s="569"/>
      <c r="F2" s="568"/>
      <c r="G2" s="568"/>
      <c r="H2" s="568"/>
      <c r="I2" s="568"/>
      <c r="J2" s="568"/>
      <c r="K2" s="568"/>
      <c r="L2" s="568"/>
      <c r="M2" s="568"/>
      <c r="N2" s="568"/>
    </row>
    <row r="3" spans="1:137">
      <c r="A3" s="905" t="s">
        <v>643</v>
      </c>
      <c r="B3" s="905" t="s">
        <v>644</v>
      </c>
      <c r="C3" s="905" t="s">
        <v>645</v>
      </c>
      <c r="D3" s="905" t="s">
        <v>646</v>
      </c>
      <c r="E3" s="906" t="s">
        <v>647</v>
      </c>
      <c r="F3" s="905" t="s">
        <v>648</v>
      </c>
      <c r="G3" s="905" t="s">
        <v>649</v>
      </c>
      <c r="H3" s="905" t="s">
        <v>650</v>
      </c>
      <c r="I3" s="905" t="s">
        <v>651</v>
      </c>
      <c r="J3" s="905" t="s">
        <v>652</v>
      </c>
      <c r="K3" s="907" t="s">
        <v>653</v>
      </c>
      <c r="L3" s="907" t="s">
        <v>654</v>
      </c>
      <c r="M3" s="907" t="s">
        <v>655</v>
      </c>
      <c r="N3" s="907" t="s">
        <v>656</v>
      </c>
      <c r="O3" s="884"/>
    </row>
    <row r="4" spans="1:137">
      <c r="A4" s="775" t="s">
        <v>657</v>
      </c>
      <c r="B4" s="776">
        <v>878</v>
      </c>
      <c r="C4" s="776" t="s">
        <v>658</v>
      </c>
      <c r="D4" s="777" t="s">
        <v>659</v>
      </c>
      <c r="E4" s="777" t="s">
        <v>660</v>
      </c>
      <c r="F4" s="776">
        <v>5</v>
      </c>
      <c r="G4" s="776">
        <v>1</v>
      </c>
      <c r="H4" s="778">
        <v>16218185.42</v>
      </c>
      <c r="I4" s="775" t="s">
        <v>116</v>
      </c>
      <c r="J4" s="779">
        <v>1</v>
      </c>
      <c r="K4" s="778">
        <v>16218185.42</v>
      </c>
      <c r="L4" s="778">
        <v>56722.504999999997</v>
      </c>
      <c r="M4" s="775" t="s">
        <v>661</v>
      </c>
      <c r="N4" s="775" t="s">
        <v>662</v>
      </c>
      <c r="O4" s="884"/>
      <c r="EF4" t="e">
        <f>+DZ4/DS4*100</f>
        <v>#DIV/0!</v>
      </c>
      <c r="EG4" t="e">
        <f>+(DZ4/DM4-1)*100</f>
        <v>#DIV/0!</v>
      </c>
    </row>
    <row r="5" spans="1:137">
      <c r="A5" s="775" t="s">
        <v>657</v>
      </c>
      <c r="B5" s="776">
        <v>878</v>
      </c>
      <c r="C5" s="776" t="s">
        <v>658</v>
      </c>
      <c r="D5" s="777" t="s">
        <v>659</v>
      </c>
      <c r="E5" s="777" t="s">
        <v>660</v>
      </c>
      <c r="F5" s="776">
        <v>5</v>
      </c>
      <c r="G5" s="776">
        <v>1</v>
      </c>
      <c r="H5" s="778">
        <v>692958</v>
      </c>
      <c r="I5" s="775" t="s">
        <v>116</v>
      </c>
      <c r="J5" s="779">
        <v>1</v>
      </c>
      <c r="K5" s="778">
        <v>692958</v>
      </c>
      <c r="L5" s="778">
        <v>2423.5949999999998</v>
      </c>
      <c r="M5" s="775" t="s">
        <v>661</v>
      </c>
      <c r="N5" s="775" t="s">
        <v>662</v>
      </c>
      <c r="O5" s="884"/>
      <c r="EF5" t="e">
        <f t="shared" ref="EF5:EF23" si="0">+DZ5/DS5*100</f>
        <v>#DIV/0!</v>
      </c>
      <c r="EG5" t="e">
        <f t="shared" ref="EG5:EG23" si="1">+(DZ5/DM5-1)*100</f>
        <v>#DIV/0!</v>
      </c>
    </row>
    <row r="6" spans="1:137">
      <c r="A6" s="775" t="s">
        <v>663</v>
      </c>
      <c r="B6" s="776">
        <v>3403</v>
      </c>
      <c r="C6" s="776" t="s">
        <v>664</v>
      </c>
      <c r="D6" s="777" t="s">
        <v>665</v>
      </c>
      <c r="E6" s="777" t="s">
        <v>666</v>
      </c>
      <c r="F6" s="776">
        <v>11</v>
      </c>
      <c r="G6" s="776">
        <v>1</v>
      </c>
      <c r="H6" s="778">
        <v>4260431</v>
      </c>
      <c r="I6" s="775" t="s">
        <v>116</v>
      </c>
      <c r="J6" s="779">
        <v>1</v>
      </c>
      <c r="K6" s="778">
        <v>4260431</v>
      </c>
      <c r="L6" s="778">
        <v>37940.83</v>
      </c>
      <c r="M6" s="775" t="s">
        <v>667</v>
      </c>
      <c r="N6" s="775" t="s">
        <v>668</v>
      </c>
      <c r="O6" s="884"/>
      <c r="DZ6" s="884"/>
      <c r="EF6" t="e">
        <f t="shared" si="0"/>
        <v>#DIV/0!</v>
      </c>
      <c r="EG6" t="e">
        <f t="shared" si="1"/>
        <v>#DIV/0!</v>
      </c>
    </row>
    <row r="7" spans="1:137">
      <c r="A7" s="775" t="s">
        <v>663</v>
      </c>
      <c r="B7" s="776">
        <v>3403</v>
      </c>
      <c r="C7" s="776" t="s">
        <v>664</v>
      </c>
      <c r="D7" s="777" t="s">
        <v>665</v>
      </c>
      <c r="E7" s="777" t="s">
        <v>666</v>
      </c>
      <c r="F7" s="776">
        <v>11</v>
      </c>
      <c r="G7" s="776">
        <v>1</v>
      </c>
      <c r="H7" s="778">
        <v>17789821</v>
      </c>
      <c r="I7" s="775" t="s">
        <v>116</v>
      </c>
      <c r="J7" s="779">
        <v>1</v>
      </c>
      <c r="K7" s="778">
        <v>17789821</v>
      </c>
      <c r="L7" s="778">
        <v>158780.48000000001</v>
      </c>
      <c r="M7" s="775" t="s">
        <v>667</v>
      </c>
      <c r="N7" s="775" t="s">
        <v>668</v>
      </c>
      <c r="O7" s="884"/>
      <c r="DZ7" s="884"/>
      <c r="EF7" t="e">
        <f t="shared" si="0"/>
        <v>#DIV/0!</v>
      </c>
      <c r="EG7" t="e">
        <f t="shared" si="1"/>
        <v>#DIV/0!</v>
      </c>
    </row>
    <row r="8" spans="1:137">
      <c r="A8" s="775" t="s">
        <v>663</v>
      </c>
      <c r="B8" s="776">
        <v>10633</v>
      </c>
      <c r="C8" s="776" t="s">
        <v>664</v>
      </c>
      <c r="D8" s="777" t="s">
        <v>669</v>
      </c>
      <c r="E8" s="777" t="s">
        <v>670</v>
      </c>
      <c r="F8" s="776">
        <v>14</v>
      </c>
      <c r="G8" s="776">
        <v>1</v>
      </c>
      <c r="H8" s="778">
        <v>489529.65</v>
      </c>
      <c r="I8" s="775" t="s">
        <v>667</v>
      </c>
      <c r="J8" s="779">
        <v>110.265</v>
      </c>
      <c r="K8" s="778">
        <v>53977986.857250005</v>
      </c>
      <c r="L8" s="778">
        <v>489529.65</v>
      </c>
      <c r="M8" s="775" t="s">
        <v>667</v>
      </c>
      <c r="N8" s="775" t="s">
        <v>668</v>
      </c>
      <c r="O8" s="884"/>
      <c r="DZ8" s="884"/>
      <c r="EF8" t="e">
        <f t="shared" si="0"/>
        <v>#DIV/0!</v>
      </c>
      <c r="EG8" t="e">
        <f t="shared" si="1"/>
        <v>#DIV/0!</v>
      </c>
    </row>
    <row r="9" spans="1:137">
      <c r="A9" s="775" t="s">
        <v>663</v>
      </c>
      <c r="B9" s="776">
        <v>10633</v>
      </c>
      <c r="C9" s="776" t="s">
        <v>664</v>
      </c>
      <c r="D9" s="777" t="s">
        <v>669</v>
      </c>
      <c r="E9" s="777" t="s">
        <v>670</v>
      </c>
      <c r="F9" s="776">
        <v>14</v>
      </c>
      <c r="G9" s="776">
        <v>1</v>
      </c>
      <c r="H9" s="778">
        <v>164746.53</v>
      </c>
      <c r="I9" s="775" t="s">
        <v>667</v>
      </c>
      <c r="J9" s="779">
        <v>110.265</v>
      </c>
      <c r="K9" s="778">
        <v>18165776.130449999</v>
      </c>
      <c r="L9" s="778">
        <v>164746.53</v>
      </c>
      <c r="M9" s="775" t="s">
        <v>667</v>
      </c>
      <c r="N9" s="775" t="s">
        <v>668</v>
      </c>
      <c r="O9" s="884"/>
      <c r="DZ9" s="884"/>
      <c r="EF9" t="e">
        <f t="shared" si="0"/>
        <v>#DIV/0!</v>
      </c>
      <c r="EG9" t="e">
        <f t="shared" si="1"/>
        <v>#DIV/0!</v>
      </c>
    </row>
    <row r="10" spans="1:137">
      <c r="A10" s="775" t="s">
        <v>663</v>
      </c>
      <c r="B10" s="776">
        <v>10633</v>
      </c>
      <c r="C10" s="776" t="s">
        <v>664</v>
      </c>
      <c r="D10" s="777" t="s">
        <v>669</v>
      </c>
      <c r="E10" s="777" t="s">
        <v>670</v>
      </c>
      <c r="F10" s="776">
        <v>14</v>
      </c>
      <c r="G10" s="776">
        <v>1</v>
      </c>
      <c r="H10" s="778">
        <v>84750.38</v>
      </c>
      <c r="I10" s="775" t="s">
        <v>667</v>
      </c>
      <c r="J10" s="779">
        <v>110.265</v>
      </c>
      <c r="K10" s="778">
        <v>9345000.650700001</v>
      </c>
      <c r="L10" s="778">
        <v>84750.38</v>
      </c>
      <c r="M10" s="775" t="s">
        <v>667</v>
      </c>
      <c r="N10" s="775" t="s">
        <v>668</v>
      </c>
      <c r="O10" s="884"/>
      <c r="DZ10" s="884"/>
      <c r="EF10" t="e">
        <f t="shared" si="0"/>
        <v>#DIV/0!</v>
      </c>
      <c r="EG10" t="e">
        <f t="shared" si="1"/>
        <v>#DIV/0!</v>
      </c>
    </row>
    <row r="11" spans="1:137">
      <c r="A11" s="775" t="s">
        <v>663</v>
      </c>
      <c r="B11" s="776">
        <v>10181</v>
      </c>
      <c r="C11" s="776" t="s">
        <v>664</v>
      </c>
      <c r="D11" s="777" t="s">
        <v>671</v>
      </c>
      <c r="E11" s="777" t="s">
        <v>672</v>
      </c>
      <c r="F11" s="776">
        <v>15</v>
      </c>
      <c r="G11" s="776">
        <v>1</v>
      </c>
      <c r="H11" s="778">
        <v>21099809</v>
      </c>
      <c r="I11" s="775" t="s">
        <v>116</v>
      </c>
      <c r="J11" s="779">
        <v>1</v>
      </c>
      <c r="K11" s="778">
        <v>21099809</v>
      </c>
      <c r="L11" s="778">
        <v>192491.8</v>
      </c>
      <c r="M11" s="775" t="s">
        <v>667</v>
      </c>
      <c r="N11" s="775" t="s">
        <v>668</v>
      </c>
      <c r="O11" s="884"/>
      <c r="V11" s="891">
        <v>639891678</v>
      </c>
      <c r="DZ11" s="884"/>
      <c r="EF11" t="e">
        <f t="shared" si="0"/>
        <v>#DIV/0!</v>
      </c>
      <c r="EG11" t="e">
        <f t="shared" si="1"/>
        <v>#DIV/0!</v>
      </c>
    </row>
    <row r="12" spans="1:137">
      <c r="A12" s="775" t="s">
        <v>673</v>
      </c>
      <c r="B12" s="776">
        <v>63550</v>
      </c>
      <c r="C12" s="776" t="s">
        <v>664</v>
      </c>
      <c r="D12" s="777" t="s">
        <v>674</v>
      </c>
      <c r="E12" s="777" t="s">
        <v>675</v>
      </c>
      <c r="F12" s="776">
        <v>12</v>
      </c>
      <c r="G12" s="776">
        <v>1</v>
      </c>
      <c r="H12" s="778">
        <v>999653.42</v>
      </c>
      <c r="I12" s="775" t="s">
        <v>676</v>
      </c>
      <c r="J12" s="779">
        <v>89.269239999999996</v>
      </c>
      <c r="K12" s="778">
        <v>89238301.066800803</v>
      </c>
      <c r="L12" s="778">
        <v>693765.34</v>
      </c>
      <c r="M12" s="775" t="s">
        <v>677</v>
      </c>
      <c r="N12" s="775" t="s">
        <v>678</v>
      </c>
      <c r="O12" s="884"/>
      <c r="DZ12" s="884"/>
      <c r="EF12" t="e">
        <f t="shared" si="0"/>
        <v>#DIV/0!</v>
      </c>
      <c r="EG12" t="e">
        <f t="shared" si="1"/>
        <v>#DIV/0!</v>
      </c>
    </row>
    <row r="13" spans="1:137">
      <c r="A13" s="775" t="s">
        <v>673</v>
      </c>
      <c r="B13" s="776">
        <v>61000</v>
      </c>
      <c r="C13" s="776" t="s">
        <v>664</v>
      </c>
      <c r="D13" s="777" t="s">
        <v>679</v>
      </c>
      <c r="E13" s="777" t="s">
        <v>680</v>
      </c>
      <c r="F13" s="776">
        <v>19</v>
      </c>
      <c r="G13" s="776">
        <v>1</v>
      </c>
      <c r="H13" s="778">
        <v>3409613.1</v>
      </c>
      <c r="I13" s="775" t="s">
        <v>676</v>
      </c>
      <c r="J13" s="779">
        <v>90.555090000000007</v>
      </c>
      <c r="K13" s="778">
        <v>308757821.13567901</v>
      </c>
      <c r="L13" s="778">
        <v>2367951.3199999998</v>
      </c>
      <c r="M13" s="775" t="s">
        <v>677</v>
      </c>
      <c r="N13" s="775" t="s">
        <v>678</v>
      </c>
      <c r="O13" s="884"/>
      <c r="DZ13" s="884"/>
      <c r="EF13" t="e">
        <f t="shared" si="0"/>
        <v>#DIV/0!</v>
      </c>
      <c r="EG13" t="e">
        <f t="shared" si="1"/>
        <v>#DIV/0!</v>
      </c>
    </row>
    <row r="14" spans="1:137">
      <c r="A14" s="775" t="s">
        <v>681</v>
      </c>
      <c r="B14" s="776" t="s">
        <v>682</v>
      </c>
      <c r="C14" s="776" t="s">
        <v>658</v>
      </c>
      <c r="D14" s="777" t="s">
        <v>683</v>
      </c>
      <c r="E14" s="777" t="s">
        <v>684</v>
      </c>
      <c r="F14" s="776">
        <v>20</v>
      </c>
      <c r="G14" s="776">
        <v>1</v>
      </c>
      <c r="H14" s="778">
        <v>41945</v>
      </c>
      <c r="I14" s="775" t="s">
        <v>685</v>
      </c>
      <c r="J14" s="779">
        <v>0.88021660000000002</v>
      </c>
      <c r="K14" s="778">
        <v>36920.685287</v>
      </c>
      <c r="L14" s="778">
        <v>41945</v>
      </c>
      <c r="M14" s="775" t="s">
        <v>685</v>
      </c>
      <c r="N14" s="775" t="s">
        <v>662</v>
      </c>
      <c r="O14" s="884"/>
      <c r="EF14" t="e">
        <f t="shared" si="0"/>
        <v>#DIV/0!</v>
      </c>
      <c r="EG14" t="e">
        <f t="shared" si="1"/>
        <v>#DIV/0!</v>
      </c>
    </row>
    <row r="15" spans="1:137">
      <c r="A15" s="775" t="s">
        <v>681</v>
      </c>
      <c r="B15" s="776" t="s">
        <v>682</v>
      </c>
      <c r="C15" s="776" t="s">
        <v>658</v>
      </c>
      <c r="D15" s="777" t="s">
        <v>683</v>
      </c>
      <c r="E15" s="777" t="s">
        <v>684</v>
      </c>
      <c r="F15" s="776">
        <v>22</v>
      </c>
      <c r="G15" s="776">
        <v>1</v>
      </c>
      <c r="H15" s="778">
        <v>21773.77</v>
      </c>
      <c r="I15" s="775" t="s">
        <v>676</v>
      </c>
      <c r="J15" s="779">
        <v>90.592370000000003</v>
      </c>
      <c r="K15" s="778">
        <v>1972537.4281349001</v>
      </c>
      <c r="L15" s="778">
        <v>2284721</v>
      </c>
      <c r="M15" s="775" t="s">
        <v>685</v>
      </c>
      <c r="N15" s="775" t="s">
        <v>662</v>
      </c>
      <c r="O15" s="884"/>
      <c r="DZ15" s="884"/>
      <c r="EF15" t="e">
        <f t="shared" si="0"/>
        <v>#DIV/0!</v>
      </c>
      <c r="EG15" t="e">
        <f t="shared" si="1"/>
        <v>#DIV/0!</v>
      </c>
    </row>
    <row r="16" spans="1:137">
      <c r="A16" s="775" t="s">
        <v>681</v>
      </c>
      <c r="B16" s="776" t="s">
        <v>682</v>
      </c>
      <c r="C16" s="776" t="s">
        <v>658</v>
      </c>
      <c r="D16" s="777" t="s">
        <v>683</v>
      </c>
      <c r="E16" s="777" t="s">
        <v>684</v>
      </c>
      <c r="F16" s="776">
        <v>22</v>
      </c>
      <c r="G16" s="776">
        <v>1</v>
      </c>
      <c r="H16" s="778">
        <v>1647488</v>
      </c>
      <c r="I16" s="775" t="s">
        <v>685</v>
      </c>
      <c r="J16" s="779">
        <v>0.87643309999999996</v>
      </c>
      <c r="K16" s="778">
        <v>1443913.0150527998</v>
      </c>
      <c r="L16" s="778">
        <v>1647488</v>
      </c>
      <c r="M16" s="775" t="s">
        <v>685</v>
      </c>
      <c r="N16" s="775" t="s">
        <v>662</v>
      </c>
      <c r="O16" s="884"/>
      <c r="EF16" t="e">
        <f t="shared" si="0"/>
        <v>#DIV/0!</v>
      </c>
      <c r="EG16" t="e">
        <f t="shared" si="1"/>
        <v>#DIV/0!</v>
      </c>
    </row>
    <row r="17" spans="1:137">
      <c r="A17" s="775" t="s">
        <v>657</v>
      </c>
      <c r="B17" s="776">
        <v>878</v>
      </c>
      <c r="C17" s="776" t="s">
        <v>658</v>
      </c>
      <c r="D17" s="777" t="s">
        <v>659</v>
      </c>
      <c r="E17" s="777" t="s">
        <v>660</v>
      </c>
      <c r="F17" s="776">
        <v>21</v>
      </c>
      <c r="G17" s="776">
        <v>1</v>
      </c>
      <c r="H17" s="778">
        <v>6758858</v>
      </c>
      <c r="I17" s="775" t="s">
        <v>116</v>
      </c>
      <c r="J17" s="779">
        <v>1</v>
      </c>
      <c r="K17" s="778">
        <v>6758858</v>
      </c>
      <c r="L17" s="778">
        <v>23644.695</v>
      </c>
      <c r="M17" s="775" t="s">
        <v>661</v>
      </c>
      <c r="N17" s="775" t="s">
        <v>662</v>
      </c>
      <c r="O17" s="884"/>
      <c r="EF17" t="e">
        <f t="shared" si="0"/>
        <v>#DIV/0!</v>
      </c>
      <c r="EG17" t="e">
        <f t="shared" si="1"/>
        <v>#DIV/0!</v>
      </c>
    </row>
    <row r="18" spans="1:137">
      <c r="A18" s="775" t="s">
        <v>657</v>
      </c>
      <c r="B18" s="776">
        <v>878</v>
      </c>
      <c r="C18" s="776" t="s">
        <v>658</v>
      </c>
      <c r="D18" s="777" t="s">
        <v>659</v>
      </c>
      <c r="E18" s="777" t="s">
        <v>660</v>
      </c>
      <c r="F18" s="776">
        <v>21</v>
      </c>
      <c r="G18" s="776">
        <v>1</v>
      </c>
      <c r="H18" s="778">
        <v>311178</v>
      </c>
      <c r="I18" s="775" t="s">
        <v>116</v>
      </c>
      <c r="J18" s="779">
        <v>1</v>
      </c>
      <c r="K18" s="778">
        <v>311178</v>
      </c>
      <c r="L18" s="778">
        <v>1088.6020000000001</v>
      </c>
      <c r="M18" s="775" t="s">
        <v>661</v>
      </c>
      <c r="N18" s="775" t="s">
        <v>662</v>
      </c>
      <c r="O18" s="884"/>
      <c r="DZ18" s="884"/>
      <c r="EF18" t="e">
        <f t="shared" si="0"/>
        <v>#DIV/0!</v>
      </c>
      <c r="EG18" t="e">
        <f t="shared" si="1"/>
        <v>#DIV/0!</v>
      </c>
    </row>
    <row r="19" spans="1:137">
      <c r="A19" s="775" t="s">
        <v>663</v>
      </c>
      <c r="B19" s="776">
        <v>10633</v>
      </c>
      <c r="C19" s="776" t="s">
        <v>664</v>
      </c>
      <c r="D19" s="777" t="s">
        <v>669</v>
      </c>
      <c r="E19" s="777" t="s">
        <v>670</v>
      </c>
      <c r="F19" s="776">
        <v>20</v>
      </c>
      <c r="G19" s="776">
        <v>1</v>
      </c>
      <c r="H19" s="778">
        <v>330302.34000000003</v>
      </c>
      <c r="I19" s="775" t="s">
        <v>667</v>
      </c>
      <c r="J19" s="779">
        <v>110.265</v>
      </c>
      <c r="K19" s="778">
        <v>36420787.520100005</v>
      </c>
      <c r="L19" s="778">
        <v>330302.34000000003</v>
      </c>
      <c r="M19" s="775" t="s">
        <v>667</v>
      </c>
      <c r="N19" s="775" t="s">
        <v>668</v>
      </c>
      <c r="O19" s="884"/>
      <c r="EF19" t="e">
        <f t="shared" si="0"/>
        <v>#DIV/0!</v>
      </c>
      <c r="EG19" t="e">
        <f t="shared" si="1"/>
        <v>#DIV/0!</v>
      </c>
    </row>
    <row r="20" spans="1:137">
      <c r="A20" s="775" t="s">
        <v>673</v>
      </c>
      <c r="B20" s="776">
        <v>58010</v>
      </c>
      <c r="C20" s="776" t="s">
        <v>664</v>
      </c>
      <c r="D20" s="777" t="s">
        <v>686</v>
      </c>
      <c r="E20" s="777" t="s">
        <v>687</v>
      </c>
      <c r="F20" s="776">
        <v>27</v>
      </c>
      <c r="G20" s="776">
        <v>1</v>
      </c>
      <c r="H20" s="778">
        <v>143003.26</v>
      </c>
      <c r="I20" s="775" t="s">
        <v>676</v>
      </c>
      <c r="J20" s="779">
        <v>91.299030000000002</v>
      </c>
      <c r="K20" s="778">
        <v>13056058.924837802</v>
      </c>
      <c r="L20" s="778">
        <v>99272.66</v>
      </c>
      <c r="M20" s="775" t="s">
        <v>677</v>
      </c>
      <c r="N20" s="775" t="s">
        <v>678</v>
      </c>
      <c r="O20" s="884"/>
      <c r="DZ20" s="884"/>
      <c r="EF20" t="e">
        <f t="shared" si="0"/>
        <v>#DIV/0!</v>
      </c>
      <c r="EG20" t="e">
        <f t="shared" si="1"/>
        <v>#DIV/0!</v>
      </c>
    </row>
    <row r="21" spans="1:137">
      <c r="A21" s="775" t="s">
        <v>673</v>
      </c>
      <c r="B21" s="776">
        <v>58010</v>
      </c>
      <c r="C21" s="776" t="s">
        <v>664</v>
      </c>
      <c r="D21" s="777" t="s">
        <v>686</v>
      </c>
      <c r="E21" s="777" t="s">
        <v>687</v>
      </c>
      <c r="F21" s="776">
        <v>27</v>
      </c>
      <c r="G21" s="776">
        <v>1</v>
      </c>
      <c r="H21" s="778">
        <v>103401.12</v>
      </c>
      <c r="I21" s="775" t="s">
        <v>676</v>
      </c>
      <c r="J21" s="779">
        <v>91.299030000000002</v>
      </c>
      <c r="K21" s="778">
        <v>9440421.9569135997</v>
      </c>
      <c r="L21" s="778">
        <v>71780.91</v>
      </c>
      <c r="M21" s="775" t="s">
        <v>677</v>
      </c>
      <c r="N21" s="775" t="s">
        <v>678</v>
      </c>
      <c r="O21" s="884"/>
      <c r="DZ21" s="884"/>
      <c r="EF21" t="e">
        <f t="shared" si="0"/>
        <v>#DIV/0!</v>
      </c>
      <c r="EG21" t="e">
        <f t="shared" si="1"/>
        <v>#DIV/0!</v>
      </c>
    </row>
    <row r="22" spans="1:137">
      <c r="A22" s="775" t="s">
        <v>673</v>
      </c>
      <c r="B22" s="776">
        <v>58010</v>
      </c>
      <c r="C22" s="776" t="s">
        <v>664</v>
      </c>
      <c r="D22" s="777" t="s">
        <v>686</v>
      </c>
      <c r="E22" s="777" t="s">
        <v>687</v>
      </c>
      <c r="F22" s="776">
        <v>27</v>
      </c>
      <c r="G22" s="776">
        <v>1</v>
      </c>
      <c r="H22" s="778">
        <v>32211.74</v>
      </c>
      <c r="I22" s="775" t="s">
        <v>676</v>
      </c>
      <c r="J22" s="779">
        <v>91.299030000000002</v>
      </c>
      <c r="K22" s="778">
        <v>2940900.6166122002</v>
      </c>
      <c r="L22" s="778">
        <v>22361.34</v>
      </c>
      <c r="M22" s="775" t="s">
        <v>677</v>
      </c>
      <c r="N22" s="775" t="s">
        <v>678</v>
      </c>
      <c r="O22" s="884"/>
      <c r="DZ22" s="884"/>
      <c r="EF22" t="e">
        <f t="shared" si="0"/>
        <v>#DIV/0!</v>
      </c>
      <c r="EG22" t="e">
        <f t="shared" si="1"/>
        <v>#DIV/0!</v>
      </c>
    </row>
    <row r="23" spans="1:137">
      <c r="A23" s="775" t="s">
        <v>673</v>
      </c>
      <c r="B23" s="776">
        <v>63310</v>
      </c>
      <c r="C23" s="776" t="s">
        <v>664</v>
      </c>
      <c r="D23" s="777" t="s">
        <v>688</v>
      </c>
      <c r="E23" s="777" t="s">
        <v>689</v>
      </c>
      <c r="F23" s="776">
        <v>27</v>
      </c>
      <c r="G23" s="776">
        <v>1</v>
      </c>
      <c r="H23" s="778">
        <v>1100000</v>
      </c>
      <c r="I23" s="775" t="s">
        <v>676</v>
      </c>
      <c r="J23" s="779">
        <v>90.704400000000007</v>
      </c>
      <c r="K23" s="778">
        <v>99774840.000000015</v>
      </c>
      <c r="L23" s="778">
        <v>763618.44</v>
      </c>
      <c r="M23" s="775" t="s">
        <v>677</v>
      </c>
      <c r="N23" s="775" t="s">
        <v>690</v>
      </c>
      <c r="O23" s="884"/>
      <c r="DZ23" s="884"/>
      <c r="EF23" t="e">
        <f t="shared" si="0"/>
        <v>#DIV/0!</v>
      </c>
      <c r="EG23" t="e">
        <f t="shared" si="1"/>
        <v>#DIV/0!</v>
      </c>
    </row>
    <row r="24" spans="1:137">
      <c r="A24" s="775" t="s">
        <v>663</v>
      </c>
      <c r="B24" s="776">
        <v>10633</v>
      </c>
      <c r="C24" s="776" t="s">
        <v>664</v>
      </c>
      <c r="D24" s="777" t="s">
        <v>669</v>
      </c>
      <c r="E24" s="777" t="s">
        <v>670</v>
      </c>
      <c r="F24" s="776">
        <v>27</v>
      </c>
      <c r="G24" s="776">
        <v>1</v>
      </c>
      <c r="H24" s="778">
        <v>38728.550000000003</v>
      </c>
      <c r="I24" s="775" t="s">
        <v>667</v>
      </c>
      <c r="J24" s="779">
        <v>110.265</v>
      </c>
      <c r="K24" s="778">
        <v>4270403.5657500001</v>
      </c>
      <c r="L24" s="778">
        <v>38728.550000000003</v>
      </c>
      <c r="M24" s="775" t="s">
        <v>667</v>
      </c>
      <c r="N24" s="775" t="s">
        <v>668</v>
      </c>
      <c r="O24" s="884"/>
      <c r="DZ24" s="884"/>
    </row>
    <row r="25" spans="1:137">
      <c r="A25" s="775" t="s">
        <v>663</v>
      </c>
      <c r="B25" s="776">
        <v>10633</v>
      </c>
      <c r="C25" s="776" t="s">
        <v>664</v>
      </c>
      <c r="D25" s="777" t="s">
        <v>669</v>
      </c>
      <c r="E25" s="777" t="s">
        <v>670</v>
      </c>
      <c r="F25" s="776">
        <v>27</v>
      </c>
      <c r="G25" s="776">
        <v>1</v>
      </c>
      <c r="H25" s="778">
        <v>71338.600000000006</v>
      </c>
      <c r="I25" s="775" t="s">
        <v>667</v>
      </c>
      <c r="J25" s="779">
        <v>110.265</v>
      </c>
      <c r="K25" s="778">
        <v>7866150.7290000003</v>
      </c>
      <c r="L25" s="778">
        <v>71338.600000000006</v>
      </c>
      <c r="M25" s="775" t="s">
        <v>667</v>
      </c>
      <c r="N25" s="775" t="s">
        <v>668</v>
      </c>
      <c r="O25" s="884"/>
      <c r="DZ25" s="884"/>
    </row>
    <row r="26" spans="1:137">
      <c r="A26" s="775" t="s">
        <v>681</v>
      </c>
      <c r="B26" s="776" t="s">
        <v>682</v>
      </c>
      <c r="C26" s="776" t="s">
        <v>658</v>
      </c>
      <c r="D26" s="777" t="s">
        <v>683</v>
      </c>
      <c r="E26" s="777" t="s">
        <v>684</v>
      </c>
      <c r="F26" s="776">
        <v>29</v>
      </c>
      <c r="G26" s="776">
        <v>1</v>
      </c>
      <c r="H26" s="778">
        <v>30795.14</v>
      </c>
      <c r="I26" s="775" t="s">
        <v>676</v>
      </c>
      <c r="J26" s="779">
        <v>91.094930000000005</v>
      </c>
      <c r="K26" s="778">
        <v>2805281.1226402</v>
      </c>
      <c r="L26" s="778">
        <v>3223635</v>
      </c>
      <c r="M26" s="775" t="s">
        <v>685</v>
      </c>
      <c r="N26" s="775" t="s">
        <v>662</v>
      </c>
      <c r="O26" s="884"/>
      <c r="DZ26" s="884"/>
    </row>
    <row r="27" spans="1:137">
      <c r="A27" s="775" t="s">
        <v>681</v>
      </c>
      <c r="B27" s="776" t="s">
        <v>682</v>
      </c>
      <c r="C27" s="776" t="s">
        <v>658</v>
      </c>
      <c r="D27" s="777" t="s">
        <v>683</v>
      </c>
      <c r="E27" s="777" t="s">
        <v>684</v>
      </c>
      <c r="F27" s="776">
        <v>29</v>
      </c>
      <c r="G27" s="776">
        <v>1</v>
      </c>
      <c r="H27" s="778">
        <v>29400</v>
      </c>
      <c r="I27" s="775" t="s">
        <v>676</v>
      </c>
      <c r="J27" s="779">
        <v>91.094930000000005</v>
      </c>
      <c r="K27" s="778">
        <v>2678190.9420000003</v>
      </c>
      <c r="L27" s="778">
        <v>3077592</v>
      </c>
      <c r="M27" s="775" t="s">
        <v>685</v>
      </c>
      <c r="N27" s="775" t="s">
        <v>662</v>
      </c>
      <c r="O27" s="884"/>
    </row>
    <row r="28" spans="1:137">
      <c r="A28" s="775" t="s">
        <v>691</v>
      </c>
      <c r="B28" s="776">
        <v>858</v>
      </c>
      <c r="C28" s="776" t="s">
        <v>664</v>
      </c>
      <c r="D28" s="777" t="s">
        <v>692</v>
      </c>
      <c r="E28" s="777" t="s">
        <v>693</v>
      </c>
      <c r="F28" s="776">
        <v>2</v>
      </c>
      <c r="G28" s="776">
        <v>2</v>
      </c>
      <c r="H28" s="778">
        <v>1887042</v>
      </c>
      <c r="I28" s="775" t="s">
        <v>116</v>
      </c>
      <c r="J28" s="779">
        <v>1</v>
      </c>
      <c r="K28" s="778">
        <v>1887042</v>
      </c>
      <c r="L28" s="778">
        <v>21312.880000000001</v>
      </c>
      <c r="M28" s="775" t="s">
        <v>676</v>
      </c>
      <c r="N28" s="775" t="s">
        <v>662</v>
      </c>
      <c r="O28" s="884"/>
      <c r="DZ28" s="884"/>
    </row>
    <row r="29" spans="1:137">
      <c r="A29" s="775" t="s">
        <v>673</v>
      </c>
      <c r="B29" s="776">
        <v>58010</v>
      </c>
      <c r="C29" s="776" t="s">
        <v>664</v>
      </c>
      <c r="D29" s="777" t="s">
        <v>686</v>
      </c>
      <c r="E29" s="777" t="s">
        <v>687</v>
      </c>
      <c r="F29" s="776">
        <v>8</v>
      </c>
      <c r="G29" s="776">
        <v>2</v>
      </c>
      <c r="H29" s="778">
        <v>36439.61</v>
      </c>
      <c r="I29" s="775" t="s">
        <v>676</v>
      </c>
      <c r="J29" s="779">
        <v>91.91686</v>
      </c>
      <c r="K29" s="778">
        <v>3349414.5308246003</v>
      </c>
      <c r="L29" s="778">
        <v>25380.37</v>
      </c>
      <c r="M29" s="775" t="s">
        <v>677</v>
      </c>
      <c r="N29" s="775" t="s">
        <v>678</v>
      </c>
      <c r="O29" s="884"/>
      <c r="DZ29" s="884"/>
    </row>
    <row r="30" spans="1:137">
      <c r="A30" s="775" t="s">
        <v>673</v>
      </c>
      <c r="B30" s="776">
        <v>61820</v>
      </c>
      <c r="C30" s="776" t="s">
        <v>664</v>
      </c>
      <c r="D30" s="777" t="s">
        <v>694</v>
      </c>
      <c r="E30" s="777" t="s">
        <v>675</v>
      </c>
      <c r="F30" s="776">
        <v>11</v>
      </c>
      <c r="G30" s="776">
        <v>2</v>
      </c>
      <c r="H30" s="778">
        <v>50142.68</v>
      </c>
      <c r="I30" s="775" t="s">
        <v>676</v>
      </c>
      <c r="J30" s="779">
        <v>90.824209999999994</v>
      </c>
      <c r="K30" s="778">
        <v>4554169.2982827993</v>
      </c>
      <c r="L30" s="778">
        <v>34763.370000000003</v>
      </c>
      <c r="M30" s="775" t="s">
        <v>677</v>
      </c>
      <c r="N30" s="775" t="s">
        <v>678</v>
      </c>
      <c r="O30" s="884"/>
      <c r="DZ30" s="884"/>
    </row>
    <row r="31" spans="1:137">
      <c r="A31" s="775" t="s">
        <v>695</v>
      </c>
      <c r="B31" s="776" t="s">
        <v>696</v>
      </c>
      <c r="C31" s="776" t="s">
        <v>664</v>
      </c>
      <c r="D31" s="777" t="s">
        <v>697</v>
      </c>
      <c r="E31" s="777" t="s">
        <v>698</v>
      </c>
      <c r="F31" s="776">
        <v>9</v>
      </c>
      <c r="G31" s="776">
        <v>2</v>
      </c>
      <c r="H31" s="778">
        <v>113016</v>
      </c>
      <c r="I31" s="775" t="s">
        <v>667</v>
      </c>
      <c r="J31" s="779">
        <v>110.265</v>
      </c>
      <c r="K31" s="778">
        <v>12461709.24</v>
      </c>
      <c r="L31" s="778">
        <v>113016</v>
      </c>
      <c r="M31" s="775" t="s">
        <v>667</v>
      </c>
      <c r="N31" s="775" t="s">
        <v>678</v>
      </c>
      <c r="O31" s="884"/>
      <c r="DZ31" s="884"/>
    </row>
    <row r="32" spans="1:137">
      <c r="A32" s="775" t="s">
        <v>695</v>
      </c>
      <c r="B32" s="776" t="s">
        <v>699</v>
      </c>
      <c r="C32" s="776" t="s">
        <v>664</v>
      </c>
      <c r="D32" s="777" t="s">
        <v>697</v>
      </c>
      <c r="E32" s="777" t="s">
        <v>698</v>
      </c>
      <c r="F32" s="776">
        <v>9</v>
      </c>
      <c r="G32" s="776">
        <v>2</v>
      </c>
      <c r="H32" s="778">
        <v>179352</v>
      </c>
      <c r="I32" s="775" t="s">
        <v>667</v>
      </c>
      <c r="J32" s="779">
        <v>110.265</v>
      </c>
      <c r="K32" s="778">
        <v>19776248.280000001</v>
      </c>
      <c r="L32" s="778">
        <v>150641.28</v>
      </c>
      <c r="M32" s="775" t="s">
        <v>677</v>
      </c>
      <c r="N32" s="775" t="s">
        <v>678</v>
      </c>
      <c r="O32" s="884"/>
      <c r="DZ32" s="884"/>
    </row>
    <row r="33" spans="1:130">
      <c r="A33" s="775" t="s">
        <v>695</v>
      </c>
      <c r="B33" s="776" t="s">
        <v>700</v>
      </c>
      <c r="C33" s="776" t="s">
        <v>664</v>
      </c>
      <c r="D33" s="777" t="s">
        <v>697</v>
      </c>
      <c r="E33" s="777" t="s">
        <v>698</v>
      </c>
      <c r="F33" s="776">
        <v>9</v>
      </c>
      <c r="G33" s="776">
        <v>2</v>
      </c>
      <c r="H33" s="778">
        <v>133067.60999999999</v>
      </c>
      <c r="I33" s="775" t="s">
        <v>667</v>
      </c>
      <c r="J33" s="779">
        <v>110.265</v>
      </c>
      <c r="K33" s="778">
        <v>14672700.016649999</v>
      </c>
      <c r="L33" s="778">
        <v>111766.11</v>
      </c>
      <c r="M33" s="775" t="s">
        <v>677</v>
      </c>
      <c r="N33" s="775" t="s">
        <v>678</v>
      </c>
      <c r="O33" s="884"/>
      <c r="DZ33" s="884"/>
    </row>
    <row r="34" spans="1:130">
      <c r="A34" s="775" t="s">
        <v>663</v>
      </c>
      <c r="B34" s="776">
        <v>3403</v>
      </c>
      <c r="C34" s="776" t="s">
        <v>664</v>
      </c>
      <c r="D34" s="777" t="s">
        <v>665</v>
      </c>
      <c r="E34" s="777" t="s">
        <v>666</v>
      </c>
      <c r="F34" s="776">
        <v>12</v>
      </c>
      <c r="G34" s="776">
        <v>2</v>
      </c>
      <c r="H34" s="778">
        <v>118425</v>
      </c>
      <c r="I34" s="775" t="s">
        <v>667</v>
      </c>
      <c r="J34" s="779">
        <v>110.265</v>
      </c>
      <c r="K34" s="778">
        <v>13058132.625</v>
      </c>
      <c r="L34" s="778">
        <v>118425</v>
      </c>
      <c r="M34" s="775" t="s">
        <v>667</v>
      </c>
      <c r="N34" s="775" t="s">
        <v>668</v>
      </c>
      <c r="O34" s="884"/>
      <c r="DZ34" s="884"/>
    </row>
    <row r="35" spans="1:130">
      <c r="A35" s="775" t="s">
        <v>663</v>
      </c>
      <c r="B35" s="776">
        <v>3403</v>
      </c>
      <c r="C35" s="776" t="s">
        <v>664</v>
      </c>
      <c r="D35" s="777" t="s">
        <v>665</v>
      </c>
      <c r="E35" s="777" t="s">
        <v>666</v>
      </c>
      <c r="F35" s="776">
        <v>15</v>
      </c>
      <c r="G35" s="776">
        <v>2</v>
      </c>
      <c r="H35" s="778">
        <v>5817435</v>
      </c>
      <c r="I35" s="775" t="s">
        <v>116</v>
      </c>
      <c r="J35" s="779">
        <v>1</v>
      </c>
      <c r="K35" s="778">
        <v>5817435</v>
      </c>
      <c r="L35" s="778">
        <v>52861.87</v>
      </c>
      <c r="M35" s="775" t="s">
        <v>667</v>
      </c>
      <c r="N35" s="775" t="s">
        <v>668</v>
      </c>
      <c r="O35" s="884"/>
      <c r="DZ35" s="884"/>
    </row>
    <row r="36" spans="1:130">
      <c r="A36" s="775" t="s">
        <v>663</v>
      </c>
      <c r="B36" s="776">
        <v>10633</v>
      </c>
      <c r="C36" s="776" t="s">
        <v>664</v>
      </c>
      <c r="D36" s="777" t="s">
        <v>669</v>
      </c>
      <c r="E36" s="777" t="s">
        <v>670</v>
      </c>
      <c r="F36" s="776">
        <v>12</v>
      </c>
      <c r="G36" s="776">
        <v>2</v>
      </c>
      <c r="H36" s="778">
        <v>57917.4</v>
      </c>
      <c r="I36" s="775" t="s">
        <v>667</v>
      </c>
      <c r="J36" s="779">
        <v>110.265</v>
      </c>
      <c r="K36" s="778">
        <v>6386262.1110000005</v>
      </c>
      <c r="L36" s="778">
        <v>57917.4</v>
      </c>
      <c r="M36" s="775" t="s">
        <v>667</v>
      </c>
      <c r="N36" s="775" t="s">
        <v>668</v>
      </c>
      <c r="O36" s="884"/>
      <c r="DZ36" s="884"/>
    </row>
    <row r="37" spans="1:130">
      <c r="A37" s="775" t="s">
        <v>663</v>
      </c>
      <c r="B37" s="776">
        <v>10633</v>
      </c>
      <c r="C37" s="776" t="s">
        <v>664</v>
      </c>
      <c r="D37" s="777" t="s">
        <v>669</v>
      </c>
      <c r="E37" s="777" t="s">
        <v>670</v>
      </c>
      <c r="F37" s="776">
        <v>12</v>
      </c>
      <c r="G37" s="776">
        <v>2</v>
      </c>
      <c r="H37" s="778">
        <v>31922</v>
      </c>
      <c r="I37" s="775" t="s">
        <v>667</v>
      </c>
      <c r="J37" s="779">
        <v>110.265</v>
      </c>
      <c r="K37" s="778">
        <v>3519879.33</v>
      </c>
      <c r="L37" s="778">
        <v>31922</v>
      </c>
      <c r="M37" s="775" t="s">
        <v>667</v>
      </c>
      <c r="N37" s="775" t="s">
        <v>668</v>
      </c>
      <c r="O37" s="884"/>
    </row>
    <row r="38" spans="1:130">
      <c r="A38" s="775" t="s">
        <v>663</v>
      </c>
      <c r="B38" s="776">
        <v>10633</v>
      </c>
      <c r="C38" s="776" t="s">
        <v>664</v>
      </c>
      <c r="D38" s="777" t="s">
        <v>669</v>
      </c>
      <c r="E38" s="777" t="s">
        <v>670</v>
      </c>
      <c r="F38" s="776">
        <v>12</v>
      </c>
      <c r="G38" s="776">
        <v>2</v>
      </c>
      <c r="H38" s="778">
        <v>20000</v>
      </c>
      <c r="I38" s="775" t="s">
        <v>667</v>
      </c>
      <c r="J38" s="779">
        <v>110.265</v>
      </c>
      <c r="K38" s="778">
        <v>2205300</v>
      </c>
      <c r="L38" s="778">
        <v>20000</v>
      </c>
      <c r="M38" s="775" t="s">
        <v>667</v>
      </c>
      <c r="N38" s="775" t="s">
        <v>668</v>
      </c>
      <c r="O38" s="884"/>
      <c r="DZ38" s="884"/>
    </row>
    <row r="39" spans="1:130">
      <c r="A39" s="775" t="s">
        <v>663</v>
      </c>
      <c r="B39" s="776">
        <v>10633</v>
      </c>
      <c r="C39" s="776" t="s">
        <v>664</v>
      </c>
      <c r="D39" s="777" t="s">
        <v>669</v>
      </c>
      <c r="E39" s="777" t="s">
        <v>670</v>
      </c>
      <c r="F39" s="776">
        <v>12</v>
      </c>
      <c r="G39" s="776">
        <v>2</v>
      </c>
      <c r="H39" s="778">
        <v>190848.38</v>
      </c>
      <c r="I39" s="775" t="s">
        <v>667</v>
      </c>
      <c r="J39" s="779">
        <v>110.265</v>
      </c>
      <c r="K39" s="778">
        <v>21043896.620700002</v>
      </c>
      <c r="L39" s="778">
        <v>190848.38</v>
      </c>
      <c r="M39" s="775" t="s">
        <v>667</v>
      </c>
      <c r="N39" s="775" t="s">
        <v>668</v>
      </c>
      <c r="O39" s="884"/>
      <c r="DZ39" s="884"/>
    </row>
    <row r="40" spans="1:130">
      <c r="A40" s="775" t="s">
        <v>663</v>
      </c>
      <c r="B40" s="776">
        <v>10633</v>
      </c>
      <c r="C40" s="776" t="s">
        <v>664</v>
      </c>
      <c r="D40" s="777" t="s">
        <v>669</v>
      </c>
      <c r="E40" s="777" t="s">
        <v>670</v>
      </c>
      <c r="F40" s="776">
        <v>16</v>
      </c>
      <c r="G40" s="776">
        <v>2</v>
      </c>
      <c r="H40" s="778">
        <v>110440.18</v>
      </c>
      <c r="I40" s="775" t="s">
        <v>667</v>
      </c>
      <c r="J40" s="779">
        <v>110.265</v>
      </c>
      <c r="K40" s="778">
        <v>12177686.447699999</v>
      </c>
      <c r="L40" s="778">
        <v>110440.18</v>
      </c>
      <c r="M40" s="775" t="s">
        <v>667</v>
      </c>
      <c r="N40" s="775" t="s">
        <v>668</v>
      </c>
      <c r="O40" s="884"/>
      <c r="DZ40" s="884"/>
    </row>
    <row r="41" spans="1:130">
      <c r="A41" s="775" t="s">
        <v>673</v>
      </c>
      <c r="B41" s="776">
        <v>63310</v>
      </c>
      <c r="C41" s="776" t="s">
        <v>664</v>
      </c>
      <c r="D41" s="777" t="s">
        <v>688</v>
      </c>
      <c r="E41" s="777" t="s">
        <v>689</v>
      </c>
      <c r="F41" s="776">
        <v>12</v>
      </c>
      <c r="G41" s="776">
        <v>2</v>
      </c>
      <c r="H41" s="778">
        <v>12743.13</v>
      </c>
      <c r="I41" s="775" t="s">
        <v>676</v>
      </c>
      <c r="J41" s="779">
        <v>90.674499999999995</v>
      </c>
      <c r="K41" s="778">
        <v>1155476.9411849999</v>
      </c>
      <c r="L41" s="778">
        <v>8844.7900000000009</v>
      </c>
      <c r="M41" s="775" t="s">
        <v>677</v>
      </c>
      <c r="N41" s="775" t="s">
        <v>678</v>
      </c>
      <c r="O41" s="884"/>
      <c r="DZ41" s="884"/>
    </row>
    <row r="42" spans="1:130">
      <c r="A42" s="775" t="s">
        <v>673</v>
      </c>
      <c r="B42" s="776">
        <v>63310</v>
      </c>
      <c r="C42" s="776" t="s">
        <v>664</v>
      </c>
      <c r="D42" s="777" t="s">
        <v>688</v>
      </c>
      <c r="E42" s="777" t="s">
        <v>689</v>
      </c>
      <c r="F42" s="776">
        <v>12</v>
      </c>
      <c r="G42" s="776">
        <v>2</v>
      </c>
      <c r="H42" s="778">
        <v>390058.81</v>
      </c>
      <c r="I42" s="775" t="s">
        <v>676</v>
      </c>
      <c r="J42" s="779">
        <v>90.674499999999995</v>
      </c>
      <c r="K42" s="778">
        <v>35368387.567345001</v>
      </c>
      <c r="L42" s="778">
        <v>270733.17</v>
      </c>
      <c r="M42" s="775" t="s">
        <v>677</v>
      </c>
      <c r="N42" s="775" t="s">
        <v>678</v>
      </c>
      <c r="O42" s="884"/>
      <c r="DZ42" s="884"/>
    </row>
    <row r="43" spans="1:130">
      <c r="A43" s="775" t="s">
        <v>673</v>
      </c>
      <c r="B43" s="776">
        <v>63310</v>
      </c>
      <c r="C43" s="776" t="s">
        <v>664</v>
      </c>
      <c r="D43" s="777" t="s">
        <v>688</v>
      </c>
      <c r="E43" s="777" t="s">
        <v>689</v>
      </c>
      <c r="F43" s="776">
        <v>12</v>
      </c>
      <c r="G43" s="776">
        <v>2</v>
      </c>
      <c r="H43" s="778">
        <v>29204.48</v>
      </c>
      <c r="I43" s="775" t="s">
        <v>676</v>
      </c>
      <c r="J43" s="779">
        <v>90.674499999999995</v>
      </c>
      <c r="K43" s="778">
        <v>2648101.62176</v>
      </c>
      <c r="L43" s="778">
        <v>20270.330000000002</v>
      </c>
      <c r="M43" s="775" t="s">
        <v>677</v>
      </c>
      <c r="N43" s="775" t="s">
        <v>678</v>
      </c>
      <c r="O43" s="884"/>
      <c r="DZ43" s="884"/>
    </row>
    <row r="44" spans="1:130">
      <c r="A44" s="775" t="s">
        <v>673</v>
      </c>
      <c r="B44" s="776">
        <v>61820</v>
      </c>
      <c r="C44" s="776" t="s">
        <v>664</v>
      </c>
      <c r="D44" s="777" t="s">
        <v>694</v>
      </c>
      <c r="E44" s="777" t="s">
        <v>675</v>
      </c>
      <c r="F44" s="776">
        <v>16</v>
      </c>
      <c r="G44" s="776">
        <v>2</v>
      </c>
      <c r="H44" s="778">
        <v>653570</v>
      </c>
      <c r="I44" s="775" t="s">
        <v>667</v>
      </c>
      <c r="J44" s="779">
        <v>110.265</v>
      </c>
      <c r="K44" s="778">
        <v>72065896.049999997</v>
      </c>
      <c r="L44" s="778">
        <v>550509.79</v>
      </c>
      <c r="M44" s="775" t="s">
        <v>677</v>
      </c>
      <c r="N44" s="775" t="s">
        <v>678</v>
      </c>
      <c r="O44" s="884"/>
      <c r="DZ44" s="884"/>
    </row>
    <row r="45" spans="1:130">
      <c r="A45" s="775" t="s">
        <v>673</v>
      </c>
      <c r="B45" s="776">
        <v>63550</v>
      </c>
      <c r="C45" s="776" t="s">
        <v>664</v>
      </c>
      <c r="D45" s="777" t="s">
        <v>674</v>
      </c>
      <c r="E45" s="777" t="s">
        <v>675</v>
      </c>
      <c r="F45" s="776">
        <v>18</v>
      </c>
      <c r="G45" s="776">
        <v>2</v>
      </c>
      <c r="H45" s="778">
        <v>11019.25</v>
      </c>
      <c r="I45" s="775" t="s">
        <v>676</v>
      </c>
      <c r="J45" s="779">
        <v>91.329350000000005</v>
      </c>
      <c r="K45" s="778">
        <v>1006380.9399875001</v>
      </c>
      <c r="L45" s="778">
        <v>7655.07</v>
      </c>
      <c r="M45" s="775" t="s">
        <v>677</v>
      </c>
      <c r="N45" s="775" t="s">
        <v>678</v>
      </c>
      <c r="O45" s="884"/>
      <c r="DZ45" s="884"/>
    </row>
    <row r="46" spans="1:130">
      <c r="A46" s="775" t="s">
        <v>673</v>
      </c>
      <c r="B46" s="776">
        <v>63550</v>
      </c>
      <c r="C46" s="776" t="s">
        <v>664</v>
      </c>
      <c r="D46" s="777" t="s">
        <v>674</v>
      </c>
      <c r="E46" s="777" t="s">
        <v>675</v>
      </c>
      <c r="F46" s="776">
        <v>18</v>
      </c>
      <c r="G46" s="776">
        <v>2</v>
      </c>
      <c r="H46" s="778">
        <v>433872.5</v>
      </c>
      <c r="I46" s="775" t="s">
        <v>676</v>
      </c>
      <c r="J46" s="779">
        <v>91.329350000000005</v>
      </c>
      <c r="K46" s="778">
        <v>39625293.407875001</v>
      </c>
      <c r="L46" s="778">
        <v>301411.28000000003</v>
      </c>
      <c r="M46" s="775" t="s">
        <v>677</v>
      </c>
      <c r="N46" s="775" t="s">
        <v>678</v>
      </c>
      <c r="O46" s="884"/>
      <c r="DZ46" s="884"/>
    </row>
    <row r="47" spans="1:130">
      <c r="A47" s="775" t="s">
        <v>673</v>
      </c>
      <c r="B47" s="776">
        <v>62510</v>
      </c>
      <c r="C47" s="776" t="s">
        <v>664</v>
      </c>
      <c r="D47" s="777" t="s">
        <v>701</v>
      </c>
      <c r="E47" s="777" t="s">
        <v>675</v>
      </c>
      <c r="F47" s="776">
        <v>18</v>
      </c>
      <c r="G47" s="776">
        <v>2</v>
      </c>
      <c r="H47" s="778">
        <v>2283.84</v>
      </c>
      <c r="I47" s="775" t="s">
        <v>676</v>
      </c>
      <c r="J47" s="779">
        <v>91.329350000000005</v>
      </c>
      <c r="K47" s="778">
        <v>208581.62270400004</v>
      </c>
      <c r="L47" s="778">
        <v>1586.58</v>
      </c>
      <c r="M47" s="775" t="s">
        <v>677</v>
      </c>
      <c r="N47" s="775" t="s">
        <v>678</v>
      </c>
      <c r="O47" s="884"/>
      <c r="DZ47" s="884"/>
    </row>
    <row r="48" spans="1:130">
      <c r="A48" s="775" t="s">
        <v>673</v>
      </c>
      <c r="B48" s="776">
        <v>62510</v>
      </c>
      <c r="C48" s="776" t="s">
        <v>664</v>
      </c>
      <c r="D48" s="777" t="s">
        <v>701</v>
      </c>
      <c r="E48" s="777" t="s">
        <v>675</v>
      </c>
      <c r="F48" s="776">
        <v>18</v>
      </c>
      <c r="G48" s="776">
        <v>2</v>
      </c>
      <c r="H48" s="778">
        <v>8400.3799999999992</v>
      </c>
      <c r="I48" s="775" t="s">
        <v>676</v>
      </c>
      <c r="J48" s="779">
        <v>91.329350000000005</v>
      </c>
      <c r="K48" s="778">
        <v>767201.245153</v>
      </c>
      <c r="L48" s="778">
        <v>5835.75</v>
      </c>
      <c r="M48" s="775" t="s">
        <v>677</v>
      </c>
      <c r="N48" s="775" t="s">
        <v>678</v>
      </c>
      <c r="O48" s="884"/>
      <c r="DZ48" s="884"/>
    </row>
    <row r="49" spans="1:130">
      <c r="A49" s="775" t="s">
        <v>663</v>
      </c>
      <c r="B49" s="776">
        <v>10181</v>
      </c>
      <c r="C49" s="776" t="s">
        <v>664</v>
      </c>
      <c r="D49" s="777" t="s">
        <v>671</v>
      </c>
      <c r="E49" s="777" t="s">
        <v>672</v>
      </c>
      <c r="F49" s="776">
        <v>15</v>
      </c>
      <c r="G49" s="776">
        <v>2</v>
      </c>
      <c r="H49" s="778">
        <v>10549904</v>
      </c>
      <c r="I49" s="775" t="s">
        <v>116</v>
      </c>
      <c r="J49" s="779">
        <v>1</v>
      </c>
      <c r="K49" s="778">
        <v>10549904</v>
      </c>
      <c r="L49" s="778">
        <v>95864.86</v>
      </c>
      <c r="M49" s="775" t="s">
        <v>667</v>
      </c>
      <c r="N49" s="775" t="s">
        <v>668</v>
      </c>
      <c r="O49" s="884"/>
      <c r="DZ49" s="884"/>
    </row>
    <row r="50" spans="1:130">
      <c r="A50" s="775" t="s">
        <v>681</v>
      </c>
      <c r="B50" s="776" t="s">
        <v>702</v>
      </c>
      <c r="C50" s="776" t="s">
        <v>658</v>
      </c>
      <c r="D50" s="777" t="s">
        <v>703</v>
      </c>
      <c r="E50" s="777" t="s">
        <v>704</v>
      </c>
      <c r="F50" s="776">
        <v>26</v>
      </c>
      <c r="G50" s="776">
        <v>2</v>
      </c>
      <c r="H50" s="778">
        <v>3261.2</v>
      </c>
      <c r="I50" s="775" t="s">
        <v>667</v>
      </c>
      <c r="J50" s="779">
        <v>110.265</v>
      </c>
      <c r="K50" s="778">
        <v>359596.21799999999</v>
      </c>
      <c r="L50" s="778">
        <v>422618</v>
      </c>
      <c r="M50" s="775" t="s">
        <v>685</v>
      </c>
      <c r="N50" s="775" t="s">
        <v>662</v>
      </c>
      <c r="O50" s="884"/>
    </row>
    <row r="51" spans="1:130">
      <c r="A51" s="775" t="s">
        <v>705</v>
      </c>
      <c r="B51" s="776">
        <v>13297</v>
      </c>
      <c r="C51" s="776" t="s">
        <v>658</v>
      </c>
      <c r="D51" s="777" t="s">
        <v>706</v>
      </c>
      <c r="E51" s="777" t="s">
        <v>684</v>
      </c>
      <c r="F51" s="776">
        <v>26</v>
      </c>
      <c r="G51" s="776">
        <v>2</v>
      </c>
      <c r="H51" s="778">
        <v>406125</v>
      </c>
      <c r="I51" s="775" t="s">
        <v>667</v>
      </c>
      <c r="J51" s="779">
        <v>110.265</v>
      </c>
      <c r="K51" s="778">
        <v>44781373.125</v>
      </c>
      <c r="L51" s="778">
        <v>406125</v>
      </c>
      <c r="M51" s="775" t="s">
        <v>667</v>
      </c>
      <c r="N51" s="775" t="s">
        <v>668</v>
      </c>
      <c r="O51" s="884"/>
    </row>
    <row r="52" spans="1:130">
      <c r="A52" s="775" t="s">
        <v>681</v>
      </c>
      <c r="B52" s="776" t="s">
        <v>702</v>
      </c>
      <c r="C52" s="776" t="s">
        <v>658</v>
      </c>
      <c r="D52" s="777" t="s">
        <v>703</v>
      </c>
      <c r="E52" s="777" t="s">
        <v>704</v>
      </c>
      <c r="F52" s="776">
        <v>12</v>
      </c>
      <c r="G52" s="776">
        <v>2</v>
      </c>
      <c r="H52" s="778">
        <v>30540.21</v>
      </c>
      <c r="I52" s="775" t="s">
        <v>667</v>
      </c>
      <c r="J52" s="779">
        <v>110.265</v>
      </c>
      <c r="K52" s="778">
        <v>3367516.2556499997</v>
      </c>
      <c r="L52" s="778">
        <v>3919225</v>
      </c>
      <c r="M52" s="775" t="s">
        <v>685</v>
      </c>
      <c r="N52" s="775" t="s">
        <v>662</v>
      </c>
      <c r="O52" s="884"/>
    </row>
    <row r="53" spans="1:130">
      <c r="A53" s="775" t="s">
        <v>673</v>
      </c>
      <c r="B53" s="776">
        <v>63310</v>
      </c>
      <c r="C53" s="776" t="s">
        <v>664</v>
      </c>
      <c r="D53" s="777" t="s">
        <v>688</v>
      </c>
      <c r="E53" s="777" t="s">
        <v>689</v>
      </c>
      <c r="F53" s="776">
        <v>9</v>
      </c>
      <c r="G53" s="776">
        <v>3</v>
      </c>
      <c r="H53" s="778">
        <v>22123.65</v>
      </c>
      <c r="I53" s="775" t="s">
        <v>676</v>
      </c>
      <c r="J53" s="779">
        <v>92.824160000000006</v>
      </c>
      <c r="K53" s="778">
        <v>2053609.2273840003</v>
      </c>
      <c r="L53" s="778">
        <v>15498.07</v>
      </c>
      <c r="M53" s="775" t="s">
        <v>677</v>
      </c>
      <c r="N53" s="775" t="s">
        <v>678</v>
      </c>
      <c r="O53" s="884"/>
    </row>
    <row r="54" spans="1:130">
      <c r="A54" s="775" t="s">
        <v>673</v>
      </c>
      <c r="B54" s="776">
        <v>63310</v>
      </c>
      <c r="C54" s="776" t="s">
        <v>664</v>
      </c>
      <c r="D54" s="777" t="s">
        <v>688</v>
      </c>
      <c r="E54" s="777" t="s">
        <v>689</v>
      </c>
      <c r="F54" s="776">
        <v>9</v>
      </c>
      <c r="G54" s="776">
        <v>3</v>
      </c>
      <c r="H54" s="778">
        <v>139272.03</v>
      </c>
      <c r="I54" s="775" t="s">
        <v>676</v>
      </c>
      <c r="J54" s="779">
        <v>92.824160000000006</v>
      </c>
      <c r="K54" s="778">
        <v>12927809.1962448</v>
      </c>
      <c r="L54" s="778">
        <v>97562.91</v>
      </c>
      <c r="M54" s="775" t="s">
        <v>677</v>
      </c>
      <c r="N54" s="775" t="s">
        <v>678</v>
      </c>
      <c r="O54" s="884"/>
    </row>
    <row r="55" spans="1:130">
      <c r="A55" s="775" t="s">
        <v>663</v>
      </c>
      <c r="B55" s="776">
        <v>3403</v>
      </c>
      <c r="C55" s="776" t="s">
        <v>664</v>
      </c>
      <c r="D55" s="777" t="s">
        <v>665</v>
      </c>
      <c r="E55" s="777" t="s">
        <v>666</v>
      </c>
      <c r="F55" s="776">
        <v>11</v>
      </c>
      <c r="G55" s="776">
        <v>3</v>
      </c>
      <c r="H55" s="778">
        <v>247488</v>
      </c>
      <c r="I55" s="775" t="s">
        <v>667</v>
      </c>
      <c r="J55" s="779">
        <v>110.265</v>
      </c>
      <c r="K55" s="778">
        <v>27289264.32</v>
      </c>
      <c r="L55" s="778">
        <v>247488</v>
      </c>
      <c r="M55" s="775" t="s">
        <v>667</v>
      </c>
      <c r="N55" s="775" t="s">
        <v>668</v>
      </c>
      <c r="O55" s="884"/>
    </row>
    <row r="56" spans="1:130">
      <c r="A56" s="775" t="s">
        <v>663</v>
      </c>
      <c r="B56" s="776">
        <v>10633</v>
      </c>
      <c r="C56" s="776" t="s">
        <v>664</v>
      </c>
      <c r="D56" s="777" t="s">
        <v>669</v>
      </c>
      <c r="E56" s="777" t="s">
        <v>670</v>
      </c>
      <c r="F56" s="776">
        <v>11</v>
      </c>
      <c r="G56" s="776">
        <v>3</v>
      </c>
      <c r="H56" s="778">
        <v>16526.32</v>
      </c>
      <c r="I56" s="775" t="s">
        <v>667</v>
      </c>
      <c r="J56" s="779">
        <v>110.265</v>
      </c>
      <c r="K56" s="778">
        <v>1822274.6747999999</v>
      </c>
      <c r="L56" s="778">
        <v>16526.32</v>
      </c>
      <c r="M56" s="775" t="s">
        <v>667</v>
      </c>
      <c r="N56" s="775" t="s">
        <v>668</v>
      </c>
      <c r="O56" s="884"/>
    </row>
    <row r="57" spans="1:130">
      <c r="A57" s="775" t="s">
        <v>663</v>
      </c>
      <c r="B57" s="776">
        <v>10633</v>
      </c>
      <c r="C57" s="776" t="s">
        <v>664</v>
      </c>
      <c r="D57" s="777" t="s">
        <v>669</v>
      </c>
      <c r="E57" s="777" t="s">
        <v>670</v>
      </c>
      <c r="F57" s="776">
        <v>15</v>
      </c>
      <c r="G57" s="776">
        <v>3</v>
      </c>
      <c r="H57" s="778">
        <v>27175.89</v>
      </c>
      <c r="I57" s="775" t="s">
        <v>667</v>
      </c>
      <c r="J57" s="779">
        <v>110.265</v>
      </c>
      <c r="K57" s="778">
        <v>2996549.5108499997</v>
      </c>
      <c r="L57" s="778">
        <v>27175.89</v>
      </c>
      <c r="M57" s="775" t="s">
        <v>667</v>
      </c>
      <c r="N57" s="775" t="s">
        <v>668</v>
      </c>
      <c r="O57" s="884"/>
    </row>
    <row r="58" spans="1:130">
      <c r="A58" s="775" t="s">
        <v>663</v>
      </c>
      <c r="B58" s="776">
        <v>10633</v>
      </c>
      <c r="C58" s="776" t="s">
        <v>664</v>
      </c>
      <c r="D58" s="777" t="s">
        <v>669</v>
      </c>
      <c r="E58" s="777" t="s">
        <v>670</v>
      </c>
      <c r="F58" s="776">
        <v>15</v>
      </c>
      <c r="G58" s="776">
        <v>3</v>
      </c>
      <c r="H58" s="778">
        <v>6795.01</v>
      </c>
      <c r="I58" s="775" t="s">
        <v>667</v>
      </c>
      <c r="J58" s="779">
        <v>110.265</v>
      </c>
      <c r="K58" s="778">
        <v>749251.77765000006</v>
      </c>
      <c r="L58" s="778">
        <v>6795.01</v>
      </c>
      <c r="M58" s="775" t="s">
        <v>667</v>
      </c>
      <c r="N58" s="775" t="s">
        <v>668</v>
      </c>
      <c r="O58" s="884"/>
    </row>
    <row r="59" spans="1:130">
      <c r="A59" s="775" t="s">
        <v>673</v>
      </c>
      <c r="B59" s="776">
        <v>61820</v>
      </c>
      <c r="C59" s="776" t="s">
        <v>664</v>
      </c>
      <c r="D59" s="777" t="s">
        <v>694</v>
      </c>
      <c r="E59" s="777" t="s">
        <v>675</v>
      </c>
      <c r="F59" s="776">
        <v>11</v>
      </c>
      <c r="G59" s="776">
        <v>3</v>
      </c>
      <c r="H59" s="778">
        <v>71671.41</v>
      </c>
      <c r="I59" s="775" t="s">
        <v>676</v>
      </c>
      <c r="J59" s="779">
        <v>92.620999999999995</v>
      </c>
      <c r="K59" s="778">
        <v>6638277.6656099996</v>
      </c>
      <c r="L59" s="778">
        <v>50063.5</v>
      </c>
      <c r="M59" s="775" t="s">
        <v>677</v>
      </c>
      <c r="N59" s="775" t="s">
        <v>678</v>
      </c>
      <c r="O59" s="884"/>
    </row>
    <row r="60" spans="1:130">
      <c r="A60" s="775" t="s">
        <v>673</v>
      </c>
      <c r="B60" s="776">
        <v>61820</v>
      </c>
      <c r="C60" s="776" t="s">
        <v>664</v>
      </c>
      <c r="D60" s="777" t="s">
        <v>694</v>
      </c>
      <c r="E60" s="777" t="s">
        <v>675</v>
      </c>
      <c r="F60" s="776">
        <v>11</v>
      </c>
      <c r="G60" s="776">
        <v>3</v>
      </c>
      <c r="H60" s="778">
        <v>1395.68</v>
      </c>
      <c r="I60" s="775" t="s">
        <v>676</v>
      </c>
      <c r="J60" s="779">
        <v>92.620999999999995</v>
      </c>
      <c r="K60" s="778">
        <v>129269.27727999999</v>
      </c>
      <c r="L60" s="778">
        <v>974.9</v>
      </c>
      <c r="M60" s="775" t="s">
        <v>677</v>
      </c>
      <c r="N60" s="775" t="s">
        <v>678</v>
      </c>
      <c r="O60" s="884"/>
    </row>
    <row r="61" spans="1:130">
      <c r="A61" s="775" t="s">
        <v>673</v>
      </c>
      <c r="B61" s="776">
        <v>63550</v>
      </c>
      <c r="C61" s="776" t="s">
        <v>664</v>
      </c>
      <c r="D61" s="777" t="s">
        <v>674</v>
      </c>
      <c r="E61" s="777" t="s">
        <v>675</v>
      </c>
      <c r="F61" s="776">
        <v>11</v>
      </c>
      <c r="G61" s="776">
        <v>3</v>
      </c>
      <c r="H61" s="778">
        <v>525137.9</v>
      </c>
      <c r="I61" s="775" t="s">
        <v>676</v>
      </c>
      <c r="J61" s="779">
        <v>92.620999999999995</v>
      </c>
      <c r="K61" s="778">
        <v>48638797.435900003</v>
      </c>
      <c r="L61" s="778">
        <v>366816.31</v>
      </c>
      <c r="M61" s="775" t="s">
        <v>677</v>
      </c>
      <c r="N61" s="775" t="s">
        <v>678</v>
      </c>
      <c r="O61" s="884"/>
    </row>
    <row r="62" spans="1:130">
      <c r="A62" s="775" t="s">
        <v>673</v>
      </c>
      <c r="B62" s="776">
        <v>61000</v>
      </c>
      <c r="C62" s="776" t="s">
        <v>664</v>
      </c>
      <c r="D62" s="777" t="s">
        <v>679</v>
      </c>
      <c r="E62" s="777" t="s">
        <v>680</v>
      </c>
      <c r="F62" s="776">
        <v>17</v>
      </c>
      <c r="G62" s="776">
        <v>3</v>
      </c>
      <c r="H62" s="778">
        <v>2124063.94</v>
      </c>
      <c r="I62" s="775" t="s">
        <v>676</v>
      </c>
      <c r="J62" s="779">
        <v>92.356660000000005</v>
      </c>
      <c r="K62" s="778">
        <v>196171451.12484041</v>
      </c>
      <c r="L62" s="778">
        <v>1488304.79</v>
      </c>
      <c r="M62" s="775" t="s">
        <v>677</v>
      </c>
      <c r="N62" s="775" t="s">
        <v>678</v>
      </c>
      <c r="O62" s="884"/>
    </row>
    <row r="63" spans="1:130">
      <c r="A63" s="775" t="s">
        <v>673</v>
      </c>
      <c r="B63" s="776">
        <v>63550</v>
      </c>
      <c r="C63" s="776" t="s">
        <v>664</v>
      </c>
      <c r="D63" s="777" t="s">
        <v>674</v>
      </c>
      <c r="E63" s="777" t="s">
        <v>675</v>
      </c>
      <c r="F63" s="776">
        <v>18</v>
      </c>
      <c r="G63" s="776">
        <v>3</v>
      </c>
      <c r="H63" s="778">
        <v>466930.05</v>
      </c>
      <c r="I63" s="775" t="s">
        <v>676</v>
      </c>
      <c r="J63" s="779">
        <v>92.504189999999994</v>
      </c>
      <c r="K63" s="778">
        <v>43192986.061909497</v>
      </c>
      <c r="L63" s="778">
        <v>326583.89</v>
      </c>
      <c r="M63" s="775" t="s">
        <v>677</v>
      </c>
      <c r="N63" s="775" t="s">
        <v>678</v>
      </c>
      <c r="O63" s="884"/>
    </row>
    <row r="64" spans="1:130">
      <c r="A64" s="775" t="s">
        <v>681</v>
      </c>
      <c r="B64" s="776" t="s">
        <v>702</v>
      </c>
      <c r="C64" s="776" t="s">
        <v>658</v>
      </c>
      <c r="D64" s="777" t="s">
        <v>703</v>
      </c>
      <c r="E64" s="777" t="s">
        <v>704</v>
      </c>
      <c r="F64" s="776">
        <v>19</v>
      </c>
      <c r="G64" s="776">
        <v>3</v>
      </c>
      <c r="H64" s="778">
        <v>3091.2</v>
      </c>
      <c r="I64" s="775" t="s">
        <v>667</v>
      </c>
      <c r="J64" s="779">
        <v>110.265</v>
      </c>
      <c r="K64" s="778">
        <v>340851.16800000001</v>
      </c>
      <c r="L64" s="778">
        <v>406152</v>
      </c>
      <c r="M64" s="775" t="s">
        <v>685</v>
      </c>
      <c r="N64" s="775" t="s">
        <v>662</v>
      </c>
      <c r="O64" s="884"/>
    </row>
    <row r="65" spans="1:15">
      <c r="A65" s="775" t="s">
        <v>681</v>
      </c>
      <c r="B65" s="776" t="s">
        <v>1074</v>
      </c>
      <c r="C65" s="776" t="s">
        <v>658</v>
      </c>
      <c r="D65" s="777" t="s">
        <v>703</v>
      </c>
      <c r="E65" s="777" t="s">
        <v>704</v>
      </c>
      <c r="F65" s="776">
        <v>19</v>
      </c>
      <c r="G65" s="776">
        <v>3</v>
      </c>
      <c r="H65" s="778">
        <v>61046.11</v>
      </c>
      <c r="I65" s="775" t="s">
        <v>667</v>
      </c>
      <c r="J65" s="779">
        <v>110.265</v>
      </c>
      <c r="K65" s="778">
        <v>6731249.3191499999</v>
      </c>
      <c r="L65" s="778">
        <v>8020848</v>
      </c>
      <c r="M65" s="775" t="s">
        <v>685</v>
      </c>
      <c r="N65" s="775" t="s">
        <v>662</v>
      </c>
      <c r="O65" s="884"/>
    </row>
    <row r="66" spans="1:15">
      <c r="A66" s="775" t="s">
        <v>673</v>
      </c>
      <c r="B66" s="776">
        <v>58010</v>
      </c>
      <c r="C66" s="776" t="s">
        <v>664</v>
      </c>
      <c r="D66" s="777" t="s">
        <v>686</v>
      </c>
      <c r="E66" s="777" t="s">
        <v>687</v>
      </c>
      <c r="F66" s="776">
        <v>22</v>
      </c>
      <c r="G66" s="776">
        <v>3</v>
      </c>
      <c r="H66" s="778">
        <v>112084.93</v>
      </c>
      <c r="I66" s="775" t="s">
        <v>676</v>
      </c>
      <c r="J66" s="779">
        <v>92.628799999999998</v>
      </c>
      <c r="K66" s="778">
        <v>10382292.563983999</v>
      </c>
      <c r="L66" s="778">
        <v>78434.27</v>
      </c>
      <c r="M66" s="775" t="s">
        <v>677</v>
      </c>
      <c r="N66" s="775" t="s">
        <v>678</v>
      </c>
      <c r="O66" s="884"/>
    </row>
    <row r="67" spans="1:15">
      <c r="A67" s="775" t="s">
        <v>663</v>
      </c>
      <c r="B67" s="776">
        <v>10181</v>
      </c>
      <c r="C67" s="776" t="s">
        <v>664</v>
      </c>
      <c r="D67" s="777" t="s">
        <v>671</v>
      </c>
      <c r="E67" s="777" t="s">
        <v>672</v>
      </c>
      <c r="F67" s="776">
        <v>23</v>
      </c>
      <c r="G67" s="776">
        <v>3</v>
      </c>
      <c r="H67" s="778">
        <v>7912426</v>
      </c>
      <c r="I67" s="775" t="s">
        <v>116</v>
      </c>
      <c r="J67" s="779">
        <v>1</v>
      </c>
      <c r="K67" s="778">
        <v>7912426</v>
      </c>
      <c r="L67" s="778">
        <v>72951.789999999994</v>
      </c>
      <c r="M67" s="775" t="s">
        <v>667</v>
      </c>
      <c r="N67" s="775" t="s">
        <v>668</v>
      </c>
      <c r="O67" s="884"/>
    </row>
    <row r="68" spans="1:15">
      <c r="A68" s="775" t="s">
        <v>663</v>
      </c>
      <c r="B68" s="776">
        <v>10181</v>
      </c>
      <c r="C68" s="776" t="s">
        <v>664</v>
      </c>
      <c r="D68" s="777" t="s">
        <v>671</v>
      </c>
      <c r="E68" s="777" t="s">
        <v>672</v>
      </c>
      <c r="F68" s="776">
        <v>23</v>
      </c>
      <c r="G68" s="776">
        <v>3</v>
      </c>
      <c r="H68" s="778">
        <v>5274952</v>
      </c>
      <c r="I68" s="775" t="s">
        <v>116</v>
      </c>
      <c r="J68" s="779">
        <v>1</v>
      </c>
      <c r="K68" s="778">
        <v>5274952</v>
      </c>
      <c r="L68" s="778">
        <v>48634.54</v>
      </c>
      <c r="M68" s="775" t="s">
        <v>667</v>
      </c>
      <c r="N68" s="775" t="s">
        <v>668</v>
      </c>
      <c r="O68" s="884"/>
    </row>
    <row r="69" spans="1:15">
      <c r="A69" s="775" t="s">
        <v>663</v>
      </c>
      <c r="B69" s="776">
        <v>3403</v>
      </c>
      <c r="C69" s="776" t="s">
        <v>664</v>
      </c>
      <c r="D69" s="777" t="s">
        <v>665</v>
      </c>
      <c r="E69" s="777" t="s">
        <v>666</v>
      </c>
      <c r="F69" s="776">
        <v>23</v>
      </c>
      <c r="G69" s="776">
        <v>3</v>
      </c>
      <c r="H69" s="778">
        <v>12157479</v>
      </c>
      <c r="I69" s="775" t="s">
        <v>116</v>
      </c>
      <c r="J69" s="779">
        <v>1</v>
      </c>
      <c r="K69" s="778">
        <v>12157479</v>
      </c>
      <c r="L69" s="778">
        <v>111735.83</v>
      </c>
      <c r="M69" s="775" t="s">
        <v>667</v>
      </c>
      <c r="N69" s="775" t="s">
        <v>668</v>
      </c>
      <c r="O69" s="884"/>
    </row>
    <row r="70" spans="1:15">
      <c r="A70" s="775" t="s">
        <v>673</v>
      </c>
      <c r="B70" s="776">
        <v>67920</v>
      </c>
      <c r="C70" s="776" t="s">
        <v>664</v>
      </c>
      <c r="D70" s="777" t="s">
        <v>707</v>
      </c>
      <c r="E70" s="777" t="s">
        <v>670</v>
      </c>
      <c r="F70" s="776">
        <v>24</v>
      </c>
      <c r="G70" s="776">
        <v>3</v>
      </c>
      <c r="H70" s="778">
        <v>941505.7</v>
      </c>
      <c r="I70" s="775" t="s">
        <v>676</v>
      </c>
      <c r="J70" s="779">
        <v>93.32808</v>
      </c>
      <c r="K70" s="778">
        <v>87868919.29005599</v>
      </c>
      <c r="L70" s="778">
        <v>661406.61</v>
      </c>
      <c r="M70" s="775" t="s">
        <v>677</v>
      </c>
      <c r="N70" s="775" t="s">
        <v>678</v>
      </c>
      <c r="O70" s="884"/>
    </row>
    <row r="71" spans="1:15">
      <c r="A71" s="775" t="s">
        <v>673</v>
      </c>
      <c r="B71" s="776">
        <v>62510</v>
      </c>
      <c r="C71" s="776" t="s">
        <v>664</v>
      </c>
      <c r="D71" s="777" t="s">
        <v>701</v>
      </c>
      <c r="E71" s="777" t="s">
        <v>675</v>
      </c>
      <c r="F71" s="776">
        <v>24</v>
      </c>
      <c r="G71" s="776">
        <v>3</v>
      </c>
      <c r="H71" s="778">
        <v>136519.97</v>
      </c>
      <c r="I71" s="775" t="s">
        <v>676</v>
      </c>
      <c r="J71" s="779">
        <v>93.32808</v>
      </c>
      <c r="K71" s="778">
        <v>12741146.681757601</v>
      </c>
      <c r="L71" s="778">
        <v>95905.11</v>
      </c>
      <c r="M71" s="775" t="s">
        <v>677</v>
      </c>
      <c r="N71" s="775" t="s">
        <v>678</v>
      </c>
      <c r="O71" s="884"/>
    </row>
    <row r="72" spans="1:15">
      <c r="A72" s="775" t="s">
        <v>673</v>
      </c>
      <c r="B72" s="776">
        <v>62510</v>
      </c>
      <c r="C72" s="776" t="s">
        <v>664</v>
      </c>
      <c r="D72" s="777" t="s">
        <v>701</v>
      </c>
      <c r="E72" s="777" t="s">
        <v>675</v>
      </c>
      <c r="F72" s="776">
        <v>24</v>
      </c>
      <c r="G72" s="776">
        <v>3</v>
      </c>
      <c r="H72" s="778">
        <v>127491.24</v>
      </c>
      <c r="I72" s="775" t="s">
        <v>676</v>
      </c>
      <c r="J72" s="779">
        <v>93.32808</v>
      </c>
      <c r="K72" s="778">
        <v>11898512.6460192</v>
      </c>
      <c r="L72" s="778">
        <v>89562.44</v>
      </c>
      <c r="M72" s="775" t="s">
        <v>677</v>
      </c>
      <c r="N72" s="775" t="s">
        <v>678</v>
      </c>
      <c r="O72" s="884"/>
    </row>
    <row r="73" spans="1:15">
      <c r="A73" s="775" t="s">
        <v>673</v>
      </c>
      <c r="B73" s="776">
        <v>62510</v>
      </c>
      <c r="C73" s="776" t="s">
        <v>664</v>
      </c>
      <c r="D73" s="777" t="s">
        <v>701</v>
      </c>
      <c r="E73" s="777" t="s">
        <v>675</v>
      </c>
      <c r="F73" s="776">
        <v>24</v>
      </c>
      <c r="G73" s="776">
        <v>3</v>
      </c>
      <c r="H73" s="778">
        <v>127852.85</v>
      </c>
      <c r="I73" s="775" t="s">
        <v>676</v>
      </c>
      <c r="J73" s="779">
        <v>93.32808</v>
      </c>
      <c r="K73" s="778">
        <v>11932261.013028001</v>
      </c>
      <c r="L73" s="778">
        <v>89816.47</v>
      </c>
      <c r="M73" s="775" t="s">
        <v>677</v>
      </c>
      <c r="N73" s="775" t="s">
        <v>678</v>
      </c>
      <c r="O73" s="884"/>
    </row>
    <row r="74" spans="1:15">
      <c r="A74" s="775" t="s">
        <v>708</v>
      </c>
      <c r="B74" s="776">
        <v>118</v>
      </c>
      <c r="C74" s="776" t="s">
        <v>709</v>
      </c>
      <c r="D74" s="777" t="s">
        <v>710</v>
      </c>
      <c r="E74" s="777" t="s">
        <v>660</v>
      </c>
      <c r="F74" s="776">
        <v>26</v>
      </c>
      <c r="G74" s="776">
        <v>3</v>
      </c>
      <c r="H74" s="778">
        <v>27338.46</v>
      </c>
      <c r="I74" s="775" t="s">
        <v>667</v>
      </c>
      <c r="J74" s="779">
        <v>110.265</v>
      </c>
      <c r="K74" s="778">
        <v>3014475.2919000001</v>
      </c>
      <c r="L74" s="778">
        <v>27338.46</v>
      </c>
      <c r="M74" s="775" t="s">
        <v>667</v>
      </c>
      <c r="N74" s="775" t="s">
        <v>662</v>
      </c>
      <c r="O74" s="884"/>
    </row>
    <row r="75" spans="1:15">
      <c r="A75" s="775" t="s">
        <v>673</v>
      </c>
      <c r="B75" s="776">
        <v>63550</v>
      </c>
      <c r="C75" s="776" t="s">
        <v>664</v>
      </c>
      <c r="D75" s="777" t="s">
        <v>674</v>
      </c>
      <c r="E75" s="777" t="s">
        <v>675</v>
      </c>
      <c r="F75" s="776">
        <v>8</v>
      </c>
      <c r="G75" s="776">
        <v>4</v>
      </c>
      <c r="H75" s="778">
        <v>939980.34</v>
      </c>
      <c r="I75" s="775" t="s">
        <v>676</v>
      </c>
      <c r="J75" s="779">
        <v>98.349890000000002</v>
      </c>
      <c r="K75" s="778">
        <v>92446963.041162595</v>
      </c>
      <c r="L75" s="778">
        <v>660478.89</v>
      </c>
      <c r="M75" s="775" t="s">
        <v>677</v>
      </c>
      <c r="N75" s="775" t="s">
        <v>678</v>
      </c>
      <c r="O75" s="884"/>
    </row>
    <row r="76" spans="1:15">
      <c r="A76" s="775" t="s">
        <v>673</v>
      </c>
      <c r="B76" s="776">
        <v>68290</v>
      </c>
      <c r="C76" s="776" t="s">
        <v>664</v>
      </c>
      <c r="D76" s="777" t="s">
        <v>694</v>
      </c>
      <c r="E76" s="777" t="s">
        <v>675</v>
      </c>
      <c r="F76" s="776">
        <v>9</v>
      </c>
      <c r="G76" s="776">
        <v>4</v>
      </c>
      <c r="H76" s="778">
        <v>5998790.4000000004</v>
      </c>
      <c r="I76" s="775" t="s">
        <v>676</v>
      </c>
      <c r="J76" s="779">
        <v>92.769379999999998</v>
      </c>
      <c r="K76" s="778">
        <v>556504066.15795207</v>
      </c>
      <c r="L76" s="778">
        <v>4214291.01</v>
      </c>
      <c r="M76" s="775" t="s">
        <v>677</v>
      </c>
      <c r="N76" s="775" t="s">
        <v>678</v>
      </c>
      <c r="O76" s="884"/>
    </row>
    <row r="77" spans="1:15">
      <c r="A77" s="775" t="s">
        <v>681</v>
      </c>
      <c r="B77" s="776" t="s">
        <v>682</v>
      </c>
      <c r="C77" s="776" t="s">
        <v>658</v>
      </c>
      <c r="D77" s="777" t="s">
        <v>683</v>
      </c>
      <c r="E77" s="777" t="s">
        <v>684</v>
      </c>
      <c r="F77" s="776">
        <v>9</v>
      </c>
      <c r="G77" s="776">
        <v>4</v>
      </c>
      <c r="H77" s="778">
        <v>1611845</v>
      </c>
      <c r="I77" s="775" t="s">
        <v>685</v>
      </c>
      <c r="J77" s="779">
        <v>0.84945369999999998</v>
      </c>
      <c r="K77" s="778">
        <v>1369187.6990765</v>
      </c>
      <c r="L77" s="778">
        <v>1611845</v>
      </c>
      <c r="M77" s="775" t="s">
        <v>685</v>
      </c>
      <c r="N77" s="775" t="s">
        <v>662</v>
      </c>
      <c r="O77" s="884"/>
    </row>
    <row r="78" spans="1:15">
      <c r="A78" s="775" t="s">
        <v>681</v>
      </c>
      <c r="B78" s="776" t="s">
        <v>682</v>
      </c>
      <c r="C78" s="776" t="s">
        <v>658</v>
      </c>
      <c r="D78" s="777" t="s">
        <v>683</v>
      </c>
      <c r="E78" s="777" t="s">
        <v>684</v>
      </c>
      <c r="F78" s="776">
        <v>9</v>
      </c>
      <c r="G78" s="776">
        <v>4</v>
      </c>
      <c r="H78" s="778">
        <v>1517807</v>
      </c>
      <c r="I78" s="775" t="s">
        <v>685</v>
      </c>
      <c r="J78" s="779">
        <v>0.84945369999999998</v>
      </c>
      <c r="K78" s="778">
        <v>1289306.7720359</v>
      </c>
      <c r="L78" s="778">
        <v>1517807</v>
      </c>
      <c r="M78" s="775" t="s">
        <v>685</v>
      </c>
      <c r="N78" s="775" t="s">
        <v>662</v>
      </c>
      <c r="O78" s="884"/>
    </row>
    <row r="79" spans="1:15">
      <c r="A79" s="775" t="s">
        <v>681</v>
      </c>
      <c r="B79" s="776" t="s">
        <v>682</v>
      </c>
      <c r="C79" s="776" t="s">
        <v>658</v>
      </c>
      <c r="D79" s="777" t="s">
        <v>683</v>
      </c>
      <c r="E79" s="777" t="s">
        <v>684</v>
      </c>
      <c r="F79" s="776">
        <v>9</v>
      </c>
      <c r="G79" s="776">
        <v>4</v>
      </c>
      <c r="H79" s="778">
        <v>29442.55</v>
      </c>
      <c r="I79" s="775" t="s">
        <v>676</v>
      </c>
      <c r="J79" s="779">
        <v>92.769379999999998</v>
      </c>
      <c r="K79" s="778">
        <v>2731367.1091189999</v>
      </c>
      <c r="L79" s="778">
        <v>3262823</v>
      </c>
      <c r="M79" s="775" t="s">
        <v>685</v>
      </c>
      <c r="N79" s="775" t="s">
        <v>662</v>
      </c>
      <c r="O79" s="884"/>
    </row>
    <row r="80" spans="1:15">
      <c r="A80" s="775" t="s">
        <v>681</v>
      </c>
      <c r="B80" s="776" t="s">
        <v>682</v>
      </c>
      <c r="C80" s="776" t="s">
        <v>658</v>
      </c>
      <c r="D80" s="777" t="s">
        <v>683</v>
      </c>
      <c r="E80" s="777" t="s">
        <v>684</v>
      </c>
      <c r="F80" s="776">
        <v>9</v>
      </c>
      <c r="G80" s="776">
        <v>4</v>
      </c>
      <c r="H80" s="778">
        <v>29693.34</v>
      </c>
      <c r="I80" s="775" t="s">
        <v>676</v>
      </c>
      <c r="J80" s="779">
        <v>92.769379999999998</v>
      </c>
      <c r="K80" s="778">
        <v>2754632.7419292</v>
      </c>
      <c r="L80" s="778">
        <v>3290615</v>
      </c>
      <c r="M80" s="775" t="s">
        <v>685</v>
      </c>
      <c r="N80" s="775" t="s">
        <v>662</v>
      </c>
      <c r="O80" s="884"/>
    </row>
    <row r="81" spans="1:15">
      <c r="A81" s="775" t="s">
        <v>681</v>
      </c>
      <c r="B81" s="776" t="s">
        <v>702</v>
      </c>
      <c r="C81" s="776" t="s">
        <v>658</v>
      </c>
      <c r="D81" s="777" t="s">
        <v>703</v>
      </c>
      <c r="E81" s="777" t="s">
        <v>704</v>
      </c>
      <c r="F81" s="776">
        <v>16</v>
      </c>
      <c r="G81" s="776">
        <v>4</v>
      </c>
      <c r="H81" s="778">
        <v>6224.15</v>
      </c>
      <c r="I81" s="775" t="s">
        <v>667</v>
      </c>
      <c r="J81" s="779">
        <v>110.265</v>
      </c>
      <c r="K81" s="778">
        <v>686305.89974999998</v>
      </c>
      <c r="L81" s="778">
        <v>819160</v>
      </c>
      <c r="M81" s="775" t="s">
        <v>685</v>
      </c>
      <c r="N81" s="775" t="s">
        <v>662</v>
      </c>
      <c r="O81" s="884"/>
    </row>
    <row r="82" spans="1:15">
      <c r="A82" s="775" t="s">
        <v>681</v>
      </c>
      <c r="B82" s="776" t="s">
        <v>702</v>
      </c>
      <c r="C82" s="776" t="s">
        <v>658</v>
      </c>
      <c r="D82" s="777" t="s">
        <v>703</v>
      </c>
      <c r="E82" s="777" t="s">
        <v>704</v>
      </c>
      <c r="F82" s="776">
        <v>16</v>
      </c>
      <c r="G82" s="776">
        <v>4</v>
      </c>
      <c r="H82" s="778">
        <v>45517.05</v>
      </c>
      <c r="I82" s="775" t="s">
        <v>667</v>
      </c>
      <c r="J82" s="779">
        <v>110.265</v>
      </c>
      <c r="K82" s="778">
        <v>5018937.5182500007</v>
      </c>
      <c r="L82" s="778">
        <v>5990498</v>
      </c>
      <c r="M82" s="775" t="s">
        <v>685</v>
      </c>
      <c r="N82" s="775" t="s">
        <v>662</v>
      </c>
      <c r="O82" s="884"/>
    </row>
    <row r="83" spans="1:15">
      <c r="A83" s="775" t="s">
        <v>681</v>
      </c>
      <c r="B83" s="776" t="s">
        <v>702</v>
      </c>
      <c r="C83" s="776" t="s">
        <v>658</v>
      </c>
      <c r="D83" s="777" t="s">
        <v>703</v>
      </c>
      <c r="E83" s="777" t="s">
        <v>704</v>
      </c>
      <c r="F83" s="776">
        <v>16</v>
      </c>
      <c r="G83" s="776">
        <v>4</v>
      </c>
      <c r="H83" s="778">
        <v>4848.6400000000003</v>
      </c>
      <c r="I83" s="775" t="s">
        <v>667</v>
      </c>
      <c r="J83" s="779">
        <v>110.265</v>
      </c>
      <c r="K83" s="778">
        <v>534635.28960000002</v>
      </c>
      <c r="L83" s="778">
        <v>638129</v>
      </c>
      <c r="M83" s="775" t="s">
        <v>685</v>
      </c>
      <c r="N83" s="775" t="s">
        <v>662</v>
      </c>
      <c r="O83" s="884"/>
    </row>
    <row r="84" spans="1:15">
      <c r="A84" s="775" t="s">
        <v>673</v>
      </c>
      <c r="B84" s="776">
        <v>62510</v>
      </c>
      <c r="C84" s="776" t="s">
        <v>664</v>
      </c>
      <c r="D84" s="777" t="s">
        <v>701</v>
      </c>
      <c r="E84" s="777" t="s">
        <v>675</v>
      </c>
      <c r="F84" s="776">
        <v>16</v>
      </c>
      <c r="G84" s="776">
        <v>4</v>
      </c>
      <c r="H84" s="778">
        <v>2853.3</v>
      </c>
      <c r="I84" s="775" t="s">
        <v>676</v>
      </c>
      <c r="J84" s="779">
        <v>92.01679</v>
      </c>
      <c r="K84" s="778">
        <v>262551.50690700003</v>
      </c>
      <c r="L84" s="778">
        <v>1995.24</v>
      </c>
      <c r="M84" s="775" t="s">
        <v>677</v>
      </c>
      <c r="N84" s="775" t="s">
        <v>678</v>
      </c>
      <c r="O84" s="884"/>
    </row>
    <row r="85" spans="1:15">
      <c r="A85" s="775" t="s">
        <v>673</v>
      </c>
      <c r="B85" s="776">
        <v>67920</v>
      </c>
      <c r="C85" s="776" t="s">
        <v>664</v>
      </c>
      <c r="D85" s="777" t="s">
        <v>707</v>
      </c>
      <c r="E85" s="777" t="s">
        <v>670</v>
      </c>
      <c r="F85" s="776">
        <v>16</v>
      </c>
      <c r="G85" s="776">
        <v>4</v>
      </c>
      <c r="H85" s="778">
        <v>284466.87</v>
      </c>
      <c r="I85" s="775" t="s">
        <v>676</v>
      </c>
      <c r="J85" s="779">
        <v>92.01679</v>
      </c>
      <c r="K85" s="778">
        <v>26175728.238747299</v>
      </c>
      <c r="L85" s="778">
        <v>198920.93</v>
      </c>
      <c r="M85" s="775" t="s">
        <v>677</v>
      </c>
      <c r="N85" s="775" t="s">
        <v>678</v>
      </c>
      <c r="O85" s="884"/>
    </row>
    <row r="86" spans="1:15">
      <c r="A86" s="775" t="s">
        <v>673</v>
      </c>
      <c r="B86" s="776">
        <v>68370</v>
      </c>
      <c r="C86" s="776" t="s">
        <v>664</v>
      </c>
      <c r="D86" s="777" t="s">
        <v>711</v>
      </c>
      <c r="E86" s="777" t="s">
        <v>712</v>
      </c>
      <c r="F86" s="776">
        <v>16</v>
      </c>
      <c r="G86" s="776">
        <v>4</v>
      </c>
      <c r="H86" s="778">
        <v>500000</v>
      </c>
      <c r="I86" s="775" t="s">
        <v>676</v>
      </c>
      <c r="J86" s="779">
        <v>92.01679</v>
      </c>
      <c r="K86" s="778">
        <v>46008395</v>
      </c>
      <c r="L86" s="778">
        <v>349638.12</v>
      </c>
      <c r="M86" s="775" t="s">
        <v>677</v>
      </c>
      <c r="N86" s="775" t="s">
        <v>678</v>
      </c>
      <c r="O86" s="884"/>
    </row>
    <row r="87" spans="1:15">
      <c r="A87" s="775" t="s">
        <v>681</v>
      </c>
      <c r="B87" s="776" t="s">
        <v>702</v>
      </c>
      <c r="C87" s="776" t="s">
        <v>658</v>
      </c>
      <c r="D87" s="777" t="s">
        <v>703</v>
      </c>
      <c r="E87" s="777" t="s">
        <v>704</v>
      </c>
      <c r="F87" s="776">
        <v>20</v>
      </c>
      <c r="G87" s="776">
        <v>4</v>
      </c>
      <c r="H87" s="778">
        <v>7378226</v>
      </c>
      <c r="I87" s="775" t="s">
        <v>685</v>
      </c>
      <c r="J87" s="779">
        <v>0.84697049999999996</v>
      </c>
      <c r="K87" s="778">
        <v>6249139.7643329995</v>
      </c>
      <c r="L87" s="778">
        <v>7378226</v>
      </c>
      <c r="M87" s="775" t="s">
        <v>685</v>
      </c>
      <c r="N87" s="775" t="s">
        <v>662</v>
      </c>
      <c r="O87" s="884"/>
    </row>
    <row r="88" spans="1:15">
      <c r="A88" s="775" t="s">
        <v>681</v>
      </c>
      <c r="B88" s="776" t="s">
        <v>702</v>
      </c>
      <c r="C88" s="776" t="s">
        <v>658</v>
      </c>
      <c r="D88" s="777" t="s">
        <v>703</v>
      </c>
      <c r="E88" s="777" t="s">
        <v>704</v>
      </c>
      <c r="F88" s="776">
        <v>20</v>
      </c>
      <c r="G88" s="776">
        <v>4</v>
      </c>
      <c r="H88" s="778">
        <v>287653</v>
      </c>
      <c r="I88" s="775" t="s">
        <v>685</v>
      </c>
      <c r="J88" s="779">
        <v>0.84697049999999996</v>
      </c>
      <c r="K88" s="778">
        <v>243633.60523649998</v>
      </c>
      <c r="L88" s="778">
        <v>287653</v>
      </c>
      <c r="M88" s="775" t="s">
        <v>685</v>
      </c>
      <c r="N88" s="775" t="s">
        <v>662</v>
      </c>
      <c r="O88" s="884"/>
    </row>
    <row r="89" spans="1:15">
      <c r="A89" s="775" t="s">
        <v>681</v>
      </c>
      <c r="B89" s="776" t="s">
        <v>1074</v>
      </c>
      <c r="C89" s="776" t="s">
        <v>658</v>
      </c>
      <c r="D89" s="777" t="s">
        <v>703</v>
      </c>
      <c r="E89" s="777" t="s">
        <v>704</v>
      </c>
      <c r="F89" s="776">
        <v>20</v>
      </c>
      <c r="G89" s="776">
        <v>4</v>
      </c>
      <c r="H89" s="778">
        <v>30936</v>
      </c>
      <c r="I89" s="775" t="s">
        <v>685</v>
      </c>
      <c r="J89" s="779">
        <v>0.84697049999999996</v>
      </c>
      <c r="K89" s="778">
        <v>26201.879387999998</v>
      </c>
      <c r="L89" s="778">
        <v>30936</v>
      </c>
      <c r="M89" s="775" t="s">
        <v>685</v>
      </c>
      <c r="N89" s="775" t="s">
        <v>662</v>
      </c>
      <c r="O89" s="884"/>
    </row>
    <row r="90" spans="1:15">
      <c r="A90" s="775" t="s">
        <v>681</v>
      </c>
      <c r="B90" s="776" t="s">
        <v>682</v>
      </c>
      <c r="C90" s="776" t="s">
        <v>658</v>
      </c>
      <c r="D90" s="777" t="s">
        <v>683</v>
      </c>
      <c r="E90" s="777" t="s">
        <v>684</v>
      </c>
      <c r="F90" s="776">
        <v>23</v>
      </c>
      <c r="G90" s="776">
        <v>4</v>
      </c>
      <c r="H90" s="778">
        <v>8556.74</v>
      </c>
      <c r="I90" s="775" t="s">
        <v>676</v>
      </c>
      <c r="J90" s="779">
        <v>91.435609999999997</v>
      </c>
      <c r="K90" s="778">
        <v>782390.74151139997</v>
      </c>
      <c r="L90" s="778">
        <v>933369</v>
      </c>
      <c r="M90" s="775" t="s">
        <v>685</v>
      </c>
      <c r="N90" s="775" t="s">
        <v>662</v>
      </c>
      <c r="O90" s="884"/>
    </row>
    <row r="91" spans="1:15">
      <c r="A91" s="775" t="s">
        <v>663</v>
      </c>
      <c r="B91" s="776">
        <v>10633</v>
      </c>
      <c r="C91" s="776" t="s">
        <v>664</v>
      </c>
      <c r="D91" s="777" t="s">
        <v>669</v>
      </c>
      <c r="E91" s="777" t="s">
        <v>670</v>
      </c>
      <c r="F91" s="776">
        <v>23</v>
      </c>
      <c r="G91" s="776">
        <v>4</v>
      </c>
      <c r="H91" s="778">
        <v>6533.54</v>
      </c>
      <c r="I91" s="775" t="s">
        <v>667</v>
      </c>
      <c r="J91" s="779">
        <v>110.265</v>
      </c>
      <c r="K91" s="778">
        <v>720420.78810000001</v>
      </c>
      <c r="L91" s="778">
        <v>6533.54</v>
      </c>
      <c r="M91" s="775" t="s">
        <v>667</v>
      </c>
      <c r="N91" s="775" t="s">
        <v>668</v>
      </c>
      <c r="O91" s="884"/>
    </row>
    <row r="92" spans="1:15">
      <c r="A92" s="775" t="s">
        <v>663</v>
      </c>
      <c r="B92" s="776">
        <v>10633</v>
      </c>
      <c r="C92" s="776" t="s">
        <v>664</v>
      </c>
      <c r="D92" s="777" t="s">
        <v>669</v>
      </c>
      <c r="E92" s="777" t="s">
        <v>670</v>
      </c>
      <c r="F92" s="776">
        <v>23</v>
      </c>
      <c r="G92" s="776">
        <v>4</v>
      </c>
      <c r="H92" s="778">
        <v>66592.42</v>
      </c>
      <c r="I92" s="775" t="s">
        <v>667</v>
      </c>
      <c r="J92" s="779">
        <v>110.265</v>
      </c>
      <c r="K92" s="778">
        <v>7342813.1913000001</v>
      </c>
      <c r="L92" s="778">
        <v>66592.42</v>
      </c>
      <c r="M92" s="775" t="s">
        <v>667</v>
      </c>
      <c r="N92" s="775" t="s">
        <v>668</v>
      </c>
      <c r="O92" s="884"/>
    </row>
    <row r="93" spans="1:15">
      <c r="A93" s="775" t="s">
        <v>663</v>
      </c>
      <c r="B93" s="776">
        <v>10633</v>
      </c>
      <c r="C93" s="776" t="s">
        <v>664</v>
      </c>
      <c r="D93" s="777" t="s">
        <v>669</v>
      </c>
      <c r="E93" s="777" t="s">
        <v>670</v>
      </c>
      <c r="F93" s="776">
        <v>29</v>
      </c>
      <c r="G93" s="776">
        <v>4</v>
      </c>
      <c r="H93" s="778">
        <v>231047</v>
      </c>
      <c r="I93" s="775" t="s">
        <v>667</v>
      </c>
      <c r="J93" s="779">
        <v>110.265</v>
      </c>
      <c r="K93" s="778">
        <v>25476397.455000002</v>
      </c>
      <c r="L93" s="778">
        <v>231047</v>
      </c>
      <c r="M93" s="775" t="s">
        <v>667</v>
      </c>
      <c r="N93" s="775" t="s">
        <v>668</v>
      </c>
      <c r="O93" s="884"/>
    </row>
    <row r="94" spans="1:15">
      <c r="A94" s="775" t="s">
        <v>663</v>
      </c>
      <c r="B94" s="776">
        <v>3403</v>
      </c>
      <c r="C94" s="776" t="s">
        <v>664</v>
      </c>
      <c r="D94" s="777" t="s">
        <v>665</v>
      </c>
      <c r="E94" s="777" t="s">
        <v>666</v>
      </c>
      <c r="F94" s="776">
        <v>27</v>
      </c>
      <c r="G94" s="776">
        <v>4</v>
      </c>
      <c r="H94" s="778">
        <v>403717</v>
      </c>
      <c r="I94" s="775" t="s">
        <v>667</v>
      </c>
      <c r="J94" s="779">
        <v>110.265</v>
      </c>
      <c r="K94" s="778">
        <v>44515855.005000003</v>
      </c>
      <c r="L94" s="778">
        <v>403717</v>
      </c>
      <c r="M94" s="775" t="s">
        <v>667</v>
      </c>
      <c r="N94" s="775" t="s">
        <v>668</v>
      </c>
      <c r="O94" s="884"/>
    </row>
    <row r="95" spans="1:15">
      <c r="A95" s="775" t="s">
        <v>657</v>
      </c>
      <c r="B95" s="776">
        <v>878</v>
      </c>
      <c r="C95" s="776" t="s">
        <v>658</v>
      </c>
      <c r="D95" s="777" t="s">
        <v>659</v>
      </c>
      <c r="E95" s="777" t="s">
        <v>660</v>
      </c>
      <c r="F95" s="776">
        <v>3</v>
      </c>
      <c r="G95" s="776">
        <v>5</v>
      </c>
      <c r="H95" s="778">
        <v>21971786</v>
      </c>
      <c r="I95" s="775" t="s">
        <v>116</v>
      </c>
      <c r="J95" s="779">
        <v>1</v>
      </c>
      <c r="K95" s="778">
        <v>21971786</v>
      </c>
      <c r="L95" s="778">
        <v>74580.288</v>
      </c>
      <c r="M95" s="775" t="s">
        <v>661</v>
      </c>
      <c r="N95" s="775" t="s">
        <v>662</v>
      </c>
      <c r="O95" s="884"/>
    </row>
    <row r="96" spans="1:15">
      <c r="A96" s="775" t="s">
        <v>657</v>
      </c>
      <c r="B96" s="776">
        <v>878</v>
      </c>
      <c r="C96" s="776" t="s">
        <v>658</v>
      </c>
      <c r="D96" s="777" t="s">
        <v>659</v>
      </c>
      <c r="E96" s="777" t="s">
        <v>660</v>
      </c>
      <c r="F96" s="776">
        <v>3</v>
      </c>
      <c r="G96" s="776">
        <v>5</v>
      </c>
      <c r="H96" s="778">
        <v>5342244</v>
      </c>
      <c r="I96" s="775" t="s">
        <v>116</v>
      </c>
      <c r="J96" s="779">
        <v>1</v>
      </c>
      <c r="K96" s="778">
        <v>5342244</v>
      </c>
      <c r="L96" s="778">
        <v>18133.531999999999</v>
      </c>
      <c r="M96" s="775" t="s">
        <v>661</v>
      </c>
      <c r="N96" s="775" t="s">
        <v>662</v>
      </c>
      <c r="O96" s="884"/>
    </row>
    <row r="97" spans="1:15">
      <c r="A97" s="775" t="s">
        <v>657</v>
      </c>
      <c r="B97" s="776">
        <v>878</v>
      </c>
      <c r="C97" s="776" t="s">
        <v>658</v>
      </c>
      <c r="D97" s="777" t="s">
        <v>659</v>
      </c>
      <c r="E97" s="777" t="s">
        <v>660</v>
      </c>
      <c r="F97" s="776">
        <v>6</v>
      </c>
      <c r="G97" s="776">
        <v>5</v>
      </c>
      <c r="H97" s="778">
        <v>14081651</v>
      </c>
      <c r="I97" s="775" t="s">
        <v>116</v>
      </c>
      <c r="J97" s="779">
        <v>1</v>
      </c>
      <c r="K97" s="778">
        <v>14081651</v>
      </c>
      <c r="L97" s="778">
        <v>48223.955999999998</v>
      </c>
      <c r="M97" s="775" t="s">
        <v>661</v>
      </c>
      <c r="N97" s="775" t="s">
        <v>662</v>
      </c>
      <c r="O97" s="884"/>
    </row>
    <row r="98" spans="1:15">
      <c r="A98" s="775" t="s">
        <v>657</v>
      </c>
      <c r="B98" s="776">
        <v>878</v>
      </c>
      <c r="C98" s="776" t="s">
        <v>658</v>
      </c>
      <c r="D98" s="777" t="s">
        <v>659</v>
      </c>
      <c r="E98" s="777" t="s">
        <v>660</v>
      </c>
      <c r="F98" s="776">
        <v>6</v>
      </c>
      <c r="G98" s="776">
        <v>5</v>
      </c>
      <c r="H98" s="778">
        <v>19733186</v>
      </c>
      <c r="I98" s="775" t="s">
        <v>116</v>
      </c>
      <c r="J98" s="779">
        <v>1</v>
      </c>
      <c r="K98" s="778">
        <v>19733186</v>
      </c>
      <c r="L98" s="778">
        <v>67578.176000000007</v>
      </c>
      <c r="M98" s="775" t="s">
        <v>661</v>
      </c>
      <c r="N98" s="775" t="s">
        <v>662</v>
      </c>
      <c r="O98" s="884"/>
    </row>
    <row r="99" spans="1:15">
      <c r="A99" s="775" t="s">
        <v>657</v>
      </c>
      <c r="B99" s="776">
        <v>878</v>
      </c>
      <c r="C99" s="776" t="s">
        <v>658</v>
      </c>
      <c r="D99" s="777" t="s">
        <v>659</v>
      </c>
      <c r="E99" s="777" t="s">
        <v>660</v>
      </c>
      <c r="F99" s="776">
        <v>6</v>
      </c>
      <c r="G99" s="776">
        <v>5</v>
      </c>
      <c r="H99" s="778">
        <v>5670985.8499999996</v>
      </c>
      <c r="I99" s="775" t="s">
        <v>116</v>
      </c>
      <c r="J99" s="779">
        <v>1</v>
      </c>
      <c r="K99" s="778">
        <v>5670985.8499999996</v>
      </c>
      <c r="L99" s="778">
        <v>19420.830999999998</v>
      </c>
      <c r="M99" s="775" t="s">
        <v>661</v>
      </c>
      <c r="N99" s="775" t="s">
        <v>662</v>
      </c>
      <c r="O99" s="884"/>
    </row>
    <row r="100" spans="1:15">
      <c r="A100" s="775" t="s">
        <v>663</v>
      </c>
      <c r="B100" s="776">
        <v>3403</v>
      </c>
      <c r="C100" s="776" t="s">
        <v>664</v>
      </c>
      <c r="D100" s="777" t="s">
        <v>665</v>
      </c>
      <c r="E100" s="777" t="s">
        <v>666</v>
      </c>
      <c r="F100" s="776">
        <v>7</v>
      </c>
      <c r="G100" s="776">
        <v>5</v>
      </c>
      <c r="H100" s="778">
        <v>264520</v>
      </c>
      <c r="I100" s="775" t="s">
        <v>667</v>
      </c>
      <c r="J100" s="779">
        <v>110.265</v>
      </c>
      <c r="K100" s="778">
        <v>29167297.800000001</v>
      </c>
      <c r="L100" s="778">
        <v>264520</v>
      </c>
      <c r="M100" s="775" t="s">
        <v>667</v>
      </c>
      <c r="N100" s="775" t="s">
        <v>668</v>
      </c>
      <c r="O100" s="884"/>
    </row>
    <row r="101" spans="1:15">
      <c r="A101" s="775" t="s">
        <v>663</v>
      </c>
      <c r="B101" s="776">
        <v>3403</v>
      </c>
      <c r="C101" s="776" t="s">
        <v>664</v>
      </c>
      <c r="D101" s="777" t="s">
        <v>665</v>
      </c>
      <c r="E101" s="777" t="s">
        <v>666</v>
      </c>
      <c r="F101" s="776">
        <v>17</v>
      </c>
      <c r="G101" s="776">
        <v>5</v>
      </c>
      <c r="H101" s="778">
        <v>116039.28</v>
      </c>
      <c r="I101" s="775" t="s">
        <v>667</v>
      </c>
      <c r="J101" s="779">
        <v>110.265</v>
      </c>
      <c r="K101" s="778">
        <v>12795071.2092</v>
      </c>
      <c r="L101" s="778">
        <v>116039.28</v>
      </c>
      <c r="M101" s="775" t="s">
        <v>667</v>
      </c>
      <c r="N101" s="775" t="s">
        <v>668</v>
      </c>
      <c r="O101" s="884"/>
    </row>
    <row r="102" spans="1:15">
      <c r="A102" s="775" t="s">
        <v>663</v>
      </c>
      <c r="B102" s="776">
        <v>3403</v>
      </c>
      <c r="C102" s="776" t="s">
        <v>664</v>
      </c>
      <c r="D102" s="777" t="s">
        <v>665</v>
      </c>
      <c r="E102" s="777" t="s">
        <v>666</v>
      </c>
      <c r="F102" s="776">
        <v>17</v>
      </c>
      <c r="G102" s="776">
        <v>5</v>
      </c>
      <c r="H102" s="778">
        <v>177583.14</v>
      </c>
      <c r="I102" s="775" t="s">
        <v>667</v>
      </c>
      <c r="J102" s="779">
        <v>110.265</v>
      </c>
      <c r="K102" s="778">
        <v>19581204.932100002</v>
      </c>
      <c r="L102" s="778">
        <v>177583.14</v>
      </c>
      <c r="M102" s="775" t="s">
        <v>667</v>
      </c>
      <c r="N102" s="775" t="s">
        <v>668</v>
      </c>
      <c r="O102" s="884"/>
    </row>
    <row r="103" spans="1:15">
      <c r="A103" s="775" t="s">
        <v>673</v>
      </c>
      <c r="B103" s="776">
        <v>68240</v>
      </c>
      <c r="C103" s="776" t="s">
        <v>664</v>
      </c>
      <c r="D103" s="777" t="s">
        <v>674</v>
      </c>
      <c r="E103" s="777" t="s">
        <v>675</v>
      </c>
      <c r="F103" s="776">
        <v>10</v>
      </c>
      <c r="G103" s="776">
        <v>5</v>
      </c>
      <c r="H103" s="778">
        <v>3500000</v>
      </c>
      <c r="I103" s="775" t="s">
        <v>676</v>
      </c>
      <c r="J103" s="779">
        <v>91.336929999999995</v>
      </c>
      <c r="K103" s="778">
        <v>319679255</v>
      </c>
      <c r="L103" s="778">
        <v>2426494.5499999998</v>
      </c>
      <c r="M103" s="775" t="s">
        <v>677</v>
      </c>
      <c r="N103" s="775" t="s">
        <v>678</v>
      </c>
      <c r="O103" s="884"/>
    </row>
    <row r="104" spans="1:15">
      <c r="A104" s="775" t="s">
        <v>673</v>
      </c>
      <c r="B104" s="776">
        <v>63550</v>
      </c>
      <c r="C104" s="776" t="s">
        <v>664</v>
      </c>
      <c r="D104" s="777" t="s">
        <v>674</v>
      </c>
      <c r="E104" s="777" t="s">
        <v>675</v>
      </c>
      <c r="F104" s="776">
        <v>10</v>
      </c>
      <c r="G104" s="776">
        <v>5</v>
      </c>
      <c r="H104" s="778">
        <v>997710.71</v>
      </c>
      <c r="I104" s="775" t="s">
        <v>676</v>
      </c>
      <c r="J104" s="779">
        <v>91.336929999999995</v>
      </c>
      <c r="K104" s="778">
        <v>91127833.279520288</v>
      </c>
      <c r="L104" s="778">
        <v>691697.03</v>
      </c>
      <c r="M104" s="775" t="s">
        <v>677</v>
      </c>
      <c r="N104" s="775" t="s">
        <v>678</v>
      </c>
      <c r="O104" s="884"/>
    </row>
    <row r="105" spans="1:15">
      <c r="A105" s="775" t="s">
        <v>657</v>
      </c>
      <c r="B105" s="776">
        <v>878</v>
      </c>
      <c r="C105" s="776" t="s">
        <v>658</v>
      </c>
      <c r="D105" s="777" t="s">
        <v>659</v>
      </c>
      <c r="E105" s="777" t="s">
        <v>660</v>
      </c>
      <c r="F105" s="776">
        <v>12</v>
      </c>
      <c r="G105" s="776">
        <v>5</v>
      </c>
      <c r="H105" s="778">
        <v>24074713</v>
      </c>
      <c r="I105" s="775" t="s">
        <v>116</v>
      </c>
      <c r="J105" s="779">
        <v>1</v>
      </c>
      <c r="K105" s="778">
        <v>24074713</v>
      </c>
      <c r="L105" s="778">
        <v>82647.816000000006</v>
      </c>
      <c r="M105" s="775" t="s">
        <v>661</v>
      </c>
      <c r="N105" s="775" t="s">
        <v>662</v>
      </c>
      <c r="O105" s="884"/>
    </row>
    <row r="106" spans="1:15">
      <c r="A106" s="775" t="s">
        <v>705</v>
      </c>
      <c r="B106" s="776">
        <v>13297</v>
      </c>
      <c r="C106" s="776" t="s">
        <v>658</v>
      </c>
      <c r="D106" s="777" t="s">
        <v>706</v>
      </c>
      <c r="E106" s="777" t="s">
        <v>684</v>
      </c>
      <c r="F106" s="776">
        <v>11</v>
      </c>
      <c r="G106" s="776">
        <v>5</v>
      </c>
      <c r="H106" s="778">
        <v>727523.05</v>
      </c>
      <c r="I106" s="775" t="s">
        <v>667</v>
      </c>
      <c r="J106" s="779">
        <v>110.265</v>
      </c>
      <c r="K106" s="778">
        <v>80220329.108250007</v>
      </c>
      <c r="L106" s="778">
        <v>727523.05</v>
      </c>
      <c r="M106" s="775" t="s">
        <v>667</v>
      </c>
      <c r="N106" s="775" t="s">
        <v>668</v>
      </c>
      <c r="O106" s="884"/>
    </row>
    <row r="107" spans="1:15">
      <c r="A107" s="775" t="s">
        <v>681</v>
      </c>
      <c r="B107" s="776" t="s">
        <v>682</v>
      </c>
      <c r="C107" s="776" t="s">
        <v>658</v>
      </c>
      <c r="D107" s="777" t="s">
        <v>683</v>
      </c>
      <c r="E107" s="777" t="s">
        <v>684</v>
      </c>
      <c r="F107" s="776">
        <v>14</v>
      </c>
      <c r="G107" s="776">
        <v>5</v>
      </c>
      <c r="H107" s="778">
        <v>1676615</v>
      </c>
      <c r="I107" s="775" t="s">
        <v>685</v>
      </c>
      <c r="J107" s="779">
        <v>0.83237099999999997</v>
      </c>
      <c r="K107" s="778">
        <v>1395565.704165</v>
      </c>
      <c r="L107" s="778">
        <v>1676615</v>
      </c>
      <c r="M107" s="775" t="s">
        <v>685</v>
      </c>
      <c r="N107" s="775" t="s">
        <v>662</v>
      </c>
      <c r="O107" s="884"/>
    </row>
    <row r="108" spans="1:15">
      <c r="A108" s="775" t="s">
        <v>681</v>
      </c>
      <c r="B108" s="776" t="s">
        <v>682</v>
      </c>
      <c r="C108" s="776" t="s">
        <v>658</v>
      </c>
      <c r="D108" s="777" t="s">
        <v>683</v>
      </c>
      <c r="E108" s="777" t="s">
        <v>684</v>
      </c>
      <c r="F108" s="776">
        <v>18</v>
      </c>
      <c r="G108" s="776">
        <v>5</v>
      </c>
      <c r="H108" s="778">
        <v>29937.4</v>
      </c>
      <c r="I108" s="775" t="s">
        <v>676</v>
      </c>
      <c r="J108" s="779">
        <v>90.704400000000007</v>
      </c>
      <c r="K108" s="778">
        <v>2715453.9045600002</v>
      </c>
      <c r="L108" s="778">
        <v>3311974</v>
      </c>
      <c r="M108" s="775" t="s">
        <v>685</v>
      </c>
      <c r="N108" s="775" t="s">
        <v>662</v>
      </c>
      <c r="O108" s="884"/>
    </row>
    <row r="109" spans="1:15">
      <c r="A109" s="775" t="s">
        <v>681</v>
      </c>
      <c r="B109" s="776" t="s">
        <v>682</v>
      </c>
      <c r="C109" s="776" t="s">
        <v>658</v>
      </c>
      <c r="D109" s="777" t="s">
        <v>683</v>
      </c>
      <c r="E109" s="777" t="s">
        <v>684</v>
      </c>
      <c r="F109" s="776">
        <v>18</v>
      </c>
      <c r="G109" s="776">
        <v>5</v>
      </c>
      <c r="H109" s="778">
        <v>29400</v>
      </c>
      <c r="I109" s="775" t="s">
        <v>676</v>
      </c>
      <c r="J109" s="779">
        <v>90.704400000000007</v>
      </c>
      <c r="K109" s="778">
        <v>2666709.3600000003</v>
      </c>
      <c r="L109" s="778">
        <v>3252522</v>
      </c>
      <c r="M109" s="775" t="s">
        <v>685</v>
      </c>
      <c r="N109" s="775" t="s">
        <v>662</v>
      </c>
      <c r="O109" s="884"/>
    </row>
    <row r="110" spans="1:15">
      <c r="A110" s="775" t="s">
        <v>681</v>
      </c>
      <c r="B110" s="776" t="s">
        <v>682</v>
      </c>
      <c r="C110" s="776" t="s">
        <v>658</v>
      </c>
      <c r="D110" s="777" t="s">
        <v>683</v>
      </c>
      <c r="E110" s="777" t="s">
        <v>684</v>
      </c>
      <c r="F110" s="776">
        <v>21</v>
      </c>
      <c r="G110" s="776">
        <v>5</v>
      </c>
      <c r="H110" s="778">
        <v>1687154</v>
      </c>
      <c r="I110" s="775" t="s">
        <v>685</v>
      </c>
      <c r="J110" s="779">
        <v>0.8287369</v>
      </c>
      <c r="K110" s="778">
        <v>1398206.7757826</v>
      </c>
      <c r="L110" s="778">
        <v>1687154</v>
      </c>
      <c r="M110" s="775" t="s">
        <v>685</v>
      </c>
      <c r="N110" s="775" t="s">
        <v>662</v>
      </c>
      <c r="O110" s="884"/>
    </row>
    <row r="111" spans="1:15">
      <c r="A111" s="775" t="s">
        <v>681</v>
      </c>
      <c r="B111" s="776" t="s">
        <v>702</v>
      </c>
      <c r="C111" s="776" t="s">
        <v>658</v>
      </c>
      <c r="D111" s="777" t="s">
        <v>703</v>
      </c>
      <c r="E111" s="777" t="s">
        <v>704</v>
      </c>
      <c r="F111" s="776">
        <v>25</v>
      </c>
      <c r="G111" s="776">
        <v>5</v>
      </c>
      <c r="H111" s="778">
        <v>6182.4</v>
      </c>
      <c r="I111" s="775" t="s">
        <v>667</v>
      </c>
      <c r="J111" s="779">
        <v>110.265</v>
      </c>
      <c r="K111" s="778">
        <v>681702.33600000001</v>
      </c>
      <c r="L111" s="778">
        <v>832892</v>
      </c>
      <c r="M111" s="775" t="s">
        <v>685</v>
      </c>
      <c r="N111" s="775" t="s">
        <v>662</v>
      </c>
      <c r="O111" s="884"/>
    </row>
    <row r="112" spans="1:15">
      <c r="A112" s="775" t="s">
        <v>673</v>
      </c>
      <c r="B112" s="776">
        <v>67920</v>
      </c>
      <c r="C112" s="776" t="s">
        <v>664</v>
      </c>
      <c r="D112" s="777" t="s">
        <v>707</v>
      </c>
      <c r="E112" s="777" t="s">
        <v>670</v>
      </c>
      <c r="F112" s="776">
        <v>21</v>
      </c>
      <c r="G112" s="776">
        <v>5</v>
      </c>
      <c r="H112" s="778">
        <v>121957.34</v>
      </c>
      <c r="I112" s="775" t="s">
        <v>676</v>
      </c>
      <c r="J112" s="779">
        <v>90.257930000000002</v>
      </c>
      <c r="K112" s="778">
        <v>11007617.056706199</v>
      </c>
      <c r="L112" s="778">
        <v>84400.71</v>
      </c>
      <c r="M112" s="775" t="s">
        <v>677</v>
      </c>
      <c r="N112" s="775" t="s">
        <v>678</v>
      </c>
      <c r="O112" s="884"/>
    </row>
    <row r="113" spans="1:15">
      <c r="A113" s="775" t="s">
        <v>673</v>
      </c>
      <c r="B113" s="776">
        <v>62510</v>
      </c>
      <c r="C113" s="776" t="s">
        <v>664</v>
      </c>
      <c r="D113" s="777" t="s">
        <v>701</v>
      </c>
      <c r="E113" s="777" t="s">
        <v>675</v>
      </c>
      <c r="F113" s="776">
        <v>27</v>
      </c>
      <c r="G113" s="776">
        <v>5</v>
      </c>
      <c r="H113" s="778">
        <v>95268.59</v>
      </c>
      <c r="I113" s="775" t="s">
        <v>676</v>
      </c>
      <c r="J113" s="779">
        <v>90.065820000000002</v>
      </c>
      <c r="K113" s="778">
        <v>8580443.6785937995</v>
      </c>
      <c r="L113" s="778">
        <v>65944.88</v>
      </c>
      <c r="M113" s="775" t="s">
        <v>677</v>
      </c>
      <c r="N113" s="775" t="s">
        <v>678</v>
      </c>
      <c r="O113" s="884"/>
    </row>
    <row r="114" spans="1:15">
      <c r="A114" s="775" t="s">
        <v>673</v>
      </c>
      <c r="B114" s="776">
        <v>65740</v>
      </c>
      <c r="C114" s="776" t="s">
        <v>664</v>
      </c>
      <c r="D114" s="777" t="s">
        <v>713</v>
      </c>
      <c r="E114" s="777" t="s">
        <v>714</v>
      </c>
      <c r="F114" s="776">
        <v>27</v>
      </c>
      <c r="G114" s="776">
        <v>5</v>
      </c>
      <c r="H114" s="778">
        <v>500000</v>
      </c>
      <c r="I114" s="775" t="s">
        <v>676</v>
      </c>
      <c r="J114" s="779">
        <v>90.065820000000002</v>
      </c>
      <c r="K114" s="778">
        <v>45032910</v>
      </c>
      <c r="L114" s="778">
        <v>346099.8</v>
      </c>
      <c r="M114" s="775" t="s">
        <v>677</v>
      </c>
      <c r="N114" s="775" t="s">
        <v>678</v>
      </c>
      <c r="O114" s="884"/>
    </row>
    <row r="115" spans="1:15">
      <c r="A115" s="775" t="s">
        <v>681</v>
      </c>
      <c r="B115" s="776" t="s">
        <v>702</v>
      </c>
      <c r="C115" s="776" t="s">
        <v>658</v>
      </c>
      <c r="D115" s="777" t="s">
        <v>703</v>
      </c>
      <c r="E115" s="777" t="s">
        <v>704</v>
      </c>
      <c r="F115" s="776">
        <v>4</v>
      </c>
      <c r="G115" s="776">
        <v>6</v>
      </c>
      <c r="H115" s="778">
        <v>47972.67</v>
      </c>
      <c r="I115" s="775" t="s">
        <v>667</v>
      </c>
      <c r="J115" s="779">
        <v>110.265</v>
      </c>
      <c r="K115" s="778">
        <v>5289706.4575499995</v>
      </c>
      <c r="L115" s="778">
        <v>6500296</v>
      </c>
      <c r="M115" s="775" t="s">
        <v>685</v>
      </c>
      <c r="N115" s="775" t="s">
        <v>662</v>
      </c>
      <c r="O115" s="884"/>
    </row>
    <row r="116" spans="1:15">
      <c r="A116" s="775" t="s">
        <v>663</v>
      </c>
      <c r="B116" s="776">
        <v>10633</v>
      </c>
      <c r="C116" s="776" t="s">
        <v>664</v>
      </c>
      <c r="D116" s="777" t="s">
        <v>669</v>
      </c>
      <c r="E116" s="777" t="s">
        <v>670</v>
      </c>
      <c r="F116" s="776">
        <v>9</v>
      </c>
      <c r="G116" s="776">
        <v>6</v>
      </c>
      <c r="H116" s="778">
        <v>149759.35999999999</v>
      </c>
      <c r="I116" s="775" t="s">
        <v>667</v>
      </c>
      <c r="J116" s="779">
        <v>110.265</v>
      </c>
      <c r="K116" s="778">
        <v>16513215.830399999</v>
      </c>
      <c r="L116" s="778">
        <v>149759.35999999999</v>
      </c>
      <c r="M116" s="775" t="s">
        <v>667</v>
      </c>
      <c r="N116" s="775" t="s">
        <v>668</v>
      </c>
      <c r="O116" s="884"/>
    </row>
    <row r="117" spans="1:15">
      <c r="A117" s="775" t="s">
        <v>663</v>
      </c>
      <c r="B117" s="776">
        <v>10633</v>
      </c>
      <c r="C117" s="776" t="s">
        <v>664</v>
      </c>
      <c r="D117" s="777" t="s">
        <v>669</v>
      </c>
      <c r="E117" s="777" t="s">
        <v>670</v>
      </c>
      <c r="F117" s="776">
        <v>9</v>
      </c>
      <c r="G117" s="776">
        <v>6</v>
      </c>
      <c r="H117" s="778">
        <v>50823.51</v>
      </c>
      <c r="I117" s="775" t="s">
        <v>667</v>
      </c>
      <c r="J117" s="779">
        <v>110.265</v>
      </c>
      <c r="K117" s="778">
        <v>5604054.3301499998</v>
      </c>
      <c r="L117" s="778">
        <v>50823.51</v>
      </c>
      <c r="M117" s="775" t="s">
        <v>667</v>
      </c>
      <c r="N117" s="775" t="s">
        <v>668</v>
      </c>
      <c r="O117" s="884"/>
    </row>
    <row r="118" spans="1:15" s="884" customFormat="1">
      <c r="A118" s="775" t="s">
        <v>663</v>
      </c>
      <c r="B118" s="776">
        <v>10633</v>
      </c>
      <c r="C118" s="776" t="s">
        <v>664</v>
      </c>
      <c r="D118" s="777" t="s">
        <v>669</v>
      </c>
      <c r="E118" s="777" t="s">
        <v>670</v>
      </c>
      <c r="F118" s="776">
        <v>9</v>
      </c>
      <c r="G118" s="776">
        <v>6</v>
      </c>
      <c r="H118" s="778">
        <v>31922</v>
      </c>
      <c r="I118" s="775" t="s">
        <v>667</v>
      </c>
      <c r="J118" s="779">
        <v>110.265</v>
      </c>
      <c r="K118" s="778">
        <v>3519879.33</v>
      </c>
      <c r="L118" s="778">
        <v>31922</v>
      </c>
      <c r="M118" s="775" t="s">
        <v>667</v>
      </c>
      <c r="N118" s="775" t="s">
        <v>668</v>
      </c>
    </row>
    <row r="119" spans="1:15" s="884" customFormat="1">
      <c r="A119" s="775" t="s">
        <v>663</v>
      </c>
      <c r="B119" s="776">
        <v>10633</v>
      </c>
      <c r="C119" s="776" t="s">
        <v>664</v>
      </c>
      <c r="D119" s="777" t="s">
        <v>669</v>
      </c>
      <c r="E119" s="777" t="s">
        <v>670</v>
      </c>
      <c r="F119" s="776">
        <v>10</v>
      </c>
      <c r="G119" s="776">
        <v>6</v>
      </c>
      <c r="H119" s="778">
        <v>84374.51</v>
      </c>
      <c r="I119" s="775" t="s">
        <v>667</v>
      </c>
      <c r="J119" s="779">
        <v>110.265</v>
      </c>
      <c r="K119" s="778">
        <v>9303555.3451499995</v>
      </c>
      <c r="L119" s="778">
        <v>84374.51</v>
      </c>
      <c r="M119" s="775" t="s">
        <v>667</v>
      </c>
      <c r="N119" s="775" t="s">
        <v>668</v>
      </c>
    </row>
    <row r="120" spans="1:15" s="884" customFormat="1">
      <c r="A120" s="775" t="s">
        <v>663</v>
      </c>
      <c r="B120" s="776">
        <v>10633</v>
      </c>
      <c r="C120" s="776" t="s">
        <v>664</v>
      </c>
      <c r="D120" s="777" t="s">
        <v>669</v>
      </c>
      <c r="E120" s="777" t="s">
        <v>670</v>
      </c>
      <c r="F120" s="776">
        <v>11</v>
      </c>
      <c r="G120" s="776">
        <v>6</v>
      </c>
      <c r="H120" s="778">
        <v>54987.51</v>
      </c>
      <c r="I120" s="775" t="s">
        <v>667</v>
      </c>
      <c r="J120" s="779">
        <v>110.265</v>
      </c>
      <c r="K120" s="778">
        <v>6063197.7901500007</v>
      </c>
      <c r="L120" s="778">
        <v>54987.51</v>
      </c>
      <c r="M120" s="775" t="s">
        <v>667</v>
      </c>
      <c r="N120" s="775" t="s">
        <v>668</v>
      </c>
    </row>
    <row r="121" spans="1:15" s="884" customFormat="1">
      <c r="A121" s="775" t="s">
        <v>663</v>
      </c>
      <c r="B121" s="776">
        <v>10633</v>
      </c>
      <c r="C121" s="776" t="s">
        <v>664</v>
      </c>
      <c r="D121" s="777" t="s">
        <v>669</v>
      </c>
      <c r="E121" s="777" t="s">
        <v>670</v>
      </c>
      <c r="F121" s="776">
        <v>11</v>
      </c>
      <c r="G121" s="776">
        <v>6</v>
      </c>
      <c r="H121" s="778">
        <v>243132.82</v>
      </c>
      <c r="I121" s="775" t="s">
        <v>667</v>
      </c>
      <c r="J121" s="779">
        <v>110.265</v>
      </c>
      <c r="K121" s="778">
        <v>26809040.397300001</v>
      </c>
      <c r="L121" s="778">
        <v>243132.82</v>
      </c>
      <c r="M121" s="775" t="s">
        <v>667</v>
      </c>
      <c r="N121" s="775" t="s">
        <v>668</v>
      </c>
    </row>
    <row r="122" spans="1:15" s="884" customFormat="1">
      <c r="A122" s="775" t="s">
        <v>663</v>
      </c>
      <c r="B122" s="776">
        <v>10633</v>
      </c>
      <c r="C122" s="776" t="s">
        <v>664</v>
      </c>
      <c r="D122" s="777" t="s">
        <v>669</v>
      </c>
      <c r="E122" s="777" t="s">
        <v>670</v>
      </c>
      <c r="F122" s="776">
        <v>14</v>
      </c>
      <c r="G122" s="776">
        <v>6</v>
      </c>
      <c r="H122" s="778">
        <v>107918.52</v>
      </c>
      <c r="I122" s="775" t="s">
        <v>667</v>
      </c>
      <c r="J122" s="779">
        <v>110.265</v>
      </c>
      <c r="K122" s="778">
        <v>11899635.607800001</v>
      </c>
      <c r="L122" s="778">
        <v>107918.52</v>
      </c>
      <c r="M122" s="775" t="s">
        <v>667</v>
      </c>
      <c r="N122" s="775" t="s">
        <v>668</v>
      </c>
    </row>
    <row r="123" spans="1:15" s="884" customFormat="1">
      <c r="A123" s="775" t="s">
        <v>663</v>
      </c>
      <c r="B123" s="776">
        <v>3403</v>
      </c>
      <c r="C123" s="776" t="s">
        <v>664</v>
      </c>
      <c r="D123" s="777" t="s">
        <v>665</v>
      </c>
      <c r="E123" s="777" t="s">
        <v>666</v>
      </c>
      <c r="F123" s="776">
        <v>18</v>
      </c>
      <c r="G123" s="776">
        <v>6</v>
      </c>
      <c r="H123" s="778">
        <v>345238</v>
      </c>
      <c r="I123" s="775" t="s">
        <v>667</v>
      </c>
      <c r="J123" s="779">
        <v>110.265</v>
      </c>
      <c r="K123" s="778">
        <v>38067668.07</v>
      </c>
      <c r="L123" s="778">
        <v>345238</v>
      </c>
      <c r="M123" s="775" t="s">
        <v>667</v>
      </c>
      <c r="N123" s="775" t="s">
        <v>668</v>
      </c>
    </row>
    <row r="124" spans="1:15" s="884" customFormat="1">
      <c r="A124" s="775" t="s">
        <v>663</v>
      </c>
      <c r="B124" s="776">
        <v>3403</v>
      </c>
      <c r="C124" s="776" t="s">
        <v>664</v>
      </c>
      <c r="D124" s="777" t="s">
        <v>665</v>
      </c>
      <c r="E124" s="777" t="s">
        <v>666</v>
      </c>
      <c r="F124" s="776">
        <v>30</v>
      </c>
      <c r="G124" s="776">
        <v>6</v>
      </c>
      <c r="H124" s="778">
        <v>153481.07</v>
      </c>
      <c r="I124" s="775" t="s">
        <v>667</v>
      </c>
      <c r="J124" s="779">
        <v>110.265</v>
      </c>
      <c r="K124" s="778">
        <v>16923590.18355</v>
      </c>
      <c r="L124" s="778">
        <v>153481.07</v>
      </c>
      <c r="M124" s="775" t="s">
        <v>667</v>
      </c>
      <c r="N124" s="775" t="s">
        <v>668</v>
      </c>
    </row>
    <row r="125" spans="1:15" s="884" customFormat="1">
      <c r="A125" s="775" t="s">
        <v>663</v>
      </c>
      <c r="B125" s="776">
        <v>3403</v>
      </c>
      <c r="C125" s="776" t="s">
        <v>664</v>
      </c>
      <c r="D125" s="777" t="s">
        <v>665</v>
      </c>
      <c r="E125" s="777" t="s">
        <v>666</v>
      </c>
      <c r="F125" s="776">
        <v>30</v>
      </c>
      <c r="G125" s="776">
        <v>6</v>
      </c>
      <c r="H125" s="778">
        <v>18795.05</v>
      </c>
      <c r="I125" s="775" t="s">
        <v>667</v>
      </c>
      <c r="J125" s="779">
        <v>110.265</v>
      </c>
      <c r="K125" s="778">
        <v>2072436.1882499999</v>
      </c>
      <c r="L125" s="778">
        <v>18795.05</v>
      </c>
      <c r="M125" s="775" t="s">
        <v>667</v>
      </c>
      <c r="N125" s="775" t="s">
        <v>668</v>
      </c>
    </row>
    <row r="126" spans="1:15" s="884" customFormat="1">
      <c r="A126" s="775" t="s">
        <v>657</v>
      </c>
      <c r="B126" s="776">
        <v>878</v>
      </c>
      <c r="C126" s="776" t="s">
        <v>658</v>
      </c>
      <c r="D126" s="777" t="s">
        <v>659</v>
      </c>
      <c r="E126" s="777" t="s">
        <v>660</v>
      </c>
      <c r="F126" s="776">
        <v>16</v>
      </c>
      <c r="G126" s="776">
        <v>6</v>
      </c>
      <c r="H126" s="778">
        <v>814490.62</v>
      </c>
      <c r="I126" s="775" t="s">
        <v>116</v>
      </c>
      <c r="J126" s="779">
        <v>1</v>
      </c>
      <c r="K126" s="778">
        <v>814490.62</v>
      </c>
      <c r="L126" s="778">
        <v>2711.62</v>
      </c>
      <c r="M126" s="775" t="s">
        <v>661</v>
      </c>
      <c r="N126" s="775" t="s">
        <v>662</v>
      </c>
    </row>
    <row r="127" spans="1:15" s="884" customFormat="1">
      <c r="A127" s="775" t="s">
        <v>673</v>
      </c>
      <c r="B127" s="776">
        <v>63550</v>
      </c>
      <c r="C127" s="776" t="s">
        <v>664</v>
      </c>
      <c r="D127" s="777" t="s">
        <v>674</v>
      </c>
      <c r="E127" s="777" t="s">
        <v>675</v>
      </c>
      <c r="F127" s="776">
        <v>15</v>
      </c>
      <c r="G127" s="776">
        <v>6</v>
      </c>
      <c r="H127" s="778">
        <v>117387.42</v>
      </c>
      <c r="I127" s="775" t="s">
        <v>676</v>
      </c>
      <c r="J127" s="779">
        <v>90.936809999999994</v>
      </c>
      <c r="K127" s="778">
        <v>10674837.508930199</v>
      </c>
      <c r="L127" s="778">
        <v>81566.06</v>
      </c>
      <c r="M127" s="775" t="s">
        <v>677</v>
      </c>
      <c r="N127" s="775" t="s">
        <v>678</v>
      </c>
    </row>
    <row r="128" spans="1:15" s="884" customFormat="1">
      <c r="A128" s="775" t="s">
        <v>673</v>
      </c>
      <c r="B128" s="776">
        <v>61000</v>
      </c>
      <c r="C128" s="776" t="s">
        <v>664</v>
      </c>
      <c r="D128" s="777" t="s">
        <v>679</v>
      </c>
      <c r="E128" s="777" t="s">
        <v>680</v>
      </c>
      <c r="F128" s="776">
        <v>15</v>
      </c>
      <c r="G128" s="776">
        <v>6</v>
      </c>
      <c r="H128" s="778">
        <v>941119.25</v>
      </c>
      <c r="I128" s="775" t="s">
        <v>676</v>
      </c>
      <c r="J128" s="779">
        <v>90.936809999999994</v>
      </c>
      <c r="K128" s="778">
        <v>85582382.424592495</v>
      </c>
      <c r="L128" s="778">
        <v>653931.94999999995</v>
      </c>
      <c r="M128" s="775" t="s">
        <v>677</v>
      </c>
      <c r="N128" s="775" t="s">
        <v>678</v>
      </c>
    </row>
    <row r="129" spans="1:14" s="884" customFormat="1">
      <c r="A129" s="775" t="s">
        <v>673</v>
      </c>
      <c r="B129" s="776">
        <v>63310</v>
      </c>
      <c r="C129" s="776" t="s">
        <v>664</v>
      </c>
      <c r="D129" s="777" t="s">
        <v>688</v>
      </c>
      <c r="E129" s="777" t="s">
        <v>689</v>
      </c>
      <c r="F129" s="776">
        <v>15</v>
      </c>
      <c r="G129" s="776">
        <v>6</v>
      </c>
      <c r="H129" s="778">
        <v>186242.83</v>
      </c>
      <c r="I129" s="775" t="s">
        <v>676</v>
      </c>
      <c r="J129" s="779">
        <v>90.936809999999994</v>
      </c>
      <c r="K129" s="778">
        <v>16936328.845572297</v>
      </c>
      <c r="L129" s="778">
        <v>129409.89</v>
      </c>
      <c r="M129" s="775" t="s">
        <v>677</v>
      </c>
      <c r="N129" s="775" t="s">
        <v>678</v>
      </c>
    </row>
    <row r="130" spans="1:14" s="884" customFormat="1">
      <c r="A130" s="775" t="s">
        <v>673</v>
      </c>
      <c r="B130" s="776">
        <v>68370</v>
      </c>
      <c r="C130" s="776" t="s">
        <v>664</v>
      </c>
      <c r="D130" s="777" t="s">
        <v>711</v>
      </c>
      <c r="E130" s="777" t="s">
        <v>712</v>
      </c>
      <c r="F130" s="776">
        <v>21</v>
      </c>
      <c r="G130" s="776">
        <v>6</v>
      </c>
      <c r="H130" s="778">
        <v>631594.26</v>
      </c>
      <c r="I130" s="775" t="s">
        <v>667</v>
      </c>
      <c r="J130" s="779">
        <v>110.265</v>
      </c>
      <c r="K130" s="778">
        <v>69642741.078899994</v>
      </c>
      <c r="L130" s="778">
        <v>526457.63</v>
      </c>
      <c r="M130" s="775" t="s">
        <v>677</v>
      </c>
      <c r="N130" s="775" t="s">
        <v>678</v>
      </c>
    </row>
    <row r="131" spans="1:14" s="884" customFormat="1">
      <c r="A131" s="775" t="s">
        <v>681</v>
      </c>
      <c r="B131" s="776" t="s">
        <v>682</v>
      </c>
      <c r="C131" s="776" t="s">
        <v>658</v>
      </c>
      <c r="D131" s="777" t="s">
        <v>683</v>
      </c>
      <c r="E131" s="777" t="s">
        <v>684</v>
      </c>
      <c r="F131" s="776">
        <v>29</v>
      </c>
      <c r="G131" s="776">
        <v>6</v>
      </c>
      <c r="H131" s="778">
        <v>1733899</v>
      </c>
      <c r="I131" s="775" t="s">
        <v>685</v>
      </c>
      <c r="J131" s="779">
        <v>0.83387999999999995</v>
      </c>
      <c r="K131" s="778">
        <v>1445863.6981199998</v>
      </c>
      <c r="L131" s="778">
        <v>1733899</v>
      </c>
      <c r="M131" s="775" t="s">
        <v>685</v>
      </c>
      <c r="N131" s="775" t="s">
        <v>662</v>
      </c>
    </row>
    <row r="132" spans="1:14" s="884" customFormat="1">
      <c r="A132" s="775" t="s">
        <v>691</v>
      </c>
      <c r="B132" s="776">
        <v>852</v>
      </c>
      <c r="C132" s="776" t="s">
        <v>664</v>
      </c>
      <c r="D132" s="777" t="s">
        <v>1075</v>
      </c>
      <c r="E132" s="777" t="s">
        <v>1076</v>
      </c>
      <c r="F132" s="776">
        <v>2</v>
      </c>
      <c r="G132" s="776">
        <v>6</v>
      </c>
      <c r="H132" s="778">
        <v>3865.2</v>
      </c>
      <c r="I132" s="775" t="s">
        <v>676</v>
      </c>
      <c r="J132" s="779">
        <v>90.272739999999999</v>
      </c>
      <c r="K132" s="778">
        <v>348922.194648</v>
      </c>
      <c r="L132" s="778">
        <v>3865.2</v>
      </c>
      <c r="M132" s="775" t="s">
        <v>676</v>
      </c>
      <c r="N132" s="775" t="s">
        <v>662</v>
      </c>
    </row>
    <row r="133" spans="1:14" s="884" customFormat="1">
      <c r="A133" s="775" t="s">
        <v>691</v>
      </c>
      <c r="B133" s="776">
        <v>852</v>
      </c>
      <c r="C133" s="776" t="s">
        <v>664</v>
      </c>
      <c r="D133" s="777" t="s">
        <v>1075</v>
      </c>
      <c r="E133" s="777" t="s">
        <v>1076</v>
      </c>
      <c r="F133" s="776">
        <v>21</v>
      </c>
      <c r="G133" s="776">
        <v>6</v>
      </c>
      <c r="H133" s="778">
        <v>1217021</v>
      </c>
      <c r="I133" s="775" t="s">
        <v>116</v>
      </c>
      <c r="J133" s="779">
        <v>1</v>
      </c>
      <c r="K133" s="778">
        <v>1217021</v>
      </c>
      <c r="L133" s="778">
        <v>13720.64</v>
      </c>
      <c r="M133" s="775" t="s">
        <v>676</v>
      </c>
      <c r="N133" s="775" t="s">
        <v>662</v>
      </c>
    </row>
    <row r="134" spans="1:14" s="884" customFormat="1">
      <c r="A134" s="775" t="s">
        <v>673</v>
      </c>
      <c r="B134" s="776">
        <v>63310</v>
      </c>
      <c r="C134" s="776" t="s">
        <v>664</v>
      </c>
      <c r="D134" s="777" t="s">
        <v>688</v>
      </c>
      <c r="E134" s="777" t="s">
        <v>689</v>
      </c>
      <c r="F134" s="776">
        <v>30</v>
      </c>
      <c r="G134" s="776">
        <v>6</v>
      </c>
      <c r="H134" s="778">
        <v>11244.67</v>
      </c>
      <c r="I134" s="775" t="s">
        <v>676</v>
      </c>
      <c r="J134" s="779">
        <v>92.652000000000001</v>
      </c>
      <c r="K134" s="778">
        <v>1041841.16484</v>
      </c>
      <c r="L134" s="778">
        <v>7883.14</v>
      </c>
      <c r="M134" s="775" t="s">
        <v>677</v>
      </c>
      <c r="N134" s="775" t="s">
        <v>678</v>
      </c>
    </row>
    <row r="135" spans="1:14" s="884" customFormat="1">
      <c r="A135" s="775" t="s">
        <v>673</v>
      </c>
      <c r="B135" s="776">
        <v>63310</v>
      </c>
      <c r="C135" s="776" t="s">
        <v>664</v>
      </c>
      <c r="D135" s="777" t="s">
        <v>688</v>
      </c>
      <c r="E135" s="777" t="s">
        <v>689</v>
      </c>
      <c r="F135" s="776">
        <v>30</v>
      </c>
      <c r="G135" s="776">
        <v>6</v>
      </c>
      <c r="H135" s="778">
        <v>30362.959999999999</v>
      </c>
      <c r="I135" s="775" t="s">
        <v>676</v>
      </c>
      <c r="J135" s="779">
        <v>92.652000000000001</v>
      </c>
      <c r="K135" s="778">
        <v>2813188.9699200001</v>
      </c>
      <c r="L135" s="778">
        <v>21286.13</v>
      </c>
      <c r="M135" s="775" t="s">
        <v>677</v>
      </c>
      <c r="N135" s="775" t="s">
        <v>678</v>
      </c>
    </row>
    <row r="136" spans="1:14" s="884" customFormat="1">
      <c r="A136" s="775" t="s">
        <v>681</v>
      </c>
      <c r="B136" s="776" t="s">
        <v>702</v>
      </c>
      <c r="C136" s="776" t="s">
        <v>658</v>
      </c>
      <c r="D136" s="777" t="s">
        <v>703</v>
      </c>
      <c r="E136" s="777" t="s">
        <v>704</v>
      </c>
      <c r="F136" s="776">
        <v>2</v>
      </c>
      <c r="G136" s="776">
        <v>7</v>
      </c>
      <c r="H136" s="778">
        <v>1632.31</v>
      </c>
      <c r="I136" s="775" t="s">
        <v>667</v>
      </c>
      <c r="J136" s="779">
        <v>110.265</v>
      </c>
      <c r="K136" s="778">
        <v>179986.66214999999</v>
      </c>
      <c r="L136" s="778">
        <v>217227</v>
      </c>
      <c r="M136" s="775" t="s">
        <v>685</v>
      </c>
      <c r="N136" s="775" t="s">
        <v>662</v>
      </c>
    </row>
    <row r="137" spans="1:14" s="884" customFormat="1">
      <c r="A137" s="775" t="s">
        <v>681</v>
      </c>
      <c r="B137" s="776" t="s">
        <v>682</v>
      </c>
      <c r="C137" s="776" t="s">
        <v>658</v>
      </c>
      <c r="D137" s="777" t="s">
        <v>683</v>
      </c>
      <c r="E137" s="777" t="s">
        <v>684</v>
      </c>
      <c r="F137" s="776">
        <v>2</v>
      </c>
      <c r="G137" s="776">
        <v>7</v>
      </c>
      <c r="H137" s="778">
        <v>29601.69</v>
      </c>
      <c r="I137" s="775" t="s">
        <v>676</v>
      </c>
      <c r="J137" s="779">
        <v>92.683000000000007</v>
      </c>
      <c r="K137" s="778">
        <v>2743573.4342700001</v>
      </c>
      <c r="L137" s="778">
        <v>3302956</v>
      </c>
      <c r="M137" s="775" t="s">
        <v>685</v>
      </c>
      <c r="N137" s="775" t="s">
        <v>662</v>
      </c>
    </row>
    <row r="138" spans="1:14" s="884" customFormat="1">
      <c r="A138" s="775" t="s">
        <v>673</v>
      </c>
      <c r="B138" s="776">
        <v>61820</v>
      </c>
      <c r="C138" s="776" t="s">
        <v>664</v>
      </c>
      <c r="D138" s="777" t="s">
        <v>694</v>
      </c>
      <c r="E138" s="777" t="s">
        <v>675</v>
      </c>
      <c r="F138" s="776">
        <v>8</v>
      </c>
      <c r="G138" s="776">
        <v>7</v>
      </c>
      <c r="H138" s="778">
        <v>101424.82</v>
      </c>
      <c r="I138" s="775" t="s">
        <v>676</v>
      </c>
      <c r="J138" s="779">
        <v>93.099000000000004</v>
      </c>
      <c r="K138" s="778">
        <v>9442549.3171800002</v>
      </c>
      <c r="L138" s="778">
        <v>71241.3</v>
      </c>
      <c r="M138" s="775" t="s">
        <v>677</v>
      </c>
      <c r="N138" s="775" t="s">
        <v>678</v>
      </c>
    </row>
    <row r="139" spans="1:14" s="884" customFormat="1">
      <c r="A139" s="775" t="s">
        <v>673</v>
      </c>
      <c r="B139" s="776">
        <v>61820</v>
      </c>
      <c r="C139" s="776" t="s">
        <v>664</v>
      </c>
      <c r="D139" s="777" t="s">
        <v>694</v>
      </c>
      <c r="E139" s="777" t="s">
        <v>675</v>
      </c>
      <c r="F139" s="776">
        <v>8</v>
      </c>
      <c r="G139" s="776">
        <v>7</v>
      </c>
      <c r="H139" s="778">
        <v>30395.51</v>
      </c>
      <c r="I139" s="775" t="s">
        <v>676</v>
      </c>
      <c r="J139" s="779">
        <v>93.099000000000004</v>
      </c>
      <c r="K139" s="778">
        <v>2829791.58549</v>
      </c>
      <c r="L139" s="778">
        <v>21349.96</v>
      </c>
      <c r="M139" s="775" t="s">
        <v>677</v>
      </c>
      <c r="N139" s="775" t="s">
        <v>678</v>
      </c>
    </row>
    <row r="140" spans="1:14" s="884" customFormat="1">
      <c r="A140" s="775" t="s">
        <v>673</v>
      </c>
      <c r="B140" s="776">
        <v>61820</v>
      </c>
      <c r="C140" s="776" t="s">
        <v>664</v>
      </c>
      <c r="D140" s="777" t="s">
        <v>694</v>
      </c>
      <c r="E140" s="777" t="s">
        <v>675</v>
      </c>
      <c r="F140" s="776">
        <v>8</v>
      </c>
      <c r="G140" s="776">
        <v>7</v>
      </c>
      <c r="H140" s="778">
        <v>11373.09</v>
      </c>
      <c r="I140" s="775" t="s">
        <v>676</v>
      </c>
      <c r="J140" s="779">
        <v>93.099000000000004</v>
      </c>
      <c r="K140" s="778">
        <v>1058823.3059100001</v>
      </c>
      <c r="L140" s="778">
        <v>7988.52</v>
      </c>
      <c r="M140" s="775" t="s">
        <v>677</v>
      </c>
      <c r="N140" s="775" t="s">
        <v>678</v>
      </c>
    </row>
    <row r="141" spans="1:14" s="884" customFormat="1">
      <c r="A141" s="775" t="s">
        <v>673</v>
      </c>
      <c r="B141" s="776">
        <v>58010</v>
      </c>
      <c r="C141" s="776" t="s">
        <v>664</v>
      </c>
      <c r="D141" s="777" t="s">
        <v>686</v>
      </c>
      <c r="E141" s="777" t="s">
        <v>687</v>
      </c>
      <c r="F141" s="776">
        <v>8</v>
      </c>
      <c r="G141" s="776">
        <v>7</v>
      </c>
      <c r="H141" s="778">
        <v>85962.91</v>
      </c>
      <c r="I141" s="775" t="s">
        <v>676</v>
      </c>
      <c r="J141" s="779">
        <v>93.099000000000004</v>
      </c>
      <c r="K141" s="778">
        <v>8003060.9580900008</v>
      </c>
      <c r="L141" s="778">
        <v>60380.78</v>
      </c>
      <c r="M141" s="775" t="s">
        <v>677</v>
      </c>
      <c r="N141" s="775" t="s">
        <v>678</v>
      </c>
    </row>
    <row r="142" spans="1:14" s="884" customFormat="1">
      <c r="A142" s="775" t="s">
        <v>663</v>
      </c>
      <c r="B142" s="776">
        <v>3403</v>
      </c>
      <c r="C142" s="776" t="s">
        <v>664</v>
      </c>
      <c r="D142" s="777" t="s">
        <v>665</v>
      </c>
      <c r="E142" s="777" t="s">
        <v>666</v>
      </c>
      <c r="F142" s="776">
        <v>7</v>
      </c>
      <c r="G142" s="776">
        <v>7</v>
      </c>
      <c r="H142" s="778">
        <v>358090</v>
      </c>
      <c r="I142" s="775" t="s">
        <v>667</v>
      </c>
      <c r="J142" s="779">
        <v>110.265</v>
      </c>
      <c r="K142" s="778">
        <v>39484793.850000001</v>
      </c>
      <c r="L142" s="778">
        <v>358090</v>
      </c>
      <c r="M142" s="775" t="s">
        <v>667</v>
      </c>
      <c r="N142" s="775" t="s">
        <v>668</v>
      </c>
    </row>
    <row r="143" spans="1:14" s="884" customFormat="1">
      <c r="A143" s="775" t="s">
        <v>663</v>
      </c>
      <c r="B143" s="776">
        <v>3403</v>
      </c>
      <c r="C143" s="776" t="s">
        <v>664</v>
      </c>
      <c r="D143" s="777" t="s">
        <v>665</v>
      </c>
      <c r="E143" s="777" t="s">
        <v>666</v>
      </c>
      <c r="F143" s="776">
        <v>8</v>
      </c>
      <c r="G143" s="776">
        <v>7</v>
      </c>
      <c r="H143" s="778">
        <v>160756.13</v>
      </c>
      <c r="I143" s="775" t="s">
        <v>667</v>
      </c>
      <c r="J143" s="779">
        <v>110.265</v>
      </c>
      <c r="K143" s="778">
        <v>17725774.674449999</v>
      </c>
      <c r="L143" s="778">
        <v>160756.13</v>
      </c>
      <c r="M143" s="775" t="s">
        <v>667</v>
      </c>
      <c r="N143" s="775" t="s">
        <v>668</v>
      </c>
    </row>
    <row r="144" spans="1:14" s="884" customFormat="1">
      <c r="A144" s="775" t="s">
        <v>673</v>
      </c>
      <c r="B144" s="776">
        <v>67920</v>
      </c>
      <c r="C144" s="776" t="s">
        <v>664</v>
      </c>
      <c r="D144" s="777" t="s">
        <v>707</v>
      </c>
      <c r="E144" s="777" t="s">
        <v>670</v>
      </c>
      <c r="F144" s="776">
        <v>13</v>
      </c>
      <c r="G144" s="776">
        <v>7</v>
      </c>
      <c r="H144" s="778">
        <v>37291.33</v>
      </c>
      <c r="I144" s="775" t="s">
        <v>676</v>
      </c>
      <c r="J144" s="779">
        <v>92.933999999999997</v>
      </c>
      <c r="K144" s="778">
        <v>3465632.4622200001</v>
      </c>
      <c r="L144" s="778">
        <v>26171.74</v>
      </c>
      <c r="M144" s="775" t="s">
        <v>677</v>
      </c>
      <c r="N144" s="775" t="s">
        <v>678</v>
      </c>
    </row>
    <row r="145" spans="1:16" s="884" customFormat="1">
      <c r="A145" s="775" t="s">
        <v>673</v>
      </c>
      <c r="B145" s="776">
        <v>67920</v>
      </c>
      <c r="C145" s="776" t="s">
        <v>664</v>
      </c>
      <c r="D145" s="777" t="s">
        <v>707</v>
      </c>
      <c r="E145" s="777" t="s">
        <v>670</v>
      </c>
      <c r="F145" s="776">
        <v>15</v>
      </c>
      <c r="G145" s="776">
        <v>7</v>
      </c>
      <c r="H145" s="778">
        <v>103567.7</v>
      </c>
      <c r="I145" s="775" t="s">
        <v>676</v>
      </c>
      <c r="J145" s="779">
        <v>93.248999999999995</v>
      </c>
      <c r="K145" s="778">
        <v>9657584.4572999999</v>
      </c>
      <c r="L145" s="778">
        <v>72700.52</v>
      </c>
      <c r="M145" s="775" t="s">
        <v>677</v>
      </c>
      <c r="N145" s="775" t="s">
        <v>678</v>
      </c>
    </row>
    <row r="146" spans="1:16" s="884" customFormat="1">
      <c r="A146" s="775" t="s">
        <v>673</v>
      </c>
      <c r="B146" s="776">
        <v>62510</v>
      </c>
      <c r="C146" s="776" t="s">
        <v>664</v>
      </c>
      <c r="D146" s="777" t="s">
        <v>701</v>
      </c>
      <c r="E146" s="777" t="s">
        <v>675</v>
      </c>
      <c r="F146" s="776">
        <v>15</v>
      </c>
      <c r="G146" s="776">
        <v>7</v>
      </c>
      <c r="H146" s="778">
        <v>8369.59</v>
      </c>
      <c r="I146" s="775" t="s">
        <v>676</v>
      </c>
      <c r="J146" s="779">
        <v>93.248999999999995</v>
      </c>
      <c r="K146" s="778">
        <v>780455.89790999994</v>
      </c>
      <c r="L146" s="778">
        <v>5875.13</v>
      </c>
      <c r="M146" s="775" t="s">
        <v>677</v>
      </c>
      <c r="N146" s="775" t="s">
        <v>678</v>
      </c>
    </row>
    <row r="147" spans="1:16" s="884" customFormat="1">
      <c r="A147" s="775" t="s">
        <v>705</v>
      </c>
      <c r="B147" s="780">
        <v>13297</v>
      </c>
      <c r="C147" s="780" t="s">
        <v>658</v>
      </c>
      <c r="D147" s="781" t="s">
        <v>706</v>
      </c>
      <c r="E147" s="781" t="s">
        <v>684</v>
      </c>
      <c r="F147" s="780">
        <v>19</v>
      </c>
      <c r="G147" s="780">
        <v>7</v>
      </c>
      <c r="H147" s="782">
        <v>248492</v>
      </c>
      <c r="I147" s="783" t="s">
        <v>667</v>
      </c>
      <c r="J147" s="784">
        <v>110.265</v>
      </c>
      <c r="K147" s="778">
        <v>27399970.379999999</v>
      </c>
      <c r="L147" s="782">
        <v>248492</v>
      </c>
      <c r="M147" s="783" t="s">
        <v>667</v>
      </c>
      <c r="N147" s="783" t="s">
        <v>668</v>
      </c>
    </row>
    <row r="148" spans="1:16" s="884" customFormat="1">
      <c r="A148" s="775" t="s">
        <v>673</v>
      </c>
      <c r="B148" s="780">
        <v>61820</v>
      </c>
      <c r="C148" s="780" t="s">
        <v>664</v>
      </c>
      <c r="D148" s="781" t="s">
        <v>694</v>
      </c>
      <c r="E148" s="781" t="s">
        <v>675</v>
      </c>
      <c r="F148" s="780">
        <v>19</v>
      </c>
      <c r="G148" s="780">
        <v>7</v>
      </c>
      <c r="H148" s="782">
        <v>17440</v>
      </c>
      <c r="I148" s="783" t="s">
        <v>676</v>
      </c>
      <c r="J148" s="784">
        <v>93.328000000000003</v>
      </c>
      <c r="K148" s="778">
        <v>1627640.32</v>
      </c>
      <c r="L148" s="782">
        <v>12979.79</v>
      </c>
      <c r="M148" s="783" t="s">
        <v>677</v>
      </c>
      <c r="N148" s="783" t="s">
        <v>678</v>
      </c>
    </row>
    <row r="149" spans="1:16" s="884" customFormat="1">
      <c r="A149" s="775" t="s">
        <v>673</v>
      </c>
      <c r="B149" s="780">
        <v>68240</v>
      </c>
      <c r="C149" s="780" t="s">
        <v>664</v>
      </c>
      <c r="D149" s="781" t="s">
        <v>674</v>
      </c>
      <c r="E149" s="781" t="s">
        <v>675</v>
      </c>
      <c r="F149" s="780">
        <v>27</v>
      </c>
      <c r="G149" s="780">
        <v>7</v>
      </c>
      <c r="H149" s="782">
        <v>1192288.6299999999</v>
      </c>
      <c r="I149" s="783" t="s">
        <v>676</v>
      </c>
      <c r="J149" s="784">
        <v>93.447000000000003</v>
      </c>
      <c r="K149" s="778">
        <v>111415795.60760999</v>
      </c>
      <c r="L149" s="782">
        <v>838925.02</v>
      </c>
      <c r="M149" s="783" t="s">
        <v>677</v>
      </c>
      <c r="N149" s="783" t="s">
        <v>678</v>
      </c>
    </row>
    <row r="150" spans="1:16" s="884" customFormat="1"/>
    <row r="151" spans="1:16">
      <c r="A151" s="570"/>
      <c r="B151" s="570"/>
      <c r="C151" s="570"/>
      <c r="D151" s="570"/>
      <c r="E151" s="570"/>
      <c r="F151" s="570"/>
      <c r="G151" s="570"/>
      <c r="H151" s="570"/>
      <c r="I151" s="570"/>
      <c r="J151" s="570"/>
      <c r="K151" s="573">
        <f>SUBTOTAL(9,K4:K150)</f>
        <v>3681462347.8560686</v>
      </c>
      <c r="L151" s="572"/>
      <c r="M151" s="572"/>
      <c r="N151" s="572"/>
    </row>
    <row r="152" spans="1:16">
      <c r="A152" s="570"/>
      <c r="B152" s="570"/>
      <c r="C152" s="570"/>
      <c r="D152" s="570"/>
      <c r="E152" s="570"/>
      <c r="F152" s="570"/>
      <c r="G152" s="570"/>
      <c r="H152" s="570"/>
      <c r="I152" s="570"/>
      <c r="J152" s="570"/>
      <c r="K152" s="572"/>
      <c r="L152" s="572"/>
      <c r="M152" s="572"/>
      <c r="N152" s="572"/>
    </row>
    <row r="153" spans="1:16">
      <c r="A153" s="570"/>
      <c r="B153" s="570"/>
      <c r="C153" s="570"/>
      <c r="D153" s="570"/>
      <c r="E153" s="570"/>
      <c r="F153" s="570"/>
      <c r="G153" s="570"/>
      <c r="H153" s="570"/>
      <c r="I153" s="570"/>
      <c r="J153" s="570"/>
      <c r="K153" s="572"/>
      <c r="L153" s="572"/>
      <c r="M153" s="572"/>
      <c r="N153" s="572"/>
    </row>
    <row r="155" spans="1:16">
      <c r="J155" s="295"/>
      <c r="K155" s="575">
        <v>748775184.5</v>
      </c>
      <c r="L155" s="574" t="s">
        <v>1071</v>
      </c>
      <c r="M155" s="295"/>
      <c r="N155" s="295"/>
      <c r="O155" s="295"/>
      <c r="P155" s="295"/>
    </row>
    <row r="156" spans="1:16">
      <c r="J156" s="295"/>
      <c r="K156" s="575"/>
      <c r="L156" s="295"/>
      <c r="M156" s="295"/>
      <c r="N156" s="295"/>
      <c r="O156" s="295"/>
      <c r="P156" s="295"/>
    </row>
    <row r="157" spans="1:16" hidden="1">
      <c r="J157" s="295"/>
      <c r="M157" s="577" t="s">
        <v>716</v>
      </c>
      <c r="N157" s="578" t="s">
        <v>717</v>
      </c>
      <c r="O157" s="579" t="s">
        <v>718</v>
      </c>
      <c r="P157" s="295"/>
    </row>
    <row r="158" spans="1:16" hidden="1">
      <c r="J158" s="268"/>
      <c r="M158" s="580"/>
      <c r="N158" s="580"/>
      <c r="O158" s="582">
        <f>+L160-(M158-N158)</f>
        <v>182076259.88328999</v>
      </c>
      <c r="P158" s="295"/>
    </row>
    <row r="159" spans="1:16">
      <c r="J159" s="295"/>
      <c r="K159" s="269"/>
      <c r="L159" s="576" t="s">
        <v>715</v>
      </c>
      <c r="M159" s="295"/>
      <c r="N159" s="295"/>
      <c r="O159" s="295"/>
      <c r="P159" s="295"/>
    </row>
    <row r="160" spans="1:16">
      <c r="J160" s="295"/>
      <c r="K160" s="580" t="s">
        <v>662</v>
      </c>
      <c r="L160" s="581">
        <f>+SUMIF($N$3:$N$149,K160,$K$3:$K$149)</f>
        <v>182076259.88328999</v>
      </c>
      <c r="M160" s="268"/>
      <c r="N160" s="268"/>
      <c r="O160" s="295"/>
      <c r="P160" s="295"/>
    </row>
    <row r="161" spans="10:16">
      <c r="J161" s="295"/>
      <c r="K161" s="576" t="s">
        <v>678</v>
      </c>
      <c r="L161" s="581">
        <f>+SUMIF($N$3:$N$149,K161,$K$3:$K$149)</f>
        <v>2607466813.5106792</v>
      </c>
      <c r="M161" s="268"/>
      <c r="N161" s="268"/>
      <c r="O161" s="268"/>
      <c r="P161" s="295"/>
    </row>
    <row r="162" spans="10:16">
      <c r="J162" s="295"/>
      <c r="K162" s="576" t="s">
        <v>668</v>
      </c>
      <c r="L162" s="580">
        <f>+SUMIF($N$3:$N$149,K162,$K$3:$K$149)</f>
        <v>792144434.46210015</v>
      </c>
      <c r="M162" s="268"/>
      <c r="N162" s="268"/>
      <c r="O162" s="268"/>
      <c r="P162" s="295"/>
    </row>
    <row r="163" spans="10:16">
      <c r="J163" s="295"/>
      <c r="K163" s="576" t="s">
        <v>719</v>
      </c>
      <c r="L163" s="580">
        <f>+SUMIF($N$3:$N$149,K163,$K$3:$K$149)</f>
        <v>0</v>
      </c>
      <c r="M163" s="295"/>
      <c r="N163" s="268"/>
      <c r="O163" s="268"/>
      <c r="P163" s="295"/>
    </row>
    <row r="164" spans="10:16">
      <c r="J164" s="295"/>
      <c r="K164" s="576" t="s">
        <v>690</v>
      </c>
      <c r="L164" s="580">
        <f>+SUMIF($N$3:$N$149,K164,$K$3:$K$149)</f>
        <v>99774840.000000015</v>
      </c>
      <c r="M164" s="295"/>
      <c r="N164" s="268"/>
      <c r="O164" s="575"/>
      <c r="P164" s="295"/>
    </row>
    <row r="165" spans="10:16">
      <c r="J165" s="295"/>
      <c r="K165" s="576" t="s">
        <v>490</v>
      </c>
      <c r="L165" s="583">
        <f>SUM(L160:L164)</f>
        <v>3681462347.8560691</v>
      </c>
      <c r="M165" s="295"/>
      <c r="N165" s="295"/>
      <c r="O165" s="268"/>
      <c r="P165" s="295"/>
    </row>
    <row r="166" spans="10:16">
      <c r="J166" s="295"/>
      <c r="K166" s="295"/>
      <c r="L166" s="295"/>
      <c r="M166" s="295"/>
      <c r="N166" s="268"/>
      <c r="O166" s="295"/>
      <c r="P166" s="295"/>
    </row>
    <row r="167" spans="10:16">
      <c r="J167" s="295"/>
      <c r="K167" s="295"/>
      <c r="L167" s="295"/>
      <c r="M167" s="295"/>
      <c r="N167" s="295"/>
      <c r="O167" s="268"/>
      <c r="P167" s="295"/>
    </row>
    <row r="168" spans="10:16" hidden="1">
      <c r="N168" s="267"/>
    </row>
    <row r="169" spans="10:16">
      <c r="N169" s="267"/>
      <c r="O169" s="267"/>
    </row>
    <row r="170" spans="10:16">
      <c r="K170" s="267"/>
      <c r="L170" s="908">
        <f>+K151-L165</f>
        <v>0</v>
      </c>
    </row>
    <row r="172" spans="10:16">
      <c r="K172" s="571"/>
    </row>
    <row r="178" spans="11:11">
      <c r="K178" s="571"/>
    </row>
    <row r="181" spans="11:11">
      <c r="K181" s="571"/>
    </row>
  </sheetData>
  <autoFilter ref="A2:N117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EG118"/>
  <sheetViews>
    <sheetView zoomScale="110" zoomScaleNormal="110" workbookViewId="0">
      <selection activeCell="E30" sqref="E30"/>
    </sheetView>
  </sheetViews>
  <sheetFormatPr defaultRowHeight="14.5"/>
  <cols>
    <col min="1" max="1" width="30.26953125" customWidth="1"/>
    <col min="2" max="2" width="44.453125" customWidth="1"/>
    <col min="3" max="3" width="19" customWidth="1"/>
    <col min="4" max="4" width="20.81640625" customWidth="1"/>
    <col min="5" max="5" width="20.1796875" bestFit="1" customWidth="1"/>
    <col min="6" max="6" width="13.453125" customWidth="1"/>
    <col min="7" max="7" width="13.7265625" customWidth="1"/>
    <col min="8" max="8" width="13.26953125" customWidth="1"/>
    <col min="9" max="9" width="15.81640625" customWidth="1"/>
    <col min="10" max="10" width="17.81640625" customWidth="1"/>
    <col min="12" max="12" width="15.26953125" customWidth="1"/>
    <col min="118" max="122" width="0" hidden="1" customWidth="1"/>
    <col min="130" max="130" width="8" customWidth="1"/>
    <col min="131" max="134" width="0" hidden="1" customWidth="1"/>
  </cols>
  <sheetData>
    <row r="2" spans="1:137">
      <c r="A2" s="428"/>
      <c r="B2" s="428"/>
      <c r="C2" s="428"/>
      <c r="D2" s="428"/>
      <c r="E2" s="428"/>
    </row>
    <row r="3" spans="1:137">
      <c r="A3" s="429" t="s">
        <v>720</v>
      </c>
      <c r="B3" s="429" t="s">
        <v>721</v>
      </c>
      <c r="C3" s="429" t="s">
        <v>722</v>
      </c>
      <c r="D3" s="429" t="s">
        <v>723</v>
      </c>
      <c r="E3" s="429" t="s">
        <v>724</v>
      </c>
    </row>
    <row r="4" spans="1:137">
      <c r="A4" s="265" t="s">
        <v>725</v>
      </c>
      <c r="B4" t="s">
        <v>726</v>
      </c>
      <c r="C4" s="137">
        <v>1668005594</v>
      </c>
      <c r="D4" s="137">
        <v>2701140282</v>
      </c>
      <c r="E4" s="137">
        <v>2697362336</v>
      </c>
      <c r="EF4" t="e">
        <f>+DZ4/DS4*100</f>
        <v>#DIV/0!</v>
      </c>
      <c r="EG4" t="e">
        <f>+(DZ4/DM4-1)*100</f>
        <v>#DIV/0!</v>
      </c>
    </row>
    <row r="5" spans="1:137">
      <c r="A5" s="265"/>
      <c r="B5" t="s">
        <v>727</v>
      </c>
      <c r="C5" s="137">
        <v>2854267735</v>
      </c>
      <c r="D5" s="137">
        <v>646588507</v>
      </c>
      <c r="E5" s="137">
        <v>619337939</v>
      </c>
      <c r="EF5" t="e">
        <f t="shared" ref="EF5:EF23" si="0">+DZ5/DS5*100</f>
        <v>#DIV/0!</v>
      </c>
      <c r="EG5" t="e">
        <f t="shared" ref="EG5:EG23" si="1">+(DZ5/DM5-1)*100</f>
        <v>#DIV/0!</v>
      </c>
    </row>
    <row r="6" spans="1:137">
      <c r="A6" s="265"/>
      <c r="B6" t="s">
        <v>728</v>
      </c>
      <c r="C6" s="137">
        <v>450702738</v>
      </c>
      <c r="D6" s="137">
        <v>115585829</v>
      </c>
      <c r="E6" s="137">
        <v>113673166</v>
      </c>
      <c r="DZ6" s="884"/>
      <c r="EF6" t="e">
        <f t="shared" si="0"/>
        <v>#DIV/0!</v>
      </c>
      <c r="EG6" t="e">
        <f t="shared" si="1"/>
        <v>#DIV/0!</v>
      </c>
    </row>
    <row r="7" spans="1:137">
      <c r="A7" s="265"/>
      <c r="B7" t="s">
        <v>729</v>
      </c>
      <c r="C7" s="137"/>
      <c r="D7" s="137">
        <v>18653965</v>
      </c>
      <c r="E7" s="137">
        <v>18593965</v>
      </c>
      <c r="DZ7" s="884"/>
      <c r="EF7" t="e">
        <f t="shared" si="0"/>
        <v>#DIV/0!</v>
      </c>
      <c r="EG7" t="e">
        <f t="shared" si="1"/>
        <v>#DIV/0!</v>
      </c>
    </row>
    <row r="8" spans="1:137">
      <c r="A8" s="265"/>
      <c r="B8" t="s">
        <v>730</v>
      </c>
      <c r="C8" s="137">
        <v>52397472</v>
      </c>
      <c r="D8" s="137">
        <v>2876030</v>
      </c>
      <c r="E8" s="137">
        <v>2574530</v>
      </c>
      <c r="DZ8" s="884"/>
      <c r="EF8" t="e">
        <f t="shared" si="0"/>
        <v>#DIV/0!</v>
      </c>
      <c r="EG8" t="e">
        <f t="shared" si="1"/>
        <v>#DIV/0!</v>
      </c>
    </row>
    <row r="9" spans="1:137">
      <c r="A9" s="265"/>
      <c r="B9" t="s">
        <v>731</v>
      </c>
      <c r="C9" s="137">
        <v>109855998</v>
      </c>
      <c r="D9" s="137">
        <v>198892366</v>
      </c>
      <c r="E9" s="137">
        <v>198693715</v>
      </c>
      <c r="I9" s="267"/>
      <c r="DZ9" s="884"/>
      <c r="EF9" t="e">
        <f t="shared" si="0"/>
        <v>#DIV/0!</v>
      </c>
      <c r="EG9" t="e">
        <f t="shared" si="1"/>
        <v>#DIV/0!</v>
      </c>
    </row>
    <row r="10" spans="1:137">
      <c r="A10" s="265"/>
      <c r="B10" t="s">
        <v>732</v>
      </c>
      <c r="C10" s="137">
        <v>181630988</v>
      </c>
      <c r="D10" s="137">
        <v>55352544</v>
      </c>
      <c r="E10" s="137">
        <v>50760279</v>
      </c>
      <c r="DZ10" s="884"/>
      <c r="EF10" t="e">
        <f t="shared" si="0"/>
        <v>#DIV/0!</v>
      </c>
      <c r="EG10" t="e">
        <f t="shared" si="1"/>
        <v>#DIV/0!</v>
      </c>
    </row>
    <row r="11" spans="1:137">
      <c r="A11" s="265"/>
      <c r="B11" t="s">
        <v>733</v>
      </c>
      <c r="C11" s="137">
        <v>17038333</v>
      </c>
      <c r="D11" s="137">
        <v>1944389</v>
      </c>
      <c r="E11" s="137">
        <v>1354875</v>
      </c>
      <c r="DZ11" s="884"/>
      <c r="EF11" t="e">
        <f t="shared" si="0"/>
        <v>#DIV/0!</v>
      </c>
      <c r="EG11" t="e">
        <f t="shared" si="1"/>
        <v>#DIV/0!</v>
      </c>
    </row>
    <row r="12" spans="1:137">
      <c r="A12" s="265"/>
      <c r="B12" t="s">
        <v>734</v>
      </c>
      <c r="C12" s="137">
        <v>571984737</v>
      </c>
      <c r="D12" s="137">
        <v>149629371</v>
      </c>
      <c r="E12" s="137">
        <v>146234613</v>
      </c>
      <c r="DZ12" s="884"/>
      <c r="EF12" t="e">
        <f t="shared" si="0"/>
        <v>#DIV/0!</v>
      </c>
      <c r="EG12" t="e">
        <f t="shared" si="1"/>
        <v>#DIV/0!</v>
      </c>
    </row>
    <row r="13" spans="1:137">
      <c r="A13" s="265"/>
      <c r="B13" t="s">
        <v>735</v>
      </c>
      <c r="C13" s="137">
        <v>5462596801</v>
      </c>
      <c r="D13" s="137">
        <v>2438837392</v>
      </c>
      <c r="E13" s="137">
        <v>2438837392</v>
      </c>
      <c r="DZ13" s="884"/>
      <c r="EF13" t="e">
        <f t="shared" si="0"/>
        <v>#DIV/0!</v>
      </c>
      <c r="EG13" t="e">
        <f t="shared" si="1"/>
        <v>#DIV/0!</v>
      </c>
    </row>
    <row r="14" spans="1:137">
      <c r="A14" s="265"/>
      <c r="B14" t="s">
        <v>736</v>
      </c>
      <c r="C14" s="137">
        <v>4782128725</v>
      </c>
      <c r="D14" s="137">
        <v>442518668</v>
      </c>
      <c r="E14" s="137">
        <v>442239668</v>
      </c>
      <c r="F14" s="137"/>
      <c r="G14" s="137"/>
      <c r="H14" s="137"/>
      <c r="I14" s="584"/>
      <c r="EF14" t="e">
        <f t="shared" si="0"/>
        <v>#DIV/0!</v>
      </c>
      <c r="EG14" t="e">
        <f t="shared" si="1"/>
        <v>#DIV/0!</v>
      </c>
    </row>
    <row r="15" spans="1:137">
      <c r="A15" s="431" t="s">
        <v>737</v>
      </c>
      <c r="B15" s="431"/>
      <c r="C15" s="433">
        <f>+SUM(C4:C14)</f>
        <v>16150609121</v>
      </c>
      <c r="D15" s="433">
        <f t="shared" ref="D15:E15" si="2">+SUM(D4:D14)</f>
        <v>6772019343</v>
      </c>
      <c r="E15" s="433">
        <f t="shared" si="2"/>
        <v>6729662478</v>
      </c>
      <c r="H15" s="267"/>
      <c r="DZ15" s="884"/>
      <c r="EF15" t="e">
        <f t="shared" si="0"/>
        <v>#DIV/0!</v>
      </c>
      <c r="EG15" t="e">
        <f t="shared" si="1"/>
        <v>#DIV/0!</v>
      </c>
    </row>
    <row r="16" spans="1:137">
      <c r="A16" s="265" t="s">
        <v>738</v>
      </c>
      <c r="B16" t="s">
        <v>739</v>
      </c>
      <c r="C16" s="267">
        <v>410666230</v>
      </c>
      <c r="D16" s="137">
        <v>190959150</v>
      </c>
      <c r="E16" s="137">
        <v>190673485</v>
      </c>
      <c r="F16" s="267"/>
      <c r="G16" s="267"/>
      <c r="EF16" t="e">
        <f t="shared" si="0"/>
        <v>#DIV/0!</v>
      </c>
      <c r="EG16" t="e">
        <f t="shared" si="1"/>
        <v>#DIV/0!</v>
      </c>
    </row>
    <row r="17" spans="1:137">
      <c r="A17" s="265"/>
      <c r="B17" t="s">
        <v>740</v>
      </c>
      <c r="C17" s="267">
        <v>10283724</v>
      </c>
      <c r="D17" s="137">
        <v>6421358</v>
      </c>
      <c r="E17" s="137">
        <v>6421358</v>
      </c>
      <c r="H17" s="267"/>
      <c r="EF17" t="e">
        <f t="shared" si="0"/>
        <v>#DIV/0!</v>
      </c>
      <c r="EG17" t="e">
        <f t="shared" si="1"/>
        <v>#DIV/0!</v>
      </c>
    </row>
    <row r="18" spans="1:137">
      <c r="A18" s="430"/>
      <c r="B18" t="s">
        <v>741</v>
      </c>
      <c r="C18" s="267">
        <v>95488375</v>
      </c>
      <c r="D18" s="137">
        <v>760510</v>
      </c>
      <c r="E18" s="137">
        <v>760510</v>
      </c>
      <c r="G18" s="585"/>
      <c r="DZ18" s="884"/>
      <c r="EF18" t="e">
        <f t="shared" si="0"/>
        <v>#DIV/0!</v>
      </c>
      <c r="EG18" t="e">
        <f t="shared" si="1"/>
        <v>#DIV/0!</v>
      </c>
    </row>
    <row r="19" spans="1:137">
      <c r="A19" s="431" t="s">
        <v>742</v>
      </c>
      <c r="B19" s="431"/>
      <c r="C19" s="432">
        <f>SUM(C16:C18)</f>
        <v>516438329</v>
      </c>
      <c r="D19" s="432">
        <f t="shared" ref="D19:E19" si="3">SUM(D16:D18)</f>
        <v>198141018</v>
      </c>
      <c r="E19" s="432">
        <f t="shared" si="3"/>
        <v>197855353</v>
      </c>
      <c r="EF19" t="e">
        <f t="shared" si="0"/>
        <v>#DIV/0!</v>
      </c>
      <c r="EG19" t="e">
        <f t="shared" si="1"/>
        <v>#DIV/0!</v>
      </c>
    </row>
    <row r="20" spans="1:137">
      <c r="A20" s="265" t="s">
        <v>743</v>
      </c>
      <c r="B20" t="s">
        <v>744</v>
      </c>
      <c r="C20" s="267">
        <v>480169723</v>
      </c>
      <c r="D20" s="137">
        <v>195426149</v>
      </c>
      <c r="E20" s="137">
        <v>195189017</v>
      </c>
      <c r="F20" s="267"/>
      <c r="DZ20" s="884"/>
      <c r="EF20" t="e">
        <f t="shared" si="0"/>
        <v>#DIV/0!</v>
      </c>
      <c r="EG20" t="e">
        <f t="shared" si="1"/>
        <v>#DIV/0!</v>
      </c>
    </row>
    <row r="21" spans="1:137">
      <c r="A21" s="265"/>
      <c r="B21" t="s">
        <v>745</v>
      </c>
      <c r="C21" s="267">
        <v>327204949</v>
      </c>
      <c r="D21" s="137">
        <v>110709682</v>
      </c>
      <c r="E21" s="137">
        <v>108238035</v>
      </c>
      <c r="DZ21" s="884"/>
      <c r="EF21" t="e">
        <f t="shared" si="0"/>
        <v>#DIV/0!</v>
      </c>
      <c r="EG21" t="e">
        <f t="shared" si="1"/>
        <v>#DIV/0!</v>
      </c>
    </row>
    <row r="22" spans="1:137">
      <c r="A22" s="265"/>
      <c r="B22" t="s">
        <v>746</v>
      </c>
      <c r="C22" s="267">
        <v>207456934</v>
      </c>
      <c r="D22" s="137">
        <v>62128102</v>
      </c>
      <c r="E22" s="137">
        <v>61718001</v>
      </c>
      <c r="F22" s="267"/>
      <c r="DZ22" s="884"/>
      <c r="EF22" t="e">
        <f t="shared" si="0"/>
        <v>#DIV/0!</v>
      </c>
      <c r="EG22" t="e">
        <f t="shared" si="1"/>
        <v>#DIV/0!</v>
      </c>
    </row>
    <row r="23" spans="1:137">
      <c r="A23" s="265"/>
      <c r="B23" t="s">
        <v>747</v>
      </c>
      <c r="C23" s="267">
        <v>393204072</v>
      </c>
      <c r="D23" s="137">
        <v>47013462</v>
      </c>
      <c r="E23" s="137">
        <v>29366979</v>
      </c>
      <c r="DZ23" s="884"/>
      <c r="EF23" t="e">
        <f t="shared" si="0"/>
        <v>#DIV/0!</v>
      </c>
      <c r="EG23" t="e">
        <f t="shared" si="1"/>
        <v>#DIV/0!</v>
      </c>
    </row>
    <row r="24" spans="1:137">
      <c r="A24" s="265"/>
      <c r="B24" t="s">
        <v>748</v>
      </c>
      <c r="C24" s="267">
        <v>254838997</v>
      </c>
      <c r="D24" s="137">
        <v>104165667</v>
      </c>
      <c r="E24" s="137">
        <v>101247687</v>
      </c>
      <c r="DZ24" s="884"/>
    </row>
    <row r="25" spans="1:137">
      <c r="A25" s="431" t="s">
        <v>749</v>
      </c>
      <c r="B25" s="431"/>
      <c r="C25" s="432">
        <f>SUM(C20:C24)</f>
        <v>1662874675</v>
      </c>
      <c r="D25" s="432">
        <f t="shared" ref="D25:E25" si="4">SUM(D20:D24)</f>
        <v>519443062</v>
      </c>
      <c r="E25" s="432">
        <f t="shared" si="4"/>
        <v>495759719</v>
      </c>
      <c r="DZ25" s="884"/>
    </row>
    <row r="26" spans="1:137">
      <c r="A26" s="265" t="s">
        <v>750</v>
      </c>
      <c r="B26" t="s">
        <v>751</v>
      </c>
      <c r="C26" s="267">
        <v>46264981</v>
      </c>
      <c r="D26" s="137">
        <v>13454501</v>
      </c>
      <c r="E26" s="137">
        <v>13428001</v>
      </c>
      <c r="DZ26" s="884"/>
    </row>
    <row r="27" spans="1:137">
      <c r="A27" s="265"/>
      <c r="B27" t="s">
        <v>752</v>
      </c>
      <c r="C27" s="267">
        <v>291140678</v>
      </c>
      <c r="D27" s="137">
        <v>148326359</v>
      </c>
      <c r="E27" s="137">
        <v>147028393</v>
      </c>
    </row>
    <row r="28" spans="1:137">
      <c r="A28" s="265"/>
      <c r="B28" t="s">
        <v>753</v>
      </c>
      <c r="C28" s="267">
        <v>578659257</v>
      </c>
      <c r="D28" s="137">
        <v>170064412</v>
      </c>
      <c r="E28" s="137">
        <v>158137908</v>
      </c>
      <c r="G28" s="267"/>
      <c r="DZ28" s="884"/>
    </row>
    <row r="29" spans="1:137">
      <c r="A29" s="265"/>
      <c r="B29" t="s">
        <v>754</v>
      </c>
      <c r="C29" s="267">
        <v>21480000</v>
      </c>
      <c r="D29" s="137">
        <v>6964923</v>
      </c>
      <c r="E29" s="137">
        <v>6964923</v>
      </c>
      <c r="DZ29" s="884"/>
    </row>
    <row r="30" spans="1:137">
      <c r="A30" s="265"/>
      <c r="B30" t="s">
        <v>755</v>
      </c>
      <c r="C30" s="267">
        <v>250856584</v>
      </c>
      <c r="D30" s="137">
        <v>108430240</v>
      </c>
      <c r="E30" s="137">
        <v>108164093</v>
      </c>
      <c r="G30" s="267"/>
      <c r="DZ30" s="884"/>
    </row>
    <row r="31" spans="1:137">
      <c r="A31" s="265"/>
      <c r="B31" t="s">
        <v>756</v>
      </c>
      <c r="C31" s="267">
        <v>66562605</v>
      </c>
      <c r="D31" s="137">
        <v>106301829</v>
      </c>
      <c r="E31" s="137">
        <v>106301829</v>
      </c>
      <c r="DZ31" s="884"/>
    </row>
    <row r="32" spans="1:137">
      <c r="A32" s="265"/>
      <c r="B32" t="s">
        <v>757</v>
      </c>
      <c r="C32" s="267">
        <v>4834380</v>
      </c>
      <c r="D32" s="137">
        <v>0</v>
      </c>
      <c r="E32" s="137">
        <v>0</v>
      </c>
      <c r="DZ32" s="884"/>
    </row>
    <row r="33" spans="1:130">
      <c r="A33" s="265"/>
      <c r="B33" t="s">
        <v>758</v>
      </c>
      <c r="C33" s="267">
        <v>5904420</v>
      </c>
      <c r="D33" s="137">
        <v>1050280</v>
      </c>
      <c r="E33" s="137">
        <v>1050280</v>
      </c>
      <c r="DZ33" s="884"/>
    </row>
    <row r="34" spans="1:130">
      <c r="A34" s="265"/>
      <c r="B34" t="s">
        <v>759</v>
      </c>
      <c r="C34" s="267">
        <v>729351610</v>
      </c>
      <c r="D34" s="137">
        <v>352550094</v>
      </c>
      <c r="E34" s="137">
        <v>350860094</v>
      </c>
      <c r="DZ34" s="884"/>
    </row>
    <row r="35" spans="1:130">
      <c r="A35" s="265"/>
      <c r="B35" t="s">
        <v>760</v>
      </c>
      <c r="C35" s="267">
        <v>3765509207</v>
      </c>
      <c r="D35" s="137">
        <v>364156407</v>
      </c>
      <c r="E35" s="137">
        <v>364122966</v>
      </c>
      <c r="DZ35" s="884"/>
    </row>
    <row r="36" spans="1:130">
      <c r="A36" s="265"/>
      <c r="B36" t="s">
        <v>761</v>
      </c>
      <c r="C36" s="267">
        <v>15691996</v>
      </c>
      <c r="D36" s="137">
        <v>6357589</v>
      </c>
      <c r="E36" s="137">
        <v>6133499</v>
      </c>
      <c r="DZ36" s="884"/>
    </row>
    <row r="37" spans="1:130">
      <c r="A37" s="265"/>
      <c r="B37" t="s">
        <v>762</v>
      </c>
      <c r="C37" s="267">
        <v>21272392</v>
      </c>
      <c r="D37" s="137">
        <v>1172054</v>
      </c>
      <c r="E37" s="137">
        <v>1131026</v>
      </c>
    </row>
    <row r="38" spans="1:130">
      <c r="A38" s="265"/>
      <c r="B38" t="s">
        <v>763</v>
      </c>
      <c r="C38" s="267">
        <v>111873593</v>
      </c>
      <c r="D38" s="137">
        <v>51759530</v>
      </c>
      <c r="E38" s="137">
        <v>51557878</v>
      </c>
      <c r="DZ38" s="884"/>
    </row>
    <row r="39" spans="1:130">
      <c r="A39" s="265"/>
      <c r="B39" t="s">
        <v>764</v>
      </c>
      <c r="C39" s="267">
        <v>561122944</v>
      </c>
      <c r="D39" s="137">
        <v>122808413</v>
      </c>
      <c r="E39" s="137">
        <v>122605823</v>
      </c>
      <c r="DZ39" s="884"/>
    </row>
    <row r="40" spans="1:130">
      <c r="A40" s="265"/>
      <c r="B40" t="s">
        <v>765</v>
      </c>
      <c r="C40" s="267">
        <v>197666789</v>
      </c>
      <c r="D40" s="137">
        <v>49775171</v>
      </c>
      <c r="E40" s="137">
        <v>49112042</v>
      </c>
      <c r="DZ40" s="884"/>
    </row>
    <row r="41" spans="1:130">
      <c r="A41" s="265"/>
      <c r="B41" t="s">
        <v>766</v>
      </c>
      <c r="C41" s="267">
        <v>13360674</v>
      </c>
      <c r="D41" s="137">
        <v>5613878</v>
      </c>
      <c r="E41" s="137">
        <v>5592078</v>
      </c>
      <c r="DZ41" s="884"/>
    </row>
    <row r="42" spans="1:130">
      <c r="A42" s="265"/>
      <c r="B42" t="s">
        <v>767</v>
      </c>
      <c r="C42" s="267">
        <v>937455902</v>
      </c>
      <c r="D42" s="137">
        <v>258803214</v>
      </c>
      <c r="E42" s="137">
        <v>257314836</v>
      </c>
      <c r="DZ42" s="884"/>
    </row>
    <row r="43" spans="1:130">
      <c r="A43" s="431" t="s">
        <v>768</v>
      </c>
      <c r="B43" s="431"/>
      <c r="C43" s="432">
        <f>SUM(C26:C42)</f>
        <v>7619008012</v>
      </c>
      <c r="D43" s="432">
        <f t="shared" ref="D43:E43" si="5">SUM(D26:D42)</f>
        <v>1767588894</v>
      </c>
      <c r="E43" s="432">
        <f t="shared" si="5"/>
        <v>1749505669</v>
      </c>
      <c r="DZ43" s="884"/>
    </row>
    <row r="44" spans="1:130">
      <c r="A44" s="265" t="s">
        <v>769</v>
      </c>
      <c r="B44" t="s">
        <v>770</v>
      </c>
      <c r="C44" s="267">
        <v>0</v>
      </c>
      <c r="D44" s="137">
        <v>465540</v>
      </c>
      <c r="E44" s="137">
        <v>465540</v>
      </c>
      <c r="DZ44" s="884"/>
    </row>
    <row r="45" spans="1:130">
      <c r="A45" s="265"/>
      <c r="B45" t="s">
        <v>771</v>
      </c>
      <c r="C45" s="267">
        <v>917297185</v>
      </c>
      <c r="D45" s="137">
        <v>26077485</v>
      </c>
      <c r="E45" s="137">
        <v>26077485</v>
      </c>
      <c r="DZ45" s="884"/>
    </row>
    <row r="46" spans="1:130">
      <c r="A46" s="265"/>
      <c r="B46" t="s">
        <v>772</v>
      </c>
      <c r="C46" s="267">
        <v>45291714</v>
      </c>
      <c r="D46" s="137">
        <v>1847489</v>
      </c>
      <c r="E46" s="137">
        <v>1847489</v>
      </c>
      <c r="DZ46" s="884"/>
    </row>
    <row r="47" spans="1:130">
      <c r="A47" s="265"/>
      <c r="B47" t="s">
        <v>773</v>
      </c>
      <c r="C47" s="267">
        <v>278272567</v>
      </c>
      <c r="D47" s="137">
        <v>65773004</v>
      </c>
      <c r="E47" s="137">
        <v>64939062</v>
      </c>
      <c r="DZ47" s="884"/>
    </row>
    <row r="48" spans="1:130">
      <c r="A48" s="265"/>
      <c r="B48" t="s">
        <v>774</v>
      </c>
      <c r="C48" s="267">
        <v>860665610</v>
      </c>
      <c r="D48" s="137">
        <v>8606690</v>
      </c>
      <c r="E48" s="137">
        <v>8415490</v>
      </c>
      <c r="DZ48" s="884"/>
    </row>
    <row r="49" spans="1:130">
      <c r="A49" s="431" t="s">
        <v>775</v>
      </c>
      <c r="B49" s="431"/>
      <c r="C49" s="432">
        <f>SUM(C44:C48)</f>
        <v>2101527076</v>
      </c>
      <c r="D49" s="432">
        <f t="shared" ref="D49:E49" si="6">SUM(D44:D48)</f>
        <v>102770208</v>
      </c>
      <c r="E49" s="432">
        <f t="shared" si="6"/>
        <v>101745066</v>
      </c>
      <c r="DZ49" s="884"/>
    </row>
    <row r="50" spans="1:130">
      <c r="A50" s="265" t="s">
        <v>776</v>
      </c>
      <c r="B50" t="s">
        <v>777</v>
      </c>
      <c r="C50" s="267">
        <v>90478775</v>
      </c>
      <c r="D50" s="137">
        <v>7047480</v>
      </c>
      <c r="E50" s="137">
        <v>7047480</v>
      </c>
    </row>
    <row r="51" spans="1:130">
      <c r="A51" s="265"/>
      <c r="B51" t="s">
        <v>778</v>
      </c>
      <c r="C51" s="267">
        <v>7045479705</v>
      </c>
      <c r="D51" s="137">
        <v>50560393</v>
      </c>
      <c r="E51" s="137">
        <v>50096195</v>
      </c>
    </row>
    <row r="52" spans="1:130">
      <c r="A52" s="265"/>
      <c r="B52" t="s">
        <v>779</v>
      </c>
      <c r="C52" s="267">
        <v>25878954</v>
      </c>
      <c r="D52" s="137">
        <v>13056639</v>
      </c>
      <c r="E52" s="137">
        <v>12777639</v>
      </c>
    </row>
    <row r="53" spans="1:130">
      <c r="A53" s="430"/>
      <c r="B53" t="s">
        <v>780</v>
      </c>
      <c r="C53" s="267">
        <v>50792023</v>
      </c>
      <c r="D53" s="137">
        <v>7367438</v>
      </c>
      <c r="E53" s="137">
        <v>7094888</v>
      </c>
    </row>
    <row r="54" spans="1:130">
      <c r="A54" s="431" t="s">
        <v>781</v>
      </c>
      <c r="B54" s="431"/>
      <c r="C54" s="432">
        <f>SUM(C50:C53)</f>
        <v>7212629457</v>
      </c>
      <c r="D54" s="432">
        <f t="shared" ref="D54:E54" si="7">SUM(D50:D53)</f>
        <v>78031950</v>
      </c>
      <c r="E54" s="432">
        <f t="shared" si="7"/>
        <v>77016202</v>
      </c>
    </row>
    <row r="55" spans="1:130">
      <c r="A55" s="265" t="s">
        <v>782</v>
      </c>
      <c r="B55" t="s">
        <v>783</v>
      </c>
      <c r="C55" s="267">
        <v>499988451</v>
      </c>
      <c r="D55" s="137">
        <v>261004127</v>
      </c>
      <c r="E55" s="137">
        <v>260805414</v>
      </c>
    </row>
    <row r="56" spans="1:130">
      <c r="A56" s="265"/>
      <c r="B56" t="s">
        <v>784</v>
      </c>
      <c r="C56" s="267">
        <v>10750000</v>
      </c>
      <c r="D56" s="137">
        <v>0</v>
      </c>
      <c r="E56" s="137">
        <v>0</v>
      </c>
    </row>
    <row r="57" spans="1:130">
      <c r="A57" s="265"/>
      <c r="B57" t="s">
        <v>785</v>
      </c>
      <c r="C57" s="267">
        <v>1251005292</v>
      </c>
      <c r="D57" s="137">
        <v>581410380</v>
      </c>
      <c r="E57" s="137">
        <v>558636408</v>
      </c>
    </row>
    <row r="58" spans="1:130">
      <c r="A58" s="265"/>
      <c r="B58" t="s">
        <v>786</v>
      </c>
      <c r="C58" s="267">
        <v>9053652</v>
      </c>
      <c r="D58" s="137">
        <v>3183564</v>
      </c>
      <c r="E58" s="137">
        <v>2846157</v>
      </c>
    </row>
    <row r="59" spans="1:130">
      <c r="A59" s="265"/>
      <c r="B59" t="s">
        <v>787</v>
      </c>
      <c r="C59" s="267">
        <v>1244609758</v>
      </c>
      <c r="D59" s="137">
        <v>586967689</v>
      </c>
      <c r="E59" s="137">
        <v>561626712</v>
      </c>
    </row>
    <row r="60" spans="1:130">
      <c r="A60" s="265"/>
      <c r="B60" t="s">
        <v>788</v>
      </c>
      <c r="C60" s="267">
        <v>359040004</v>
      </c>
      <c r="D60" s="137">
        <v>271707490</v>
      </c>
      <c r="E60" s="137">
        <v>266651143</v>
      </c>
    </row>
    <row r="61" spans="1:130">
      <c r="A61" s="265"/>
      <c r="B61" t="s">
        <v>789</v>
      </c>
      <c r="C61" s="267">
        <v>327657387</v>
      </c>
      <c r="D61" s="137">
        <v>231767742</v>
      </c>
      <c r="E61" s="137">
        <v>230987098</v>
      </c>
    </row>
    <row r="62" spans="1:130">
      <c r="A62" s="431" t="s">
        <v>790</v>
      </c>
      <c r="B62" s="431"/>
      <c r="C62" s="432">
        <f>SUM(C55:C61)</f>
        <v>3702104544</v>
      </c>
      <c r="D62" s="432">
        <f t="shared" ref="D62:E62" si="8">SUM(D55:D61)</f>
        <v>1936040992</v>
      </c>
      <c r="E62" s="432">
        <f t="shared" si="8"/>
        <v>1881552932</v>
      </c>
    </row>
    <row r="63" spans="1:130">
      <c r="A63" s="265" t="s">
        <v>791</v>
      </c>
      <c r="B63" t="s">
        <v>792</v>
      </c>
      <c r="C63" s="267">
        <v>284536644</v>
      </c>
      <c r="D63" s="137">
        <v>118966276</v>
      </c>
      <c r="E63" s="137">
        <v>118966276</v>
      </c>
    </row>
    <row r="64" spans="1:130">
      <c r="A64" s="265"/>
      <c r="B64" t="s">
        <v>793</v>
      </c>
      <c r="C64" s="267">
        <v>180514562</v>
      </c>
      <c r="D64" s="137">
        <v>82948845</v>
      </c>
      <c r="E64" s="137">
        <v>82233433</v>
      </c>
    </row>
    <row r="65" spans="1:5">
      <c r="A65" s="265"/>
      <c r="B65" t="s">
        <v>794</v>
      </c>
      <c r="C65" s="267">
        <v>17164725</v>
      </c>
      <c r="D65" s="137">
        <v>14066023</v>
      </c>
      <c r="E65" s="137">
        <v>14066023</v>
      </c>
    </row>
    <row r="66" spans="1:5">
      <c r="A66" s="265"/>
      <c r="B66" t="s">
        <v>795</v>
      </c>
      <c r="C66" s="267">
        <v>1168456</v>
      </c>
      <c r="D66" s="137">
        <v>0</v>
      </c>
      <c r="E66" s="137">
        <v>0</v>
      </c>
    </row>
    <row r="67" spans="1:5">
      <c r="A67" s="430"/>
      <c r="B67" t="s">
        <v>796</v>
      </c>
      <c r="C67" s="267">
        <v>62137460</v>
      </c>
      <c r="D67" s="137">
        <v>32762156</v>
      </c>
      <c r="E67" s="137">
        <v>32489224</v>
      </c>
    </row>
    <row r="68" spans="1:5">
      <c r="A68" s="431" t="s">
        <v>797</v>
      </c>
      <c r="B68" s="431"/>
      <c r="C68" s="432">
        <f>SUM(C63:C67)</f>
        <v>545521847</v>
      </c>
      <c r="D68" s="432">
        <f t="shared" ref="D68:E68" si="9">SUM(D63:D67)</f>
        <v>248743300</v>
      </c>
      <c r="E68" s="432">
        <f t="shared" si="9"/>
        <v>247754956</v>
      </c>
    </row>
    <row r="69" spans="1:5">
      <c r="A69" s="265" t="s">
        <v>798</v>
      </c>
      <c r="B69" t="s">
        <v>799</v>
      </c>
      <c r="C69" s="267">
        <v>39086400</v>
      </c>
      <c r="D69" s="137">
        <v>4444413</v>
      </c>
      <c r="E69" s="137">
        <v>4165931</v>
      </c>
    </row>
    <row r="70" spans="1:5">
      <c r="A70" s="265"/>
      <c r="B70" t="s">
        <v>800</v>
      </c>
      <c r="C70" s="267">
        <v>193661213</v>
      </c>
      <c r="D70" s="137">
        <v>56577862</v>
      </c>
      <c r="E70" s="137">
        <v>52508162</v>
      </c>
    </row>
    <row r="71" spans="1:5">
      <c r="A71" s="265"/>
      <c r="B71" t="s">
        <v>801</v>
      </c>
      <c r="C71" s="267">
        <v>782263601</v>
      </c>
      <c r="D71" s="137">
        <v>124243799</v>
      </c>
      <c r="E71" s="137">
        <v>119912794</v>
      </c>
    </row>
    <row r="72" spans="1:5">
      <c r="A72" s="265"/>
      <c r="B72" t="s">
        <v>802</v>
      </c>
      <c r="C72" s="267">
        <v>145648261</v>
      </c>
      <c r="D72" s="137">
        <v>44260135</v>
      </c>
      <c r="E72" s="137">
        <v>41070859</v>
      </c>
    </row>
    <row r="73" spans="1:5">
      <c r="A73" s="265"/>
      <c r="B73" t="s">
        <v>803</v>
      </c>
      <c r="C73" s="267">
        <v>77905252</v>
      </c>
      <c r="D73" s="137">
        <v>43751662</v>
      </c>
      <c r="E73" s="137">
        <v>43465318</v>
      </c>
    </row>
    <row r="74" spans="1:5">
      <c r="A74" s="265"/>
      <c r="B74" t="s">
        <v>804</v>
      </c>
      <c r="C74" s="267">
        <v>43975827</v>
      </c>
      <c r="D74" s="137">
        <v>5050907</v>
      </c>
      <c r="E74" s="137">
        <v>5050907</v>
      </c>
    </row>
    <row r="75" spans="1:5">
      <c r="A75" s="265"/>
      <c r="B75" t="s">
        <v>805</v>
      </c>
      <c r="C75" s="267">
        <v>903028079</v>
      </c>
      <c r="D75" s="137">
        <v>400240833</v>
      </c>
      <c r="E75" s="137">
        <v>398772448</v>
      </c>
    </row>
    <row r="76" spans="1:5">
      <c r="A76" s="265"/>
      <c r="B76" t="s">
        <v>806</v>
      </c>
      <c r="C76" s="267">
        <v>336790487</v>
      </c>
      <c r="D76" s="137">
        <v>164920834</v>
      </c>
      <c r="E76" s="137">
        <v>164743649</v>
      </c>
    </row>
    <row r="77" spans="1:5">
      <c r="A77" s="430"/>
      <c r="B77" t="s">
        <v>807</v>
      </c>
      <c r="C77" s="267">
        <v>795192464</v>
      </c>
      <c r="D77" s="137">
        <v>317150343</v>
      </c>
      <c r="E77" s="137">
        <v>315553524</v>
      </c>
    </row>
    <row r="78" spans="1:5">
      <c r="A78" s="431" t="s">
        <v>808</v>
      </c>
      <c r="B78" s="431"/>
      <c r="C78" s="432">
        <f>SUM(C69:C77)</f>
        <v>3317551584</v>
      </c>
      <c r="D78" s="432">
        <f t="shared" ref="D78:E78" si="10">SUM(D69:D77)</f>
        <v>1160640788</v>
      </c>
      <c r="E78" s="432">
        <f t="shared" si="10"/>
        <v>1145243592</v>
      </c>
    </row>
    <row r="79" spans="1:5">
      <c r="A79" s="265" t="s">
        <v>809</v>
      </c>
      <c r="B79" t="s">
        <v>810</v>
      </c>
      <c r="C79" s="267">
        <v>23192071</v>
      </c>
      <c r="D79" s="137">
        <v>2566780</v>
      </c>
      <c r="E79" s="137">
        <v>2566780</v>
      </c>
    </row>
    <row r="80" spans="1:5" s="884" customFormat="1">
      <c r="A80" s="265"/>
      <c r="B80" s="884" t="s">
        <v>1077</v>
      </c>
      <c r="C80" s="267">
        <v>6768274902</v>
      </c>
      <c r="D80" s="137">
        <v>4131765479</v>
      </c>
      <c r="E80" s="137">
        <v>4131663376</v>
      </c>
    </row>
    <row r="81" spans="1:7">
      <c r="A81" s="265"/>
      <c r="B81" t="s">
        <v>811</v>
      </c>
      <c r="C81" s="267">
        <v>17000000</v>
      </c>
      <c r="D81" s="137">
        <v>3059696</v>
      </c>
      <c r="E81" s="137">
        <v>3059696</v>
      </c>
    </row>
    <row r="82" spans="1:7">
      <c r="A82" s="265"/>
      <c r="B82" t="s">
        <v>812</v>
      </c>
      <c r="C82" s="267">
        <v>116188560</v>
      </c>
      <c r="D82" s="137">
        <v>40175644</v>
      </c>
      <c r="E82" s="137">
        <v>39357144</v>
      </c>
    </row>
    <row r="83" spans="1:7">
      <c r="A83" s="265"/>
      <c r="B83" t="s">
        <v>813</v>
      </c>
      <c r="C83" s="267">
        <v>2872699208</v>
      </c>
      <c r="D83" s="137">
        <v>0</v>
      </c>
      <c r="E83" s="137">
        <v>0</v>
      </c>
    </row>
    <row r="84" spans="1:7">
      <c r="A84" s="265"/>
      <c r="B84" t="s">
        <v>814</v>
      </c>
      <c r="C84" s="267">
        <v>545331180</v>
      </c>
      <c r="D84" s="137">
        <v>919628400</v>
      </c>
      <c r="E84" s="137">
        <v>907483233</v>
      </c>
    </row>
    <row r="85" spans="1:7">
      <c r="A85" s="265"/>
      <c r="B85" t="s">
        <v>815</v>
      </c>
      <c r="C85" s="267">
        <v>16500000</v>
      </c>
      <c r="D85" s="137">
        <v>9768544</v>
      </c>
      <c r="E85" s="137">
        <v>9768544</v>
      </c>
    </row>
    <row r="86" spans="1:7">
      <c r="A86" s="265"/>
      <c r="B86" t="s">
        <v>816</v>
      </c>
      <c r="C86" s="267">
        <v>7334192189</v>
      </c>
      <c r="D86" s="137">
        <v>239896878</v>
      </c>
      <c r="E86" s="137">
        <v>235293106</v>
      </c>
    </row>
    <row r="87" spans="1:7">
      <c r="A87" s="431" t="s">
        <v>817</v>
      </c>
      <c r="B87" s="431"/>
      <c r="C87" s="432">
        <f>SUM(C79:C86)</f>
        <v>17693378110</v>
      </c>
      <c r="D87" s="432">
        <f t="shared" ref="D87:E87" si="11">SUM(D79:D86)</f>
        <v>5346861421</v>
      </c>
      <c r="E87" s="432">
        <f t="shared" si="11"/>
        <v>5329191879</v>
      </c>
    </row>
    <row r="88" spans="1:7">
      <c r="A88" s="437" t="s">
        <v>487</v>
      </c>
      <c r="B88" s="437"/>
      <c r="C88" s="586">
        <f>+C15+C19+C25+C43+C49+C54+C62+C68+C78+C87</f>
        <v>60521642755</v>
      </c>
      <c r="D88" s="586">
        <f>+D15+D19+D25+D43+D49+D54+D62+D68+D78+D87</f>
        <v>18130280976</v>
      </c>
      <c r="E88" s="586">
        <f>+E15+E19+E25+E43+E49+E54+E62+E68+E78+E87</f>
        <v>17955287846</v>
      </c>
    </row>
    <row r="89" spans="1:7">
      <c r="C89" s="137">
        <v>53666014287.044998</v>
      </c>
      <c r="D89" s="137">
        <v>18130280976</v>
      </c>
      <c r="E89" s="137">
        <v>17955287846</v>
      </c>
    </row>
    <row r="90" spans="1:7" hidden="1">
      <c r="C90" s="137">
        <v>53666014287.044998</v>
      </c>
      <c r="D90" s="137">
        <v>10156226804</v>
      </c>
      <c r="E90" s="137">
        <v>9900791890</v>
      </c>
    </row>
    <row r="91" spans="1:7" hidden="1">
      <c r="C91" s="137">
        <f>+C90-C88</f>
        <v>-6855628467.9550018</v>
      </c>
      <c r="D91" s="137">
        <f>+D88-D90</f>
        <v>7974054172</v>
      </c>
      <c r="E91" s="137">
        <f>+E88-E90</f>
        <v>8054495956</v>
      </c>
    </row>
    <row r="92" spans="1:7" hidden="1">
      <c r="C92" s="137" t="s">
        <v>818</v>
      </c>
      <c r="D92" s="137"/>
      <c r="E92" s="137"/>
      <c r="G92" s="267"/>
    </row>
    <row r="93" spans="1:7" hidden="1">
      <c r="C93" s="137"/>
      <c r="D93" s="137"/>
      <c r="E93" s="137"/>
      <c r="G93" s="267"/>
    </row>
    <row r="94" spans="1:7">
      <c r="C94" s="137">
        <f>+C88-C89</f>
        <v>6855628467.9550018</v>
      </c>
      <c r="D94" s="904">
        <f>+D88-D89</f>
        <v>0</v>
      </c>
      <c r="E94" s="904">
        <f>+E88-E89</f>
        <v>0</v>
      </c>
    </row>
    <row r="95" spans="1:7">
      <c r="E95" s="587"/>
    </row>
    <row r="96" spans="1:7">
      <c r="C96" s="267"/>
      <c r="E96" s="267"/>
    </row>
    <row r="97" spans="3:5">
      <c r="E97" s="267"/>
    </row>
    <row r="98" spans="3:5">
      <c r="C98" s="267"/>
    </row>
    <row r="118" spans="8:9">
      <c r="H118" s="267">
        <v>248735</v>
      </c>
      <c r="I118" s="267">
        <v>4472526</v>
      </c>
    </row>
  </sheetData>
  <pageMargins left="0.7" right="0.7" top="0.75" bottom="0.75" header="0.3" footer="0.3"/>
  <pageSetup paperSize="9" scale="54" orientation="portrait" r:id="rId1"/>
  <rowBreaks count="1" manualBreakCount="1">
    <brk id="93" max="4" man="1"/>
  </rowBreaks>
  <colBreaks count="1" manualBreakCount="1">
    <brk id="5" max="11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EG88"/>
  <sheetViews>
    <sheetView zoomScale="112" zoomScaleNormal="112" workbookViewId="0">
      <selection activeCell="G34" sqref="G34"/>
    </sheetView>
  </sheetViews>
  <sheetFormatPr defaultRowHeight="14.5"/>
  <cols>
    <col min="2" max="2" width="26.26953125" customWidth="1"/>
    <col min="3" max="3" width="28.453125" customWidth="1"/>
    <col min="4" max="4" width="55" customWidth="1"/>
    <col min="5" max="5" width="18.7265625" customWidth="1"/>
    <col min="6" max="6" width="20.7265625" customWidth="1"/>
    <col min="7" max="7" width="21.7265625" bestFit="1" customWidth="1"/>
    <col min="8" max="8" width="19.453125" customWidth="1"/>
    <col min="9" max="9" width="14.26953125" customWidth="1"/>
    <col min="10" max="10" width="13.54296875" bestFit="1" customWidth="1"/>
    <col min="11" max="11" width="25.54296875" customWidth="1"/>
    <col min="13" max="13" width="9.1796875" customWidth="1"/>
    <col min="118" max="122" width="0" hidden="1" customWidth="1"/>
    <col min="130" max="130" width="8" customWidth="1"/>
    <col min="131" max="134" width="0" hidden="1" customWidth="1"/>
  </cols>
  <sheetData>
    <row r="3" spans="2:137">
      <c r="I3" s="267"/>
    </row>
    <row r="4" spans="2:137">
      <c r="B4" s="1073" t="s">
        <v>1084</v>
      </c>
      <c r="C4" s="1073"/>
      <c r="D4" s="1073"/>
      <c r="E4" s="1073"/>
      <c r="F4" s="1073"/>
      <c r="G4" s="1073"/>
      <c r="EF4" t="e">
        <f>+DZ4/DS4*100</f>
        <v>#DIV/0!</v>
      </c>
      <c r="EG4" t="e">
        <f>+(DZ4/DM4-1)*100</f>
        <v>#DIV/0!</v>
      </c>
    </row>
    <row r="5" spans="2:137">
      <c r="B5" s="437"/>
      <c r="C5" s="437"/>
      <c r="D5" s="437"/>
      <c r="E5" s="437" t="s">
        <v>819</v>
      </c>
      <c r="F5" s="437"/>
      <c r="G5" s="437"/>
      <c r="H5" s="588"/>
      <c r="I5" s="588"/>
      <c r="J5" s="588"/>
      <c r="EF5" t="e">
        <f t="shared" ref="EF5:EF23" si="0">+DZ5/DS5*100</f>
        <v>#DIV/0!</v>
      </c>
      <c r="EG5" t="e">
        <f t="shared" ref="EG5:EG23" si="1">+(DZ5/DM5-1)*100</f>
        <v>#DIV/0!</v>
      </c>
    </row>
    <row r="6" spans="2:137">
      <c r="B6" s="437" t="s">
        <v>501</v>
      </c>
      <c r="C6" s="437" t="s">
        <v>502</v>
      </c>
      <c r="D6" s="437" t="s">
        <v>820</v>
      </c>
      <c r="E6" s="437" t="s">
        <v>503</v>
      </c>
      <c r="F6" s="437" t="s">
        <v>821</v>
      </c>
      <c r="G6" s="437" t="s">
        <v>506</v>
      </c>
      <c r="H6" s="588" t="s">
        <v>822</v>
      </c>
      <c r="I6" s="588" t="s">
        <v>823</v>
      </c>
      <c r="J6" s="588" t="s">
        <v>824</v>
      </c>
      <c r="DZ6" s="884"/>
      <c r="EF6" t="e">
        <f t="shared" si="0"/>
        <v>#DIV/0!</v>
      </c>
      <c r="EG6" t="e">
        <f t="shared" si="1"/>
        <v>#DIV/0!</v>
      </c>
    </row>
    <row r="7" spans="2:137">
      <c r="B7" s="589" t="s">
        <v>518</v>
      </c>
      <c r="C7" s="589" t="s">
        <v>519</v>
      </c>
      <c r="D7" s="590" t="s">
        <v>519</v>
      </c>
      <c r="E7" s="591">
        <v>2023457620</v>
      </c>
      <c r="F7" s="591">
        <v>543938965</v>
      </c>
      <c r="G7" s="592">
        <v>543938965</v>
      </c>
      <c r="H7" s="593">
        <f>+G7</f>
        <v>543938965</v>
      </c>
      <c r="I7" s="593">
        <f>+'[3]PAGAMENTO JULHO 2021'!$K$167</f>
        <v>543939010.25923967</v>
      </c>
      <c r="J7" s="933">
        <f>+I7-H7</f>
        <v>45.259239673614502</v>
      </c>
      <c r="DZ7" s="884"/>
      <c r="EF7" t="e">
        <f t="shared" si="0"/>
        <v>#DIV/0!</v>
      </c>
      <c r="EG7" t="e">
        <f t="shared" si="1"/>
        <v>#DIV/0!</v>
      </c>
    </row>
    <row r="8" spans="2:137">
      <c r="B8" s="594"/>
      <c r="C8" s="589" t="s">
        <v>521</v>
      </c>
      <c r="D8" s="595" t="s">
        <v>521</v>
      </c>
      <c r="E8" s="596">
        <v>3343139181</v>
      </c>
      <c r="F8" s="596">
        <v>1884233524</v>
      </c>
      <c r="G8" s="592">
        <v>1884233524</v>
      </c>
      <c r="H8" s="597">
        <f>+G8</f>
        <v>1884233524</v>
      </c>
      <c r="I8" s="597">
        <f>+'Movi Janeiro a Julho - 2021'!L786</f>
        <v>1884233524.8244822</v>
      </c>
      <c r="J8" s="933">
        <f>+I8-H8</f>
        <v>0.82448220252990723</v>
      </c>
      <c r="K8" s="267"/>
      <c r="DZ8" s="884"/>
      <c r="EF8" t="e">
        <f t="shared" si="0"/>
        <v>#DIV/0!</v>
      </c>
      <c r="EG8" t="e">
        <f t="shared" si="1"/>
        <v>#DIV/0!</v>
      </c>
    </row>
    <row r="9" spans="2:137">
      <c r="B9" s="594"/>
      <c r="C9" s="589" t="s">
        <v>523</v>
      </c>
      <c r="D9" s="590" t="s">
        <v>523</v>
      </c>
      <c r="E9" s="591">
        <v>96110541</v>
      </c>
      <c r="F9" s="599">
        <v>10855709</v>
      </c>
      <c r="G9" s="599">
        <v>10855709</v>
      </c>
      <c r="H9" s="434"/>
      <c r="I9" s="434"/>
      <c r="J9" s="434"/>
      <c r="DZ9" s="884"/>
      <c r="EF9" t="e">
        <f t="shared" si="0"/>
        <v>#DIV/0!</v>
      </c>
      <c r="EG9" t="e">
        <f t="shared" si="1"/>
        <v>#DIV/0!</v>
      </c>
    </row>
    <row r="10" spans="2:137" s="265" customFormat="1">
      <c r="B10" s="600" t="s">
        <v>525</v>
      </c>
      <c r="C10" s="601"/>
      <c r="D10" s="602"/>
      <c r="E10" s="603">
        <f>SUM(E7:E9)</f>
        <v>5462707342</v>
      </c>
      <c r="F10" s="603">
        <f t="shared" ref="F10:I10" si="2">SUM(F7:F9)</f>
        <v>2439028198</v>
      </c>
      <c r="G10" s="603">
        <f t="shared" si="2"/>
        <v>2439028198</v>
      </c>
      <c r="H10" s="603">
        <f>SUM(H7:H9)</f>
        <v>2428172489</v>
      </c>
      <c r="I10" s="603">
        <f t="shared" si="2"/>
        <v>2428172535.0837221</v>
      </c>
      <c r="J10" s="603">
        <f>SUM(J7:J9)</f>
        <v>46.083721876144409</v>
      </c>
      <c r="EF10" s="265" t="e">
        <f t="shared" si="0"/>
        <v>#DIV/0!</v>
      </c>
      <c r="EG10" s="265" t="e">
        <f t="shared" si="1"/>
        <v>#DIV/0!</v>
      </c>
    </row>
    <row r="11" spans="2:137" hidden="1">
      <c r="B11" s="589"/>
      <c r="C11" s="589"/>
      <c r="D11" s="590" t="s">
        <v>825</v>
      </c>
      <c r="E11" s="591">
        <v>505617104</v>
      </c>
      <c r="F11" s="591">
        <v>638836674</v>
      </c>
      <c r="G11" s="604">
        <v>329517447</v>
      </c>
      <c r="H11" s="591"/>
      <c r="I11" s="591"/>
      <c r="J11" s="591"/>
      <c r="DZ11" s="884"/>
      <c r="EF11" t="e">
        <f t="shared" si="0"/>
        <v>#DIV/0!</v>
      </c>
      <c r="EG11" t="e">
        <f t="shared" si="1"/>
        <v>#DIV/0!</v>
      </c>
    </row>
    <row r="12" spans="2:137">
      <c r="B12" s="589" t="s">
        <v>826</v>
      </c>
      <c r="C12" s="589" t="s">
        <v>827</v>
      </c>
      <c r="D12" s="605" t="s">
        <v>828</v>
      </c>
      <c r="E12" s="606">
        <v>579055301</v>
      </c>
      <c r="F12" s="607">
        <v>640554515</v>
      </c>
      <c r="G12" s="608">
        <v>640554515</v>
      </c>
      <c r="H12" s="591"/>
      <c r="I12" s="591"/>
      <c r="J12" s="591"/>
      <c r="DZ12" s="884"/>
      <c r="EF12" t="e">
        <f t="shared" si="0"/>
        <v>#DIV/0!</v>
      </c>
      <c r="EG12" t="e">
        <f t="shared" si="1"/>
        <v>#DIV/0!</v>
      </c>
    </row>
    <row r="13" spans="2:137" hidden="1">
      <c r="B13" s="594"/>
      <c r="C13" s="377"/>
      <c r="D13" s="609" t="s">
        <v>829</v>
      </c>
      <c r="E13" s="606">
        <v>2303336808</v>
      </c>
      <c r="F13" s="607">
        <v>123368439</v>
      </c>
      <c r="G13" s="608">
        <v>123368439</v>
      </c>
      <c r="H13" s="591"/>
      <c r="I13" s="591"/>
      <c r="J13" s="591"/>
      <c r="DZ13" s="884"/>
      <c r="EF13" t="e">
        <f t="shared" si="0"/>
        <v>#DIV/0!</v>
      </c>
      <c r="EG13" t="e">
        <f t="shared" si="1"/>
        <v>#DIV/0!</v>
      </c>
    </row>
    <row r="14" spans="2:137">
      <c r="B14" s="594"/>
      <c r="C14" s="377"/>
      <c r="D14" s="609" t="s">
        <v>830</v>
      </c>
      <c r="E14" s="606">
        <v>1099627038</v>
      </c>
      <c r="F14" s="607">
        <v>123368439</v>
      </c>
      <c r="G14" s="608">
        <v>123368439</v>
      </c>
      <c r="H14" s="591"/>
      <c r="I14" s="591"/>
      <c r="J14" s="591"/>
      <c r="EF14" t="e">
        <f t="shared" si="0"/>
        <v>#DIV/0!</v>
      </c>
      <c r="EG14" t="e">
        <f t="shared" si="1"/>
        <v>#DIV/0!</v>
      </c>
    </row>
    <row r="15" spans="2:137" s="265" customFormat="1">
      <c r="B15" s="610" t="s">
        <v>831</v>
      </c>
      <c r="C15" s="611"/>
      <c r="D15" s="612"/>
      <c r="E15" s="613">
        <f>+E12+E14</f>
        <v>1678682339</v>
      </c>
      <c r="F15" s="613">
        <f>+F12+F14</f>
        <v>763922954</v>
      </c>
      <c r="G15" s="613">
        <f>+G12+G14</f>
        <v>763922954</v>
      </c>
      <c r="H15" s="613">
        <f>+H12+H14</f>
        <v>0</v>
      </c>
      <c r="I15" s="613">
        <f t="shared" ref="I15" si="3">+I12+I14</f>
        <v>0</v>
      </c>
      <c r="J15" s="613">
        <f>+J12+J14</f>
        <v>0</v>
      </c>
      <c r="EF15" s="265" t="e">
        <f t="shared" si="0"/>
        <v>#DIV/0!</v>
      </c>
      <c r="EG15" s="265" t="e">
        <f t="shared" si="1"/>
        <v>#DIV/0!</v>
      </c>
    </row>
    <row r="16" spans="2:137" hidden="1">
      <c r="B16" s="589"/>
      <c r="C16" s="589"/>
      <c r="D16" s="595" t="s">
        <v>832</v>
      </c>
      <c r="E16" s="596">
        <v>13638864415</v>
      </c>
      <c r="F16" s="596"/>
      <c r="G16" s="614"/>
      <c r="H16" s="596"/>
      <c r="I16" s="596"/>
      <c r="J16" s="596"/>
      <c r="EF16" t="e">
        <f t="shared" si="0"/>
        <v>#DIV/0!</v>
      </c>
      <c r="EG16" t="e">
        <f t="shared" si="1"/>
        <v>#DIV/0!</v>
      </c>
    </row>
    <row r="17" spans="1:137">
      <c r="B17" s="594" t="s">
        <v>833</v>
      </c>
      <c r="C17" s="594" t="s">
        <v>834</v>
      </c>
      <c r="D17" s="605" t="s">
        <v>835</v>
      </c>
      <c r="E17" s="606">
        <v>7584253001</v>
      </c>
      <c r="F17" s="606">
        <v>4029648347</v>
      </c>
      <c r="G17" s="615">
        <v>4029648347</v>
      </c>
      <c r="H17" s="434">
        <f>+G17</f>
        <v>4029648347</v>
      </c>
      <c r="I17" s="785"/>
      <c r="J17" s="434">
        <f>+I17-H17</f>
        <v>-4029648347</v>
      </c>
      <c r="EF17" t="e">
        <f t="shared" si="0"/>
        <v>#DIV/0!</v>
      </c>
      <c r="EG17" t="e">
        <f t="shared" si="1"/>
        <v>#DIV/0!</v>
      </c>
    </row>
    <row r="18" spans="1:137">
      <c r="B18" s="594"/>
      <c r="C18" s="616"/>
      <c r="D18" s="617" t="s">
        <v>836</v>
      </c>
      <c r="E18" s="618">
        <v>185000000</v>
      </c>
      <c r="F18" s="618">
        <v>85515809</v>
      </c>
      <c r="G18" s="618">
        <v>85130300</v>
      </c>
      <c r="H18" s="434"/>
      <c r="I18" s="785"/>
      <c r="J18" s="434"/>
      <c r="DZ18" s="884"/>
      <c r="EF18" t="e">
        <f t="shared" si="0"/>
        <v>#DIV/0!</v>
      </c>
      <c r="EG18" t="e">
        <f t="shared" si="1"/>
        <v>#DIV/0!</v>
      </c>
    </row>
    <row r="19" spans="1:137" hidden="1">
      <c r="B19" s="594"/>
      <c r="C19" s="594"/>
      <c r="D19" s="605" t="s">
        <v>837</v>
      </c>
      <c r="E19" s="606">
        <v>17367728019.834999</v>
      </c>
      <c r="F19" s="606">
        <v>2068381197</v>
      </c>
      <c r="G19" s="606">
        <v>2068381197</v>
      </c>
      <c r="H19" s="434"/>
      <c r="I19" s="434"/>
      <c r="J19" s="434"/>
      <c r="EF19" t="e">
        <f t="shared" si="0"/>
        <v>#DIV/0!</v>
      </c>
      <c r="EG19" t="e">
        <f t="shared" si="1"/>
        <v>#DIV/0!</v>
      </c>
    </row>
    <row r="20" spans="1:137">
      <c r="B20" s="594"/>
      <c r="C20" s="594" t="s">
        <v>838</v>
      </c>
      <c r="D20" s="605" t="s">
        <v>839</v>
      </c>
      <c r="E20" s="606">
        <v>6415235768</v>
      </c>
      <c r="F20" s="606">
        <v>2068381197</v>
      </c>
      <c r="G20" s="615">
        <v>2068381197</v>
      </c>
      <c r="H20" s="434">
        <f>+G20</f>
        <v>2068381197</v>
      </c>
      <c r="I20" s="434"/>
      <c r="J20" s="434">
        <f>+I20-H20</f>
        <v>-2068381197</v>
      </c>
      <c r="DZ20" s="884"/>
      <c r="EF20" t="e">
        <f t="shared" si="0"/>
        <v>#DIV/0!</v>
      </c>
      <c r="EG20" t="e">
        <f t="shared" si="1"/>
        <v>#DIV/0!</v>
      </c>
    </row>
    <row r="21" spans="1:137">
      <c r="B21" s="594"/>
      <c r="C21" s="589"/>
      <c r="D21" s="619" t="s">
        <v>840</v>
      </c>
      <c r="E21" s="606">
        <v>2099999997</v>
      </c>
      <c r="F21" s="606">
        <v>0</v>
      </c>
      <c r="G21" s="608">
        <v>0</v>
      </c>
      <c r="H21" s="598">
        <f>+G21</f>
        <v>0</v>
      </c>
      <c r="I21" s="598"/>
      <c r="J21" s="598"/>
      <c r="DZ21" s="884"/>
      <c r="EF21" t="e">
        <f t="shared" si="0"/>
        <v>#DIV/0!</v>
      </c>
      <c r="EG21" t="e">
        <f t="shared" si="1"/>
        <v>#DIV/0!</v>
      </c>
    </row>
    <row r="22" spans="1:137" s="265" customFormat="1">
      <c r="B22" s="610" t="s">
        <v>841</v>
      </c>
      <c r="C22" s="611"/>
      <c r="D22" s="611"/>
      <c r="E22" s="620">
        <f>+E17+E18+E20+E21</f>
        <v>16284488766</v>
      </c>
      <c r="F22" s="620">
        <f t="shared" ref="F22:G22" si="4">+F17+F18+F20+F21</f>
        <v>6183545353</v>
      </c>
      <c r="G22" s="620">
        <f t="shared" si="4"/>
        <v>6183159844</v>
      </c>
      <c r="H22" s="613">
        <f t="shared" ref="H22:J22" si="5">SUM(H16:H21)</f>
        <v>6098029544</v>
      </c>
      <c r="I22" s="613">
        <f t="shared" si="5"/>
        <v>0</v>
      </c>
      <c r="J22" s="613">
        <f t="shared" si="5"/>
        <v>-6098029544</v>
      </c>
      <c r="EF22" s="265" t="e">
        <f t="shared" si="0"/>
        <v>#DIV/0!</v>
      </c>
      <c r="EG22" s="265" t="e">
        <f t="shared" si="1"/>
        <v>#DIV/0!</v>
      </c>
    </row>
    <row r="23" spans="1:137">
      <c r="B23" s="621" t="s">
        <v>487</v>
      </c>
      <c r="C23" s="622"/>
      <c r="D23" s="622"/>
      <c r="E23" s="623">
        <f>+E10+E15+E22</f>
        <v>23425878447</v>
      </c>
      <c r="F23" s="624">
        <f>+F10+F15+F22</f>
        <v>9386496505</v>
      </c>
      <c r="G23" s="624">
        <f>+G10+G15+G22</f>
        <v>9386110996</v>
      </c>
      <c r="H23" s="624">
        <f t="shared" ref="H23:I23" si="6">+H10+H15+H22</f>
        <v>8526202033</v>
      </c>
      <c r="I23" s="624">
        <f t="shared" si="6"/>
        <v>2428172535.0837221</v>
      </c>
      <c r="J23" s="624">
        <f>+J10+J15+J22</f>
        <v>-6098029497.9162779</v>
      </c>
      <c r="DZ23" s="884"/>
      <c r="EF23" t="e">
        <f t="shared" si="0"/>
        <v>#DIV/0!</v>
      </c>
      <c r="EG23" t="e">
        <f t="shared" si="1"/>
        <v>#DIV/0!</v>
      </c>
    </row>
    <row r="24" spans="1:137">
      <c r="E24" s="267">
        <v>23425878447</v>
      </c>
      <c r="F24" s="267">
        <v>9386496505</v>
      </c>
      <c r="G24" s="267">
        <v>9386110996</v>
      </c>
      <c r="DZ24" s="884"/>
    </row>
    <row r="25" spans="1:137">
      <c r="E25" s="739">
        <f>+E23-E24</f>
        <v>0</v>
      </c>
      <c r="F25" s="739">
        <f t="shared" ref="F25:G25" si="7">+F23-F24</f>
        <v>0</v>
      </c>
      <c r="G25" s="739">
        <f t="shared" si="7"/>
        <v>0</v>
      </c>
      <c r="DZ25" s="884"/>
    </row>
    <row r="26" spans="1:137">
      <c r="G26" s="267"/>
      <c r="J26" s="267"/>
      <c r="DZ26" s="884"/>
    </row>
    <row r="27" spans="1:137">
      <c r="A27" s="295"/>
      <c r="B27" s="1074" t="s">
        <v>842</v>
      </c>
      <c r="C27" s="1074"/>
      <c r="D27" s="1074"/>
      <c r="E27" s="1074"/>
      <c r="G27" s="747"/>
    </row>
    <row r="28" spans="1:137">
      <c r="A28" s="295"/>
      <c r="B28" s="625" t="s">
        <v>843</v>
      </c>
      <c r="C28" s="625"/>
      <c r="D28" s="625" t="s">
        <v>844</v>
      </c>
      <c r="E28" s="625"/>
      <c r="DZ28" s="884"/>
    </row>
    <row r="29" spans="1:137" ht="29">
      <c r="A29" s="295"/>
      <c r="B29" s="625" t="s">
        <v>845</v>
      </c>
      <c r="C29" s="625" t="s">
        <v>846</v>
      </c>
      <c r="D29" s="922" t="s">
        <v>1041</v>
      </c>
      <c r="E29" s="921" t="s">
        <v>1085</v>
      </c>
      <c r="H29" s="267"/>
      <c r="DZ29" s="884"/>
    </row>
    <row r="30" spans="1:137">
      <c r="A30" s="295"/>
      <c r="B30" s="576" t="s">
        <v>467</v>
      </c>
      <c r="C30" s="576" t="s">
        <v>468</v>
      </c>
      <c r="D30" s="580">
        <v>5000</v>
      </c>
      <c r="E30" s="580">
        <v>30000</v>
      </c>
      <c r="DZ30" s="884"/>
    </row>
    <row r="31" spans="1:137">
      <c r="A31" s="295"/>
      <c r="B31" s="576" t="s">
        <v>469</v>
      </c>
      <c r="C31" s="576" t="s">
        <v>470</v>
      </c>
      <c r="D31" s="580">
        <v>6315710</v>
      </c>
      <c r="E31" s="580">
        <v>480901838</v>
      </c>
      <c r="H31">
        <v>1590</v>
      </c>
      <c r="DZ31" s="884"/>
    </row>
    <row r="32" spans="1:137">
      <c r="A32" s="295"/>
      <c r="B32" s="576" t="s">
        <v>477</v>
      </c>
      <c r="C32" s="576" t="s">
        <v>478</v>
      </c>
      <c r="D32" s="580"/>
      <c r="E32" s="580">
        <v>52938227</v>
      </c>
      <c r="H32">
        <v>1531</v>
      </c>
      <c r="DZ32" s="884"/>
    </row>
    <row r="33" spans="1:130">
      <c r="A33" s="295"/>
      <c r="B33" s="626" t="s">
        <v>485</v>
      </c>
      <c r="C33" s="626" t="s">
        <v>486</v>
      </c>
      <c r="D33" s="627"/>
      <c r="E33" s="627">
        <v>9500</v>
      </c>
      <c r="DZ33" s="884"/>
    </row>
    <row r="34" spans="1:130">
      <c r="A34" s="295"/>
      <c r="B34" s="626" t="s">
        <v>847</v>
      </c>
      <c r="C34" s="626" t="s">
        <v>848</v>
      </c>
      <c r="D34" s="627">
        <v>117982753</v>
      </c>
      <c r="E34" s="627">
        <v>133176673</v>
      </c>
      <c r="DZ34" s="884"/>
    </row>
    <row r="35" spans="1:130">
      <c r="A35" s="295"/>
      <c r="B35" s="626" t="s">
        <v>849</v>
      </c>
      <c r="C35" s="626" t="s">
        <v>850</v>
      </c>
      <c r="D35" s="627">
        <v>1946234002</v>
      </c>
      <c r="E35" s="627">
        <v>15965659683</v>
      </c>
      <c r="DZ35" s="884"/>
    </row>
    <row r="36" spans="1:130">
      <c r="A36" s="295"/>
      <c r="B36" s="626" t="s">
        <v>851</v>
      </c>
      <c r="C36" s="626" t="s">
        <v>852</v>
      </c>
      <c r="D36" s="627">
        <v>62114361</v>
      </c>
      <c r="E36" s="627">
        <v>891070830</v>
      </c>
      <c r="DZ36" s="884"/>
    </row>
    <row r="37" spans="1:130">
      <c r="A37" s="295"/>
      <c r="B37" s="628" t="s">
        <v>487</v>
      </c>
      <c r="C37" s="628"/>
      <c r="D37" s="629">
        <f>SUM(D30:D36)</f>
        <v>2132651826</v>
      </c>
      <c r="E37" s="629">
        <f>SUM(E30:E36)</f>
        <v>17523786751</v>
      </c>
    </row>
    <row r="38" spans="1:130">
      <c r="DZ38" s="884"/>
    </row>
    <row r="39" spans="1:130" s="130" customFormat="1">
      <c r="D39" s="130">
        <v>2132651826</v>
      </c>
      <c r="E39" s="130">
        <v>17523786751</v>
      </c>
      <c r="H39" s="145"/>
    </row>
    <row r="40" spans="1:130">
      <c r="D40" s="904">
        <f>+D39-D37</f>
        <v>0</v>
      </c>
      <c r="E40" s="904">
        <f>+E39-E37</f>
        <v>0</v>
      </c>
      <c r="DZ40" s="884"/>
    </row>
    <row r="41" spans="1:130" hidden="1">
      <c r="B41" s="1075" t="s">
        <v>853</v>
      </c>
      <c r="C41" s="1075"/>
      <c r="D41" s="1075"/>
      <c r="DZ41" s="884"/>
    </row>
    <row r="42" spans="1:130" hidden="1">
      <c r="B42" s="428" t="s">
        <v>854</v>
      </c>
      <c r="C42" s="428"/>
      <c r="D42" s="428"/>
      <c r="DZ42" s="884"/>
    </row>
    <row r="43" spans="1:130" hidden="1">
      <c r="B43" s="429" t="s">
        <v>855</v>
      </c>
      <c r="C43" s="429" t="s">
        <v>856</v>
      </c>
      <c r="D43" s="429" t="s">
        <v>490</v>
      </c>
      <c r="DZ43" s="884"/>
    </row>
    <row r="44" spans="1:130" hidden="1">
      <c r="B44" s="430" t="s">
        <v>857</v>
      </c>
      <c r="C44" t="s">
        <v>858</v>
      </c>
      <c r="D44" s="267">
        <v>786345378</v>
      </c>
      <c r="DZ44" s="884"/>
    </row>
    <row r="45" spans="1:130" hidden="1">
      <c r="B45" s="431"/>
      <c r="C45" s="630" t="s">
        <v>859</v>
      </c>
      <c r="D45" s="267">
        <v>928320540</v>
      </c>
      <c r="DZ45" s="884"/>
    </row>
    <row r="46" spans="1:130" hidden="1">
      <c r="B46" s="265" t="s">
        <v>860</v>
      </c>
      <c r="C46" s="265"/>
      <c r="D46" s="432">
        <f>SUM(D44:D45)</f>
        <v>1714665918</v>
      </c>
      <c r="DZ46" s="884"/>
    </row>
    <row r="47" spans="1:130" hidden="1">
      <c r="B47" s="430" t="s">
        <v>861</v>
      </c>
      <c r="C47" t="s">
        <v>858</v>
      </c>
      <c r="D47" s="267">
        <v>104167840</v>
      </c>
      <c r="DZ47" s="884"/>
    </row>
    <row r="48" spans="1:130" hidden="1">
      <c r="B48" s="431"/>
      <c r="C48" s="630" t="s">
        <v>859</v>
      </c>
      <c r="D48" s="631">
        <v>955737476</v>
      </c>
      <c r="DZ48" s="884"/>
    </row>
    <row r="49" spans="2:130" hidden="1">
      <c r="B49" s="632" t="s">
        <v>862</v>
      </c>
      <c r="C49" s="632"/>
      <c r="D49" s="633">
        <f>SUM(D47:D48)</f>
        <v>1059905316</v>
      </c>
      <c r="DZ49" s="884"/>
    </row>
    <row r="50" spans="2:130" hidden="1">
      <c r="B50" s="634" t="s">
        <v>487</v>
      </c>
      <c r="C50" s="634"/>
      <c r="D50" s="635">
        <f>+D46+D49</f>
        <v>2774571234</v>
      </c>
    </row>
    <row r="51" spans="2:130" hidden="1"/>
    <row r="52" spans="2:130" hidden="1"/>
    <row r="53" spans="2:130" hidden="1"/>
    <row r="54" spans="2:130" hidden="1">
      <c r="B54" s="1075" t="s">
        <v>863</v>
      </c>
      <c r="C54" s="1075"/>
      <c r="D54" s="1075"/>
    </row>
    <row r="55" spans="2:130" hidden="1">
      <c r="B55" s="428" t="s">
        <v>506</v>
      </c>
      <c r="C55" s="428"/>
      <c r="D55" s="428"/>
    </row>
    <row r="56" spans="2:130" hidden="1">
      <c r="B56" s="429" t="s">
        <v>855</v>
      </c>
      <c r="C56" s="429" t="s">
        <v>856</v>
      </c>
      <c r="D56" s="429" t="s">
        <v>490</v>
      </c>
    </row>
    <row r="57" spans="2:130" hidden="1">
      <c r="B57" s="430" t="s">
        <v>857</v>
      </c>
      <c r="C57" t="s">
        <v>864</v>
      </c>
      <c r="D57" s="267"/>
    </row>
    <row r="58" spans="2:130" hidden="1">
      <c r="B58" s="632"/>
      <c r="C58" t="s">
        <v>859</v>
      </c>
      <c r="D58" s="267"/>
    </row>
    <row r="59" spans="2:130" hidden="1">
      <c r="B59" s="431" t="s">
        <v>860</v>
      </c>
      <c r="C59" s="431"/>
      <c r="D59" s="432">
        <f>SUM(D57:D58)</f>
        <v>0</v>
      </c>
    </row>
    <row r="60" spans="2:130" hidden="1">
      <c r="B60" s="430" t="s">
        <v>861</v>
      </c>
      <c r="C60" s="636" t="s">
        <v>864</v>
      </c>
      <c r="D60" s="637">
        <v>25591457</v>
      </c>
    </row>
    <row r="61" spans="2:130" hidden="1">
      <c r="C61" t="s">
        <v>859</v>
      </c>
      <c r="D61" s="267">
        <v>156263794</v>
      </c>
    </row>
    <row r="62" spans="2:130" hidden="1">
      <c r="B62" s="431" t="s">
        <v>862</v>
      </c>
      <c r="C62" s="431"/>
      <c r="D62" s="432">
        <f>+D61+D60</f>
        <v>181855251</v>
      </c>
    </row>
    <row r="63" spans="2:130" hidden="1">
      <c r="B63" s="634" t="s">
        <v>487</v>
      </c>
      <c r="C63" s="634"/>
      <c r="D63" s="635">
        <f>+D59+D62</f>
        <v>181855251</v>
      </c>
    </row>
    <row r="64" spans="2:130">
      <c r="C64" s="884"/>
      <c r="D64" s="884"/>
      <c r="E64" s="884"/>
      <c r="F64" s="884"/>
      <c r="G64" s="884"/>
      <c r="H64" s="932" t="s">
        <v>1022</v>
      </c>
      <c r="I64" s="932"/>
    </row>
    <row r="65" spans="2:11" ht="16.5" customHeight="1">
      <c r="C65" s="810"/>
      <c r="D65" s="811"/>
      <c r="E65" s="812"/>
      <c r="F65" s="295"/>
      <c r="G65" s="1076" t="s">
        <v>865</v>
      </c>
      <c r="H65" s="1077"/>
      <c r="I65" s="1077"/>
      <c r="J65" s="1078"/>
      <c r="K65" s="884"/>
    </row>
    <row r="66" spans="2:11" ht="16.5">
      <c r="C66" s="811"/>
      <c r="D66" s="811"/>
      <c r="E66" s="811"/>
      <c r="F66" s="295"/>
      <c r="G66" s="1070" t="s">
        <v>1088</v>
      </c>
      <c r="H66" s="1071"/>
      <c r="I66" s="1071"/>
      <c r="J66" s="1072"/>
      <c r="K66" s="638"/>
    </row>
    <row r="67" spans="2:11">
      <c r="C67" s="1069"/>
      <c r="D67" s="1069"/>
      <c r="E67" s="1069"/>
      <c r="F67" s="295"/>
      <c r="G67" s="699"/>
      <c r="H67" s="699"/>
      <c r="I67" s="699"/>
      <c r="J67" s="699"/>
      <c r="K67" s="884"/>
    </row>
    <row r="68" spans="2:11">
      <c r="C68" s="813"/>
      <c r="D68" s="813"/>
      <c r="E68" s="813"/>
      <c r="F68" s="295"/>
      <c r="G68" s="699" t="s">
        <v>866</v>
      </c>
      <c r="H68" s="640" t="s">
        <v>867</v>
      </c>
      <c r="I68" s="640" t="s">
        <v>868</v>
      </c>
      <c r="J68" s="640" t="s">
        <v>869</v>
      </c>
      <c r="K68" s="884"/>
    </row>
    <row r="69" spans="2:11">
      <c r="C69" s="814"/>
      <c r="D69" s="815"/>
      <c r="E69" s="386"/>
      <c r="F69" s="295"/>
      <c r="G69" s="639" t="s">
        <v>866</v>
      </c>
      <c r="H69" s="641">
        <v>1981716593</v>
      </c>
      <c r="I69" s="641">
        <v>1980470962</v>
      </c>
      <c r="J69" s="641"/>
    </row>
    <row r="70" spans="2:11">
      <c r="C70" s="814"/>
      <c r="D70" s="815"/>
      <c r="E70" s="386"/>
      <c r="F70" s="295"/>
      <c r="G70" s="639"/>
      <c r="H70" s="641">
        <v>888249094</v>
      </c>
      <c r="I70" s="641">
        <v>645966256</v>
      </c>
      <c r="J70" s="641"/>
    </row>
    <row r="71" spans="2:11">
      <c r="C71" s="813"/>
      <c r="D71" s="816"/>
      <c r="E71" s="386"/>
      <c r="F71" s="295"/>
      <c r="G71" s="628" t="s">
        <v>490</v>
      </c>
      <c r="H71" s="629">
        <f>SUM(H69:H70)</f>
        <v>2869965687</v>
      </c>
      <c r="I71" s="629">
        <f>SUM(I69:I70)</f>
        <v>2626437218</v>
      </c>
      <c r="J71" s="629">
        <f>+I71-H71</f>
        <v>-243528469</v>
      </c>
      <c r="K71" s="642">
        <f>+J71/1000000</f>
        <v>-243.528469</v>
      </c>
    </row>
    <row r="72" spans="2:11">
      <c r="C72" s="643"/>
      <c r="D72" s="923" t="s">
        <v>1086</v>
      </c>
      <c r="E72" s="295"/>
      <c r="F72" s="295"/>
    </row>
    <row r="73" spans="2:11" ht="15" customHeight="1">
      <c r="C73" s="909" t="s">
        <v>1083</v>
      </c>
      <c r="D73" s="909"/>
      <c r="E73" s="925">
        <v>138585598</v>
      </c>
      <c r="F73" s="295"/>
      <c r="H73" s="267">
        <f>+[4]Folha1!$B$5</f>
        <v>2869965687</v>
      </c>
      <c r="I73" s="267">
        <f>+[4]Folha1!$C$5</f>
        <v>2626437218</v>
      </c>
    </row>
    <row r="74" spans="2:11" ht="16.5">
      <c r="C74" s="644" t="s">
        <v>870</v>
      </c>
      <c r="D74" s="645"/>
      <c r="E74" s="924"/>
      <c r="F74" s="268"/>
      <c r="H74" s="267">
        <f>+H71-H73</f>
        <v>0</v>
      </c>
      <c r="I74" s="267">
        <f>+I71-I73</f>
        <v>0</v>
      </c>
      <c r="J74" s="267"/>
    </row>
    <row r="75" spans="2:11" ht="16.5">
      <c r="C75" s="644" t="s">
        <v>871</v>
      </c>
      <c r="D75" s="645"/>
      <c r="E75" s="924"/>
      <c r="F75" s="295"/>
    </row>
    <row r="76" spans="2:11" ht="16.5">
      <c r="C76" s="644" t="s">
        <v>872</v>
      </c>
      <c r="D76" s="645"/>
      <c r="E76" s="926">
        <v>0</v>
      </c>
      <c r="F76" s="268"/>
    </row>
    <row r="77" spans="2:11" ht="16.5">
      <c r="C77" s="646" t="s">
        <v>490</v>
      </c>
      <c r="D77" s="645"/>
      <c r="E77" s="861">
        <f>+E73+E76</f>
        <v>138585598</v>
      </c>
      <c r="F77" s="647"/>
      <c r="H77" s="648"/>
    </row>
    <row r="78" spans="2:11">
      <c r="H78" s="649"/>
    </row>
    <row r="79" spans="2:11" ht="15" thickBot="1">
      <c r="H79" s="649"/>
    </row>
    <row r="80" spans="2:11" s="806" customFormat="1" ht="15" thickBot="1">
      <c r="B80" s="809"/>
      <c r="C80" s="913" t="s">
        <v>1078</v>
      </c>
      <c r="D80" s="914" t="s">
        <v>650</v>
      </c>
      <c r="E80" s="808"/>
      <c r="H80" s="807"/>
    </row>
    <row r="81" spans="2:8" ht="15" thickBot="1">
      <c r="B81" s="651"/>
      <c r="C81" s="915" t="s">
        <v>1079</v>
      </c>
      <c r="D81" s="916" t="s">
        <v>1080</v>
      </c>
      <c r="H81" s="648"/>
    </row>
    <row r="82" spans="2:8" ht="15" thickBot="1">
      <c r="B82" s="651"/>
      <c r="C82" s="917" t="s">
        <v>1081</v>
      </c>
      <c r="D82" s="918" t="s">
        <v>1082</v>
      </c>
      <c r="G82" s="912"/>
    </row>
    <row r="83" spans="2:8" ht="15" thickBot="1">
      <c r="B83" s="651"/>
      <c r="C83" s="919" t="s">
        <v>490</v>
      </c>
      <c r="D83" s="920" t="s">
        <v>1082</v>
      </c>
    </row>
    <row r="84" spans="2:8">
      <c r="B84" s="651"/>
      <c r="C84" s="650"/>
    </row>
    <row r="85" spans="2:8">
      <c r="B85" s="651"/>
      <c r="C85" s="650"/>
    </row>
    <row r="86" spans="2:8">
      <c r="B86" s="651"/>
      <c r="C86" s="650"/>
    </row>
    <row r="87" spans="2:8">
      <c r="B87" s="652"/>
      <c r="G87" s="912"/>
    </row>
    <row r="88" spans="2:8">
      <c r="B88" s="651"/>
    </row>
  </sheetData>
  <mergeCells count="7">
    <mergeCell ref="C67:E67"/>
    <mergeCell ref="G66:J66"/>
    <mergeCell ref="B4:G4"/>
    <mergeCell ref="B27:E27"/>
    <mergeCell ref="B41:D41"/>
    <mergeCell ref="B54:D54"/>
    <mergeCell ref="G65:J65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3:EG84"/>
  <sheetViews>
    <sheetView topLeftCell="C74" zoomScale="98" zoomScaleNormal="98" workbookViewId="0">
      <selection activeCell="F66" sqref="F66"/>
    </sheetView>
  </sheetViews>
  <sheetFormatPr defaultRowHeight="14.5"/>
  <cols>
    <col min="1" max="1" width="21.26953125" customWidth="1"/>
    <col min="2" max="2" width="27" bestFit="1" customWidth="1"/>
    <col min="3" max="3" width="68.26953125" customWidth="1"/>
    <col min="4" max="4" width="11.1796875" bestFit="1" customWidth="1"/>
    <col min="5" max="5" width="11.453125" bestFit="1" customWidth="1"/>
    <col min="6" max="6" width="14" bestFit="1" customWidth="1"/>
    <col min="7" max="7" width="10.453125" bestFit="1" customWidth="1"/>
    <col min="8" max="8" width="11.453125" bestFit="1" customWidth="1"/>
    <col min="9" max="9" width="65.453125" customWidth="1"/>
    <col min="10" max="10" width="9.453125" bestFit="1" customWidth="1"/>
    <col min="118" max="122" width="0" hidden="1" customWidth="1"/>
    <col min="130" max="130" width="8" customWidth="1"/>
    <col min="131" max="134" width="0" hidden="1" customWidth="1"/>
  </cols>
  <sheetData>
    <row r="3" spans="1:137" ht="15" customHeight="1"/>
    <row r="4" spans="1:137" ht="15" customHeight="1">
      <c r="EF4" t="e">
        <f>+DZ4/DS4*100</f>
        <v>#DIV/0!</v>
      </c>
      <c r="EG4" t="e">
        <f>+(DZ4/DM4-1)*100</f>
        <v>#DIV/0!</v>
      </c>
    </row>
    <row r="5" spans="1:137" s="265" customFormat="1">
      <c r="EF5" s="265" t="e">
        <f t="shared" ref="EF5:EF23" si="0">+DZ5/DS5*100</f>
        <v>#DIV/0!</v>
      </c>
      <c r="EG5" s="265" t="e">
        <f t="shared" ref="EG5:EG23" si="1">+(DZ5/DM5-1)*100</f>
        <v>#DIV/0!</v>
      </c>
    </row>
    <row r="6" spans="1:137" s="265" customFormat="1">
      <c r="EF6" s="265" t="e">
        <f t="shared" si="0"/>
        <v>#DIV/0!</v>
      </c>
      <c r="EG6" s="265" t="e">
        <f t="shared" si="1"/>
        <v>#DIV/0!</v>
      </c>
    </row>
    <row r="7" spans="1:137">
      <c r="A7" s="1079" t="s">
        <v>873</v>
      </c>
      <c r="B7" s="1079"/>
      <c r="C7" s="1079"/>
      <c r="D7" s="1079"/>
      <c r="E7" s="1079"/>
      <c r="F7" s="1079"/>
      <c r="G7" s="1079"/>
      <c r="H7" s="1079"/>
      <c r="DZ7" s="884"/>
      <c r="EF7" t="e">
        <f t="shared" si="0"/>
        <v>#DIV/0!</v>
      </c>
      <c r="EG7" t="e">
        <f t="shared" si="1"/>
        <v>#DIV/0!</v>
      </c>
    </row>
    <row r="8" spans="1:137">
      <c r="A8" s="653" t="s">
        <v>874</v>
      </c>
      <c r="B8" s="654"/>
      <c r="C8" s="654"/>
      <c r="D8" s="655" t="s">
        <v>875</v>
      </c>
      <c r="E8" s="656"/>
      <c r="F8" s="655"/>
      <c r="G8" s="657"/>
      <c r="H8" s="657"/>
      <c r="I8" s="657"/>
      <c r="J8" s="657"/>
      <c r="DZ8" s="884"/>
      <c r="EF8" t="e">
        <f t="shared" si="0"/>
        <v>#DIV/0!</v>
      </c>
      <c r="EG8" t="e">
        <f t="shared" si="1"/>
        <v>#DIV/0!</v>
      </c>
    </row>
    <row r="9" spans="1:137">
      <c r="A9" s="658" t="s">
        <v>876</v>
      </c>
      <c r="B9" s="658" t="s">
        <v>877</v>
      </c>
      <c r="C9" s="658" t="s">
        <v>878</v>
      </c>
      <c r="D9" s="659" t="s">
        <v>879</v>
      </c>
      <c r="E9" s="660" t="s">
        <v>880</v>
      </c>
      <c r="F9" s="661" t="s">
        <v>881</v>
      </c>
      <c r="G9" s="657"/>
      <c r="H9" s="657"/>
      <c r="I9" s="657"/>
      <c r="J9" s="657"/>
      <c r="DZ9" s="884"/>
      <c r="EF9" t="e">
        <f t="shared" si="0"/>
        <v>#DIV/0!</v>
      </c>
      <c r="EG9" t="e">
        <f t="shared" si="1"/>
        <v>#DIV/0!</v>
      </c>
    </row>
    <row r="10" spans="1:137" ht="15" thickBot="1">
      <c r="A10" s="658"/>
      <c r="B10" s="658"/>
      <c r="C10" s="658"/>
      <c r="D10" s="659"/>
      <c r="E10" s="660"/>
      <c r="F10" s="661"/>
      <c r="G10" s="657"/>
      <c r="H10" s="657"/>
      <c r="I10" s="657"/>
      <c r="J10" s="657"/>
      <c r="DZ10" s="884"/>
      <c r="EF10" t="e">
        <f t="shared" si="0"/>
        <v>#DIV/0!</v>
      </c>
      <c r="EG10" t="e">
        <f t="shared" si="1"/>
        <v>#DIV/0!</v>
      </c>
    </row>
    <row r="11" spans="1:137">
      <c r="A11" s="662" t="s">
        <v>882</v>
      </c>
      <c r="B11" s="663"/>
      <c r="C11" s="664" t="s">
        <v>883</v>
      </c>
      <c r="D11" s="665" t="s">
        <v>879</v>
      </c>
      <c r="E11" s="665" t="s">
        <v>884</v>
      </c>
      <c r="F11" s="664" t="s">
        <v>885</v>
      </c>
      <c r="G11" s="664" t="s">
        <v>886</v>
      </c>
      <c r="H11" s="666" t="s">
        <v>886</v>
      </c>
      <c r="I11" s="667" t="s">
        <v>887</v>
      </c>
      <c r="J11" s="668" t="s">
        <v>888</v>
      </c>
      <c r="DZ11" s="884"/>
      <c r="EF11" t="e">
        <f t="shared" si="0"/>
        <v>#DIV/0!</v>
      </c>
      <c r="EG11" t="e">
        <f t="shared" si="1"/>
        <v>#DIV/0!</v>
      </c>
    </row>
    <row r="12" spans="1:137">
      <c r="A12" s="669" t="s">
        <v>889</v>
      </c>
      <c r="B12" s="670" t="s">
        <v>890</v>
      </c>
      <c r="C12" s="670" t="s">
        <v>891</v>
      </c>
      <c r="D12" s="671">
        <v>91402437</v>
      </c>
      <c r="E12" s="671">
        <v>90685197</v>
      </c>
      <c r="F12" s="672">
        <f>+D12-E12</f>
        <v>717240</v>
      </c>
      <c r="G12" s="673" t="s">
        <v>892</v>
      </c>
      <c r="H12" s="674" t="s">
        <v>893</v>
      </c>
      <c r="I12" s="675">
        <f t="shared" ref="I12:I36" si="2">+F12/$F$41</f>
        <v>1.3059668945331023E-3</v>
      </c>
      <c r="J12" s="676"/>
      <c r="DZ12" s="884"/>
      <c r="EF12" t="e">
        <f t="shared" si="0"/>
        <v>#DIV/0!</v>
      </c>
      <c r="EG12" t="e">
        <f t="shared" si="1"/>
        <v>#DIV/0!</v>
      </c>
    </row>
    <row r="13" spans="1:137">
      <c r="A13" s="677"/>
      <c r="B13" s="670" t="s">
        <v>894</v>
      </c>
      <c r="C13" s="670" t="s">
        <v>895</v>
      </c>
      <c r="D13" s="671">
        <v>441834036</v>
      </c>
      <c r="E13" s="671">
        <v>293850989</v>
      </c>
      <c r="F13" s="672">
        <f t="shared" ref="F13:F35" si="3">+D13-E13</f>
        <v>147983047</v>
      </c>
      <c r="G13" s="673" t="s">
        <v>896</v>
      </c>
      <c r="H13" s="674" t="s">
        <v>893</v>
      </c>
      <c r="I13" s="675">
        <f t="shared" si="2"/>
        <v>0.26945089556373897</v>
      </c>
      <c r="J13" s="676"/>
      <c r="DZ13" s="884"/>
      <c r="EF13" t="e">
        <f t="shared" si="0"/>
        <v>#DIV/0!</v>
      </c>
      <c r="EG13" t="e">
        <f t="shared" si="1"/>
        <v>#DIV/0!</v>
      </c>
    </row>
    <row r="14" spans="1:137">
      <c r="A14" s="677"/>
      <c r="B14" s="670" t="s">
        <v>897</v>
      </c>
      <c r="C14" s="670" t="s">
        <v>898</v>
      </c>
      <c r="D14" s="671">
        <v>34341426</v>
      </c>
      <c r="E14" s="671">
        <v>7520939</v>
      </c>
      <c r="F14" s="672">
        <f t="shared" si="3"/>
        <v>26820487</v>
      </c>
      <c r="G14" s="673" t="s">
        <v>899</v>
      </c>
      <c r="H14" s="674" t="s">
        <v>900</v>
      </c>
      <c r="I14" s="675">
        <f t="shared" si="2"/>
        <v>4.8835352346851039E-2</v>
      </c>
      <c r="J14" s="676">
        <f>SUM(D14:D36)</f>
        <v>455567574</v>
      </c>
      <c r="EF14" t="e">
        <f t="shared" si="0"/>
        <v>#DIV/0!</v>
      </c>
      <c r="EG14" t="e">
        <f t="shared" si="1"/>
        <v>#DIV/0!</v>
      </c>
    </row>
    <row r="15" spans="1:137">
      <c r="A15" s="677"/>
      <c r="B15" s="670" t="s">
        <v>901</v>
      </c>
      <c r="C15" s="670" t="s">
        <v>902</v>
      </c>
      <c r="D15" s="671">
        <v>36649278</v>
      </c>
      <c r="E15" s="678">
        <v>0</v>
      </c>
      <c r="F15" s="672">
        <f t="shared" si="3"/>
        <v>36649278</v>
      </c>
      <c r="G15" s="673" t="s">
        <v>899</v>
      </c>
      <c r="H15" s="674" t="s">
        <v>900</v>
      </c>
      <c r="I15" s="675">
        <f t="shared" si="2"/>
        <v>6.6731838403519525E-2</v>
      </c>
      <c r="J15" s="676"/>
      <c r="DZ15" s="884"/>
      <c r="EF15" t="e">
        <f t="shared" si="0"/>
        <v>#DIV/0!</v>
      </c>
      <c r="EG15" t="e">
        <f t="shared" si="1"/>
        <v>#DIV/0!</v>
      </c>
    </row>
    <row r="16" spans="1:137">
      <c r="A16" s="677"/>
      <c r="B16" s="670" t="s">
        <v>903</v>
      </c>
      <c r="C16" s="670" t="s">
        <v>904</v>
      </c>
      <c r="D16" s="671">
        <v>27556464</v>
      </c>
      <c r="E16" s="671">
        <v>7556558</v>
      </c>
      <c r="F16" s="672">
        <f t="shared" si="3"/>
        <v>19999906</v>
      </c>
      <c r="G16" s="673" t="s">
        <v>899</v>
      </c>
      <c r="H16" s="674" t="s">
        <v>900</v>
      </c>
      <c r="I16" s="675">
        <f t="shared" si="2"/>
        <v>3.6416283433402988E-2</v>
      </c>
      <c r="J16" s="676"/>
      <c r="EF16" t="e">
        <f t="shared" si="0"/>
        <v>#DIV/0!</v>
      </c>
      <c r="EG16" t="e">
        <f t="shared" si="1"/>
        <v>#DIV/0!</v>
      </c>
    </row>
    <row r="17" spans="1:137">
      <c r="A17" s="677"/>
      <c r="B17" s="670" t="s">
        <v>905</v>
      </c>
      <c r="C17" s="670" t="s">
        <v>906</v>
      </c>
      <c r="D17" s="671">
        <v>38295600</v>
      </c>
      <c r="E17" s="671">
        <v>0</v>
      </c>
      <c r="F17" s="672">
        <f t="shared" si="3"/>
        <v>38295600</v>
      </c>
      <c r="G17" s="673" t="s">
        <v>899</v>
      </c>
      <c r="H17" s="674" t="s">
        <v>900</v>
      </c>
      <c r="I17" s="675">
        <f t="shared" si="2"/>
        <v>6.9729498921256308E-2</v>
      </c>
      <c r="J17" s="676"/>
      <c r="EF17" t="e">
        <f t="shared" si="0"/>
        <v>#DIV/0!</v>
      </c>
      <c r="EG17" t="e">
        <f t="shared" si="1"/>
        <v>#DIV/0!</v>
      </c>
    </row>
    <row r="18" spans="1:137">
      <c r="A18" s="677"/>
      <c r="B18" s="670" t="s">
        <v>907</v>
      </c>
      <c r="C18" s="670" t="s">
        <v>908</v>
      </c>
      <c r="D18" s="671">
        <v>15507948</v>
      </c>
      <c r="E18" s="671">
        <v>4002535</v>
      </c>
      <c r="F18" s="672">
        <f t="shared" si="3"/>
        <v>11505413</v>
      </c>
      <c r="G18" s="673" t="s">
        <v>899</v>
      </c>
      <c r="H18" s="674" t="s">
        <v>900</v>
      </c>
      <c r="I18" s="675">
        <f t="shared" si="2"/>
        <v>2.0949317503110233E-2</v>
      </c>
      <c r="J18" s="676"/>
      <c r="DZ18" s="884"/>
      <c r="EF18" t="e">
        <f t="shared" si="0"/>
        <v>#DIV/0!</v>
      </c>
      <c r="EG18" t="e">
        <f t="shared" si="1"/>
        <v>#DIV/0!</v>
      </c>
    </row>
    <row r="19" spans="1:137">
      <c r="A19" s="677"/>
      <c r="B19" s="670" t="s">
        <v>909</v>
      </c>
      <c r="C19" s="670" t="s">
        <v>910</v>
      </c>
      <c r="D19" s="671">
        <v>17948238</v>
      </c>
      <c r="E19" s="671">
        <v>0</v>
      </c>
      <c r="F19" s="672">
        <f t="shared" si="3"/>
        <v>17948238</v>
      </c>
      <c r="G19" s="673" t="s">
        <v>899</v>
      </c>
      <c r="H19" s="674" t="s">
        <v>900</v>
      </c>
      <c r="I19" s="675">
        <f t="shared" si="2"/>
        <v>3.2680559705539312E-2</v>
      </c>
      <c r="J19" s="676"/>
      <c r="EF19" t="e">
        <f t="shared" si="0"/>
        <v>#DIV/0!</v>
      </c>
      <c r="EG19" t="e">
        <f t="shared" si="1"/>
        <v>#DIV/0!</v>
      </c>
    </row>
    <row r="20" spans="1:137">
      <c r="A20" s="677"/>
      <c r="B20" s="670" t="s">
        <v>911</v>
      </c>
      <c r="C20" s="670" t="s">
        <v>912</v>
      </c>
      <c r="D20" s="671">
        <v>23149044</v>
      </c>
      <c r="E20" s="671">
        <v>0</v>
      </c>
      <c r="F20" s="672">
        <f t="shared" si="3"/>
        <v>23149044</v>
      </c>
      <c r="G20" s="673" t="s">
        <v>899</v>
      </c>
      <c r="H20" s="674" t="s">
        <v>900</v>
      </c>
      <c r="I20" s="675">
        <f t="shared" si="2"/>
        <v>4.2150305482251613E-2</v>
      </c>
      <c r="J20" s="676"/>
      <c r="DZ20" s="884"/>
      <c r="EF20" t="e">
        <f t="shared" si="0"/>
        <v>#DIV/0!</v>
      </c>
      <c r="EG20" t="e">
        <f t="shared" si="1"/>
        <v>#DIV/0!</v>
      </c>
    </row>
    <row r="21" spans="1:137">
      <c r="A21" s="677"/>
      <c r="B21" s="670" t="s">
        <v>913</v>
      </c>
      <c r="C21" s="670" t="s">
        <v>914</v>
      </c>
      <c r="D21" s="671">
        <v>24577254</v>
      </c>
      <c r="E21" s="671">
        <v>7194632</v>
      </c>
      <c r="F21" s="672">
        <f t="shared" si="3"/>
        <v>17382622</v>
      </c>
      <c r="G21" s="673" t="s">
        <v>899</v>
      </c>
      <c r="H21" s="674" t="s">
        <v>900</v>
      </c>
      <c r="I21" s="675">
        <f t="shared" si="2"/>
        <v>3.1650673236549527E-2</v>
      </c>
      <c r="J21" s="676"/>
      <c r="DZ21" s="884"/>
      <c r="EF21" t="e">
        <f t="shared" si="0"/>
        <v>#DIV/0!</v>
      </c>
      <c r="EG21" t="e">
        <f t="shared" si="1"/>
        <v>#DIV/0!</v>
      </c>
    </row>
    <row r="22" spans="1:137">
      <c r="A22" s="677"/>
      <c r="B22" s="670" t="s">
        <v>915</v>
      </c>
      <c r="C22" s="670" t="s">
        <v>916</v>
      </c>
      <c r="D22" s="671">
        <v>20252622</v>
      </c>
      <c r="E22" s="671">
        <v>6445868</v>
      </c>
      <c r="F22" s="672">
        <f t="shared" si="3"/>
        <v>13806754</v>
      </c>
      <c r="G22" s="673" t="s">
        <v>899</v>
      </c>
      <c r="H22" s="674" t="s">
        <v>900</v>
      </c>
      <c r="I22" s="675">
        <f t="shared" si="2"/>
        <v>2.5139651504325594E-2</v>
      </c>
      <c r="J22" s="676"/>
      <c r="DZ22" s="884"/>
      <c r="EF22" t="e">
        <f t="shared" si="0"/>
        <v>#DIV/0!</v>
      </c>
      <c r="EG22" t="e">
        <f t="shared" si="1"/>
        <v>#DIV/0!</v>
      </c>
    </row>
    <row r="23" spans="1:137">
      <c r="A23" s="677"/>
      <c r="B23" s="670" t="s">
        <v>917</v>
      </c>
      <c r="C23" s="670" t="s">
        <v>918</v>
      </c>
      <c r="D23" s="671">
        <v>10554984</v>
      </c>
      <c r="E23" s="671">
        <v>0</v>
      </c>
      <c r="F23" s="672">
        <f t="shared" si="3"/>
        <v>10554984</v>
      </c>
      <c r="G23" s="673" t="s">
        <v>899</v>
      </c>
      <c r="H23" s="674" t="s">
        <v>900</v>
      </c>
      <c r="I23" s="675">
        <f t="shared" si="2"/>
        <v>1.9218754777099133E-2</v>
      </c>
      <c r="J23" s="676"/>
      <c r="DZ23" s="884"/>
      <c r="EF23" t="e">
        <f t="shared" si="0"/>
        <v>#DIV/0!</v>
      </c>
      <c r="EG23" t="e">
        <f t="shared" si="1"/>
        <v>#DIV/0!</v>
      </c>
    </row>
    <row r="24" spans="1:137">
      <c r="A24" s="677"/>
      <c r="B24" s="670" t="s">
        <v>919</v>
      </c>
      <c r="C24" s="670" t="s">
        <v>920</v>
      </c>
      <c r="D24" s="671">
        <v>16027740</v>
      </c>
      <c r="E24" s="671">
        <v>2666436</v>
      </c>
      <c r="F24" s="672">
        <f t="shared" si="3"/>
        <v>13361304</v>
      </c>
      <c r="G24" s="673" t="s">
        <v>899</v>
      </c>
      <c r="H24" s="674" t="s">
        <v>900</v>
      </c>
      <c r="I24" s="675">
        <f t="shared" si="2"/>
        <v>2.4328566019453345E-2</v>
      </c>
      <c r="J24" s="676"/>
      <c r="DZ24" s="884"/>
    </row>
    <row r="25" spans="1:137">
      <c r="A25" s="677"/>
      <c r="B25" s="670" t="s">
        <v>921</v>
      </c>
      <c r="C25" s="670" t="s">
        <v>922</v>
      </c>
      <c r="D25" s="671">
        <v>21720780</v>
      </c>
      <c r="E25" s="671">
        <v>0</v>
      </c>
      <c r="F25" s="672">
        <f t="shared" si="3"/>
        <v>21720780</v>
      </c>
      <c r="G25" s="673" t="s">
        <v>899</v>
      </c>
      <c r="H25" s="674" t="s">
        <v>900</v>
      </c>
      <c r="I25" s="675">
        <f t="shared" si="2"/>
        <v>3.9549689927272209E-2</v>
      </c>
      <c r="J25" s="676"/>
      <c r="DZ25" s="884"/>
    </row>
    <row r="26" spans="1:137">
      <c r="A26" s="677"/>
      <c r="B26" s="670" t="s">
        <v>923</v>
      </c>
      <c r="C26" s="670" t="s">
        <v>924</v>
      </c>
      <c r="D26" s="671">
        <v>29365884</v>
      </c>
      <c r="E26" s="671">
        <v>0</v>
      </c>
      <c r="F26" s="672">
        <f t="shared" si="3"/>
        <v>29365884</v>
      </c>
      <c r="G26" s="673" t="s">
        <v>899</v>
      </c>
      <c r="H26" s="674" t="s">
        <v>900</v>
      </c>
      <c r="I26" s="675">
        <f t="shared" si="2"/>
        <v>5.3470069060146279E-2</v>
      </c>
      <c r="J26" s="676"/>
      <c r="DZ26" s="884"/>
    </row>
    <row r="27" spans="1:137">
      <c r="A27" s="677"/>
      <c r="B27" s="670" t="s">
        <v>925</v>
      </c>
      <c r="C27" s="670" t="s">
        <v>926</v>
      </c>
      <c r="D27" s="671">
        <v>20348226</v>
      </c>
      <c r="E27" s="671">
        <v>0</v>
      </c>
      <c r="F27" s="672">
        <f t="shared" si="3"/>
        <v>20348226</v>
      </c>
      <c r="G27" s="673" t="s">
        <v>899</v>
      </c>
      <c r="H27" s="674" t="s">
        <v>900</v>
      </c>
      <c r="I27" s="675">
        <f t="shared" si="2"/>
        <v>3.7050512406555311E-2</v>
      </c>
      <c r="J27" s="676"/>
    </row>
    <row r="28" spans="1:137">
      <c r="A28" s="677"/>
      <c r="B28" s="670" t="s">
        <v>927</v>
      </c>
      <c r="C28" s="670" t="s">
        <v>928</v>
      </c>
      <c r="D28" s="671">
        <v>23806782</v>
      </c>
      <c r="E28" s="671">
        <v>4128575</v>
      </c>
      <c r="F28" s="672">
        <f t="shared" si="3"/>
        <v>19678207</v>
      </c>
      <c r="G28" s="673" t="s">
        <v>899</v>
      </c>
      <c r="H28" s="674" t="s">
        <v>900</v>
      </c>
      <c r="I28" s="675">
        <f t="shared" si="2"/>
        <v>3.5830526582133676E-2</v>
      </c>
      <c r="J28" s="676"/>
      <c r="DZ28" s="884"/>
    </row>
    <row r="29" spans="1:137">
      <c r="A29" s="677"/>
      <c r="B29" s="670" t="s">
        <v>929</v>
      </c>
      <c r="C29" s="670" t="s">
        <v>930</v>
      </c>
      <c r="D29" s="671">
        <v>9726444</v>
      </c>
      <c r="E29" s="671">
        <v>4396928</v>
      </c>
      <c r="F29" s="672">
        <f t="shared" si="3"/>
        <v>5329516</v>
      </c>
      <c r="G29" s="673" t="s">
        <v>899</v>
      </c>
      <c r="H29" s="674" t="s">
        <v>900</v>
      </c>
      <c r="I29" s="675">
        <f t="shared" si="2"/>
        <v>9.7041038702309988E-3</v>
      </c>
      <c r="J29" s="676"/>
      <c r="DZ29" s="884"/>
    </row>
    <row r="30" spans="1:137">
      <c r="A30" s="677"/>
      <c r="B30" s="670" t="s">
        <v>931</v>
      </c>
      <c r="C30" s="670" t="s">
        <v>932</v>
      </c>
      <c r="D30" s="671">
        <v>20193048</v>
      </c>
      <c r="E30" s="671">
        <v>9078617</v>
      </c>
      <c r="F30" s="672">
        <f t="shared" si="3"/>
        <v>11114431</v>
      </c>
      <c r="G30" s="673" t="s">
        <v>899</v>
      </c>
      <c r="H30" s="674" t="s">
        <v>900</v>
      </c>
      <c r="I30" s="675">
        <f t="shared" si="2"/>
        <v>2.0237408590670407E-2</v>
      </c>
      <c r="J30" s="676"/>
      <c r="DZ30" s="884"/>
    </row>
    <row r="31" spans="1:137">
      <c r="A31" s="677"/>
      <c r="B31" s="670" t="s">
        <v>933</v>
      </c>
      <c r="C31" s="670" t="s">
        <v>934</v>
      </c>
      <c r="D31" s="671">
        <v>17932288</v>
      </c>
      <c r="E31" s="671">
        <v>2074490</v>
      </c>
      <c r="F31" s="672">
        <f t="shared" si="3"/>
        <v>15857798</v>
      </c>
      <c r="G31" s="673" t="s">
        <v>899</v>
      </c>
      <c r="H31" s="674" t="s">
        <v>900</v>
      </c>
      <c r="I31" s="675">
        <f t="shared" si="2"/>
        <v>2.8874239038806034E-2</v>
      </c>
      <c r="J31" s="676"/>
      <c r="DZ31" s="884"/>
    </row>
    <row r="32" spans="1:137" s="265" customFormat="1">
      <c r="A32" s="677"/>
      <c r="B32" s="670" t="s">
        <v>935</v>
      </c>
      <c r="C32" s="670" t="s">
        <v>936</v>
      </c>
      <c r="D32" s="671">
        <v>0</v>
      </c>
      <c r="E32" s="671">
        <v>0</v>
      </c>
      <c r="F32" s="672">
        <f t="shared" si="3"/>
        <v>0</v>
      </c>
      <c r="G32" s="673" t="s">
        <v>899</v>
      </c>
      <c r="H32" s="674" t="s">
        <v>900</v>
      </c>
      <c r="I32" s="675">
        <f t="shared" si="2"/>
        <v>0</v>
      </c>
      <c r="J32" s="676"/>
    </row>
    <row r="33" spans="1:130" s="265" customFormat="1">
      <c r="A33" s="927"/>
      <c r="B33" s="928" t="s">
        <v>937</v>
      </c>
      <c r="C33" s="928" t="s">
        <v>938</v>
      </c>
      <c r="D33" s="929">
        <v>23273893</v>
      </c>
      <c r="E33" s="929">
        <v>0</v>
      </c>
      <c r="F33" s="672">
        <f t="shared" si="3"/>
        <v>23273893</v>
      </c>
      <c r="G33" s="673" t="s">
        <v>899</v>
      </c>
      <c r="H33" s="674" t="s">
        <v>900</v>
      </c>
      <c r="I33" s="675"/>
      <c r="J33" s="676"/>
    </row>
    <row r="34" spans="1:130" s="265" customFormat="1">
      <c r="A34" s="927"/>
      <c r="B34" s="928" t="s">
        <v>939</v>
      </c>
      <c r="C34" s="928" t="s">
        <v>940</v>
      </c>
      <c r="D34" s="929">
        <v>16421496</v>
      </c>
      <c r="E34" s="929">
        <v>0</v>
      </c>
      <c r="F34" s="672">
        <f t="shared" si="3"/>
        <v>16421496</v>
      </c>
      <c r="G34" s="673" t="s">
        <v>899</v>
      </c>
      <c r="H34" s="674" t="s">
        <v>900</v>
      </c>
      <c r="I34" s="675"/>
      <c r="J34" s="676"/>
    </row>
    <row r="35" spans="1:130" s="265" customFormat="1">
      <c r="A35" s="677"/>
      <c r="B35" s="670" t="s">
        <v>941</v>
      </c>
      <c r="C35" s="670" t="s">
        <v>942</v>
      </c>
      <c r="D35" s="671">
        <v>7918135</v>
      </c>
      <c r="E35" s="671">
        <v>0</v>
      </c>
      <c r="F35" s="672">
        <f t="shared" si="3"/>
        <v>7918135</v>
      </c>
      <c r="G35" s="673" t="s">
        <v>899</v>
      </c>
      <c r="H35" s="674" t="s">
        <v>900</v>
      </c>
      <c r="I35" s="675">
        <f t="shared" si="2"/>
        <v>1.4417520183542282E-2</v>
      </c>
      <c r="J35" s="676"/>
    </row>
    <row r="36" spans="1:130" s="265" customFormat="1">
      <c r="A36" s="677"/>
      <c r="B36" s="670"/>
      <c r="C36" s="670"/>
      <c r="D36" s="671"/>
      <c r="E36" s="671"/>
      <c r="F36" s="672"/>
      <c r="G36" s="673"/>
      <c r="H36" s="674"/>
      <c r="I36" s="675">
        <f t="shared" si="2"/>
        <v>0</v>
      </c>
      <c r="J36" s="676"/>
    </row>
    <row r="37" spans="1:130" s="265" customFormat="1">
      <c r="A37" s="677"/>
      <c r="B37" s="670"/>
      <c r="C37" s="670"/>
      <c r="D37" s="671"/>
      <c r="E37" s="671"/>
      <c r="F37" s="672">
        <f t="shared" ref="F37" si="4">+D37-E37</f>
        <v>0</v>
      </c>
      <c r="G37" s="673" t="s">
        <v>899</v>
      </c>
      <c r="H37" s="674" t="s">
        <v>900</v>
      </c>
      <c r="I37" s="675"/>
      <c r="J37" s="676"/>
    </row>
    <row r="38" spans="1:130" s="265" customFormat="1">
      <c r="A38" s="679" t="s">
        <v>943</v>
      </c>
      <c r="B38" s="670"/>
      <c r="C38" s="670"/>
      <c r="D38" s="680">
        <f>SUM(D12:D37)</f>
        <v>988804047</v>
      </c>
      <c r="E38" s="680">
        <f t="shared" ref="E38" si="5">SUM(E12:E37)</f>
        <v>439601764</v>
      </c>
      <c r="F38" s="680">
        <f>SUM(F12:F37)</f>
        <v>549202283</v>
      </c>
      <c r="G38" s="670"/>
      <c r="H38" s="681"/>
      <c r="I38" s="675">
        <f>+F38/$F$41</f>
        <v>1</v>
      </c>
      <c r="J38" s="655"/>
    </row>
    <row r="39" spans="1:130" hidden="1">
      <c r="A39" s="670" t="s">
        <v>944</v>
      </c>
      <c r="B39" s="670" t="s">
        <v>945</v>
      </c>
      <c r="C39" s="670" t="s">
        <v>946</v>
      </c>
      <c r="D39" s="671">
        <f>+D72</f>
        <v>0</v>
      </c>
      <c r="E39" s="671" t="e">
        <f>+#REF!</f>
        <v>#REF!</v>
      </c>
      <c r="F39" s="671" t="e">
        <f>+D39-E39</f>
        <v>#REF!</v>
      </c>
      <c r="G39" s="670"/>
      <c r="H39" s="681"/>
      <c r="I39" s="675" t="e">
        <f>+F39/$F$41</f>
        <v>#REF!</v>
      </c>
      <c r="J39" s="676"/>
    </row>
    <row r="40" spans="1:130" hidden="1">
      <c r="A40" s="679" t="s">
        <v>947</v>
      </c>
      <c r="B40" s="679"/>
      <c r="C40" s="679"/>
      <c r="D40" s="682"/>
      <c r="E40" s="682"/>
      <c r="F40" s="680"/>
      <c r="G40" s="679"/>
      <c r="H40" s="683"/>
      <c r="I40" s="684">
        <f>+F40/$F$41</f>
        <v>0</v>
      </c>
      <c r="J40" s="685"/>
      <c r="DZ40" s="884"/>
    </row>
    <row r="41" spans="1:130" ht="15" thickBot="1">
      <c r="A41" s="686" t="s">
        <v>487</v>
      </c>
      <c r="B41" s="687"/>
      <c r="C41" s="687"/>
      <c r="D41" s="688">
        <f>+D38</f>
        <v>988804047</v>
      </c>
      <c r="E41" s="688">
        <f>+E38</f>
        <v>439601764</v>
      </c>
      <c r="F41" s="824">
        <f>+F38</f>
        <v>549202283</v>
      </c>
      <c r="G41" s="689"/>
      <c r="H41" s="690"/>
      <c r="I41" s="684">
        <f>+F41/$F$41</f>
        <v>1</v>
      </c>
      <c r="J41" s="685"/>
      <c r="DZ41" s="884"/>
    </row>
    <row r="42" spans="1:130">
      <c r="A42" s="685"/>
      <c r="B42" s="685"/>
      <c r="C42" s="655"/>
      <c r="D42" s="691"/>
      <c r="E42" s="691"/>
      <c r="F42" s="691"/>
      <c r="G42" s="655"/>
      <c r="H42" s="655"/>
      <c r="I42" s="675"/>
      <c r="J42" s="655"/>
      <c r="DZ42" s="884"/>
    </row>
    <row r="43" spans="1:130">
      <c r="A43" s="685"/>
      <c r="B43" s="685"/>
      <c r="C43" s="655"/>
      <c r="D43" s="691">
        <f>+D41-D12-D13</f>
        <v>455567574</v>
      </c>
      <c r="E43" s="691"/>
      <c r="F43" s="691"/>
      <c r="G43" s="655"/>
      <c r="H43" s="655"/>
      <c r="I43" s="675"/>
      <c r="J43" s="655"/>
      <c r="DZ43" s="884"/>
    </row>
    <row r="44" spans="1:130">
      <c r="A44" s="685"/>
      <c r="B44" s="685"/>
      <c r="C44" s="655"/>
      <c r="D44" s="691">
        <f>SUM(D14:D37)</f>
        <v>455567574</v>
      </c>
      <c r="E44" s="691">
        <f>SUM(E14:E37)</f>
        <v>55065578</v>
      </c>
      <c r="F44" s="691"/>
      <c r="G44" s="655"/>
      <c r="H44" s="655"/>
      <c r="I44" s="675"/>
      <c r="J44" s="655"/>
      <c r="DZ44" s="884"/>
    </row>
    <row r="45" spans="1:130">
      <c r="A45" s="685"/>
      <c r="B45" s="685"/>
      <c r="C45" s="655"/>
      <c r="D45" s="691"/>
      <c r="E45" s="691"/>
      <c r="F45" s="691"/>
      <c r="G45" s="655"/>
      <c r="H45" s="655"/>
      <c r="I45" s="675"/>
      <c r="J45" s="655"/>
      <c r="DZ45" s="884"/>
    </row>
    <row r="46" spans="1:130">
      <c r="A46" s="685"/>
      <c r="B46" s="685"/>
      <c r="C46" s="655"/>
      <c r="D46" s="691"/>
      <c r="E46" s="691"/>
      <c r="F46" s="691"/>
      <c r="G46" s="655"/>
      <c r="H46" s="655"/>
      <c r="I46" s="675"/>
      <c r="J46" s="655"/>
      <c r="DZ46" s="884"/>
    </row>
    <row r="47" spans="1:130">
      <c r="A47" s="685"/>
      <c r="B47" s="685"/>
      <c r="C47" s="655"/>
      <c r="D47" s="691"/>
      <c r="E47" s="691"/>
      <c r="F47" s="691"/>
      <c r="G47" s="655"/>
      <c r="H47" s="655"/>
      <c r="I47" s="675"/>
      <c r="J47" s="655"/>
      <c r="DZ47" s="884"/>
    </row>
    <row r="48" spans="1:130">
      <c r="A48" s="657"/>
      <c r="B48" s="657"/>
      <c r="C48" s="657"/>
      <c r="D48" s="691"/>
      <c r="E48" s="691"/>
      <c r="F48" s="692"/>
      <c r="G48" s="657"/>
      <c r="H48" s="657"/>
      <c r="I48" s="657"/>
      <c r="J48" s="655"/>
      <c r="DZ48" s="884"/>
    </row>
    <row r="49" spans="1:130">
      <c r="A49" s="657"/>
      <c r="B49" s="657"/>
      <c r="C49" s="657"/>
      <c r="D49" s="691"/>
      <c r="E49" s="691"/>
      <c r="F49" s="657"/>
      <c r="G49" s="657"/>
      <c r="H49" s="657"/>
      <c r="I49" s="657"/>
      <c r="J49" s="657"/>
      <c r="DZ49" s="884"/>
    </row>
    <row r="50" spans="1:130">
      <c r="A50" s="657"/>
      <c r="B50" s="657"/>
      <c r="C50" s="657"/>
      <c r="D50" s="691"/>
      <c r="E50" s="691"/>
      <c r="F50" s="657"/>
      <c r="G50" s="692"/>
      <c r="H50" s="657"/>
      <c r="I50" s="657"/>
      <c r="J50" s="657"/>
      <c r="DZ50" s="884"/>
    </row>
    <row r="51" spans="1:130">
      <c r="A51" s="693"/>
      <c r="B51" s="693"/>
      <c r="C51" s="694" t="s">
        <v>948</v>
      </c>
      <c r="D51" s="693"/>
      <c r="E51" s="693"/>
      <c r="F51" s="693"/>
      <c r="G51" s="695"/>
      <c r="H51" s="693"/>
      <c r="I51" s="657"/>
      <c r="J51" s="657"/>
      <c r="DZ51" s="884"/>
    </row>
    <row r="52" spans="1:130">
      <c r="A52" s="696" t="s">
        <v>506</v>
      </c>
      <c r="B52" s="696"/>
      <c r="C52" s="696"/>
      <c r="D52" s="696" t="s">
        <v>875</v>
      </c>
      <c r="E52" s="696"/>
      <c r="F52" s="696"/>
      <c r="G52" s="1080" t="s">
        <v>949</v>
      </c>
      <c r="H52" s="1080" t="s">
        <v>950</v>
      </c>
      <c r="I52" s="657"/>
      <c r="J52" s="657"/>
    </row>
    <row r="53" spans="1:130">
      <c r="A53" s="697" t="s">
        <v>877</v>
      </c>
      <c r="B53" s="697" t="s">
        <v>878</v>
      </c>
      <c r="C53" s="698" t="s">
        <v>951</v>
      </c>
      <c r="D53" s="698" t="s">
        <v>879</v>
      </c>
      <c r="E53" s="698" t="s">
        <v>880</v>
      </c>
      <c r="F53" s="698" t="s">
        <v>487</v>
      </c>
      <c r="G53" s="1081"/>
      <c r="H53" s="1081"/>
      <c r="I53" s="657"/>
      <c r="J53" s="657"/>
    </row>
    <row r="54" spans="1:130">
      <c r="A54" s="265" t="s">
        <v>945</v>
      </c>
      <c r="B54" s="265" t="s">
        <v>946</v>
      </c>
      <c r="C54" s="826" t="s">
        <v>952</v>
      </c>
      <c r="D54" s="700">
        <v>100928250</v>
      </c>
      <c r="E54" s="700">
        <v>0</v>
      </c>
      <c r="F54" s="701">
        <f>+D54-E54</f>
        <v>100928250</v>
      </c>
      <c r="G54" s="702" t="s">
        <v>953</v>
      </c>
      <c r="H54" s="699">
        <v>12690854</v>
      </c>
      <c r="I54" s="295" t="s">
        <v>954</v>
      </c>
      <c r="J54" s="657"/>
    </row>
    <row r="55" spans="1:130">
      <c r="A55" s="265"/>
      <c r="B55" s="265"/>
      <c r="C55" s="825" t="s">
        <v>952</v>
      </c>
      <c r="D55" s="700">
        <v>99407659</v>
      </c>
      <c r="E55" s="700">
        <v>0</v>
      </c>
      <c r="F55" s="701">
        <f t="shared" ref="F55:F64" si="6">+D55-E55</f>
        <v>99407659</v>
      </c>
      <c r="G55" s="702" t="s">
        <v>955</v>
      </c>
      <c r="H55" s="699">
        <v>12869363</v>
      </c>
      <c r="I55" s="295" t="s">
        <v>954</v>
      </c>
      <c r="J55" s="657"/>
    </row>
    <row r="56" spans="1:130">
      <c r="A56" s="265"/>
      <c r="B56" s="265"/>
      <c r="C56" s="825" t="s">
        <v>952</v>
      </c>
      <c r="D56" s="700">
        <v>97887068</v>
      </c>
      <c r="E56" s="700">
        <v>0</v>
      </c>
      <c r="F56" s="701">
        <f t="shared" si="6"/>
        <v>97887068</v>
      </c>
      <c r="G56" s="702" t="s">
        <v>956</v>
      </c>
      <c r="H56" s="699">
        <v>13029372</v>
      </c>
      <c r="I56" s="295" t="s">
        <v>954</v>
      </c>
      <c r="J56" s="657"/>
    </row>
    <row r="57" spans="1:130">
      <c r="A57" s="265"/>
      <c r="B57" s="265"/>
      <c r="C57" s="703" t="s">
        <v>957</v>
      </c>
      <c r="D57" s="704">
        <v>966523</v>
      </c>
      <c r="E57" s="704">
        <v>966523</v>
      </c>
      <c r="F57" s="705">
        <f t="shared" si="6"/>
        <v>0</v>
      </c>
      <c r="G57" s="704" t="s">
        <v>958</v>
      </c>
      <c r="H57" s="706">
        <v>12496767</v>
      </c>
      <c r="I57" s="704" t="s">
        <v>959</v>
      </c>
      <c r="J57" s="657"/>
    </row>
    <row r="58" spans="1:130">
      <c r="A58" s="265"/>
      <c r="B58" s="265"/>
      <c r="C58" s="825" t="s">
        <v>960</v>
      </c>
      <c r="D58" s="700">
        <v>2348047</v>
      </c>
      <c r="E58" s="700">
        <v>0</v>
      </c>
      <c r="F58" s="701">
        <f t="shared" si="6"/>
        <v>2348047</v>
      </c>
      <c r="G58" s="702" t="s">
        <v>953</v>
      </c>
      <c r="H58" s="699">
        <v>12690811</v>
      </c>
      <c r="I58" s="707" t="s">
        <v>961</v>
      </c>
      <c r="J58" s="657"/>
    </row>
    <row r="59" spans="1:130">
      <c r="A59" s="265"/>
      <c r="B59" s="265"/>
      <c r="C59" s="825" t="s">
        <v>962</v>
      </c>
      <c r="D59" s="700">
        <v>2483416</v>
      </c>
      <c r="E59" s="700">
        <v>0</v>
      </c>
      <c r="F59" s="701">
        <f t="shared" si="6"/>
        <v>2483416</v>
      </c>
      <c r="G59" s="702" t="s">
        <v>963</v>
      </c>
      <c r="H59" s="699">
        <v>12550149</v>
      </c>
      <c r="I59" t="s">
        <v>964</v>
      </c>
      <c r="J59" s="657"/>
    </row>
    <row r="60" spans="1:130">
      <c r="A60" s="265"/>
      <c r="B60" s="265"/>
      <c r="C60" s="825" t="s">
        <v>965</v>
      </c>
      <c r="D60" s="700">
        <v>85000000</v>
      </c>
      <c r="E60" s="700">
        <v>0</v>
      </c>
      <c r="F60" s="701">
        <f t="shared" si="6"/>
        <v>85000000</v>
      </c>
      <c r="G60" s="702" t="s">
        <v>966</v>
      </c>
      <c r="H60" s="699">
        <v>12840620</v>
      </c>
      <c r="I60" s="707" t="s">
        <v>526</v>
      </c>
      <c r="J60" s="657"/>
    </row>
    <row r="61" spans="1:130">
      <c r="A61" s="265"/>
      <c r="B61" s="265"/>
      <c r="C61" s="825" t="s">
        <v>965</v>
      </c>
      <c r="D61" s="700">
        <v>81000000</v>
      </c>
      <c r="E61" s="700">
        <v>0</v>
      </c>
      <c r="F61" s="701">
        <f t="shared" si="6"/>
        <v>81000000</v>
      </c>
      <c r="G61" s="702" t="s">
        <v>967</v>
      </c>
      <c r="H61" s="699">
        <v>12954853</v>
      </c>
      <c r="I61" s="707" t="s">
        <v>526</v>
      </c>
      <c r="J61" s="657"/>
    </row>
    <row r="62" spans="1:130" s="884" customFormat="1">
      <c r="A62" s="265"/>
      <c r="B62" s="265"/>
      <c r="C62" s="825" t="s">
        <v>965</v>
      </c>
      <c r="D62" s="930">
        <v>121221303</v>
      </c>
      <c r="E62" s="930">
        <v>0</v>
      </c>
      <c r="F62" s="701">
        <f t="shared" si="6"/>
        <v>121221303</v>
      </c>
      <c r="G62" s="702" t="s">
        <v>1087</v>
      </c>
      <c r="H62" s="931">
        <v>13522517</v>
      </c>
      <c r="I62" s="707" t="s">
        <v>526</v>
      </c>
      <c r="J62" s="657"/>
    </row>
    <row r="63" spans="1:130">
      <c r="A63" s="265"/>
      <c r="B63" s="265"/>
      <c r="C63" s="703" t="s">
        <v>968</v>
      </c>
      <c r="D63" s="704">
        <v>3084000</v>
      </c>
      <c r="E63" s="704">
        <v>3084000</v>
      </c>
      <c r="F63" s="705">
        <f t="shared" si="6"/>
        <v>0</v>
      </c>
      <c r="G63" s="704" t="s">
        <v>958</v>
      </c>
      <c r="H63" s="706">
        <v>12496681</v>
      </c>
      <c r="I63" s="704" t="s">
        <v>959</v>
      </c>
      <c r="J63" s="657"/>
    </row>
    <row r="64" spans="1:130">
      <c r="A64" s="265"/>
      <c r="B64" s="265"/>
      <c r="C64" s="827" t="s">
        <v>969</v>
      </c>
      <c r="D64" s="700">
        <v>1290100</v>
      </c>
      <c r="E64" s="700">
        <v>0</v>
      </c>
      <c r="F64" s="701">
        <f t="shared" si="6"/>
        <v>1290100</v>
      </c>
      <c r="G64" s="702" t="s">
        <v>967</v>
      </c>
      <c r="H64" s="699">
        <v>12956552</v>
      </c>
      <c r="I64" s="295" t="s">
        <v>954</v>
      </c>
      <c r="J64" s="657"/>
    </row>
    <row r="65" spans="1:10">
      <c r="A65" s="265"/>
      <c r="B65" s="265"/>
      <c r="C65" s="708"/>
      <c r="D65" s="700"/>
      <c r="E65" s="700"/>
      <c r="F65" s="701"/>
      <c r="G65" s="702"/>
      <c r="H65" s="699"/>
      <c r="I65" s="295"/>
      <c r="J65" s="657"/>
    </row>
    <row r="66" spans="1:10">
      <c r="A66" s="709" t="s">
        <v>487</v>
      </c>
      <c r="B66" s="709"/>
      <c r="C66" s="709"/>
      <c r="D66" s="710">
        <f>SUM(D54:D65)</f>
        <v>595616366</v>
      </c>
      <c r="E66" s="710">
        <f>SUM(E54:E65)</f>
        <v>4050523</v>
      </c>
      <c r="F66" s="711">
        <f>SUM(F54:F65)</f>
        <v>591565843</v>
      </c>
      <c r="G66" s="712"/>
      <c r="H66" s="699"/>
      <c r="I66" s="713"/>
    </row>
    <row r="67" spans="1:10">
      <c r="A67" s="657"/>
      <c r="B67" s="657"/>
      <c r="C67" s="657"/>
      <c r="D67" s="714"/>
      <c r="E67" s="715"/>
      <c r="F67" s="657"/>
    </row>
    <row r="68" spans="1:10">
      <c r="A68" s="657"/>
      <c r="B68" s="657"/>
      <c r="C68" s="670"/>
      <c r="D68" s="716"/>
      <c r="E68" s="715"/>
      <c r="F68" s="692"/>
      <c r="G68" s="657"/>
      <c r="H68" s="657"/>
      <c r="I68" s="657"/>
      <c r="J68" s="657"/>
    </row>
    <row r="69" spans="1:10">
      <c r="A69" s="657"/>
      <c r="B69" s="657"/>
      <c r="C69" s="679" t="s">
        <v>513</v>
      </c>
      <c r="D69" s="682">
        <f>SUM(D70:D73)</f>
        <v>301996493</v>
      </c>
      <c r="E69" s="715"/>
      <c r="F69" s="692">
        <f>+F66-D74</f>
        <v>301996493</v>
      </c>
      <c r="G69" s="657"/>
      <c r="H69" s="657"/>
      <c r="I69" s="657"/>
      <c r="J69" s="657"/>
    </row>
    <row r="70" spans="1:10">
      <c r="A70" s="657"/>
      <c r="B70" s="657"/>
      <c r="C70" s="717" t="s">
        <v>515</v>
      </c>
      <c r="D70" s="704">
        <f>+F64+F54+F55+F56</f>
        <v>299513077</v>
      </c>
      <c r="E70" s="715"/>
      <c r="F70" s="657"/>
      <c r="G70" s="657"/>
      <c r="H70" s="657"/>
      <c r="I70" s="657"/>
      <c r="J70" s="657"/>
    </row>
    <row r="71" spans="1:10">
      <c r="A71" s="657"/>
      <c r="B71" s="657"/>
      <c r="C71" s="717" t="s">
        <v>517</v>
      </c>
      <c r="D71" s="704">
        <v>0</v>
      </c>
      <c r="E71" s="715"/>
      <c r="F71" s="657"/>
      <c r="G71" s="657"/>
      <c r="H71" s="657"/>
      <c r="I71" s="657"/>
      <c r="J71" s="657"/>
    </row>
    <row r="72" spans="1:10">
      <c r="A72" s="657"/>
      <c r="B72" s="657"/>
      <c r="C72" s="670" t="s">
        <v>520</v>
      </c>
      <c r="D72" s="716">
        <f>+F57+F63</f>
        <v>0</v>
      </c>
      <c r="E72" s="715"/>
      <c r="F72" s="657"/>
      <c r="G72" s="657"/>
      <c r="H72" s="692">
        <f>+D69+F38</f>
        <v>851198776</v>
      </c>
      <c r="I72" s="657"/>
      <c r="J72" s="657"/>
    </row>
    <row r="73" spans="1:10">
      <c r="A73" s="657"/>
      <c r="B73" s="657"/>
      <c r="C73" s="670" t="s">
        <v>522</v>
      </c>
      <c r="D73" s="704">
        <f>+F59</f>
        <v>2483416</v>
      </c>
      <c r="E73" s="715"/>
      <c r="F73" s="657"/>
      <c r="G73" s="657"/>
      <c r="H73" s="657"/>
      <c r="I73" s="657"/>
      <c r="J73" s="657"/>
    </row>
    <row r="74" spans="1:10">
      <c r="A74" s="657"/>
      <c r="B74" s="657"/>
      <c r="C74" s="679" t="s">
        <v>524</v>
      </c>
      <c r="D74" s="682">
        <f>SUM(D75:D76)</f>
        <v>289569350</v>
      </c>
      <c r="E74" s="715"/>
      <c r="F74" s="657"/>
      <c r="G74" s="657"/>
      <c r="H74" s="657"/>
      <c r="I74" s="657"/>
      <c r="J74" s="657"/>
    </row>
    <row r="75" spans="1:10">
      <c r="A75" s="657"/>
      <c r="B75" s="657"/>
      <c r="C75" s="717" t="s">
        <v>526</v>
      </c>
      <c r="D75" s="704">
        <f>+F58+F60+F61+F62</f>
        <v>289569350</v>
      </c>
      <c r="E75" s="715"/>
      <c r="F75" s="657"/>
      <c r="G75" s="657"/>
      <c r="H75" s="657"/>
      <c r="I75" s="657"/>
      <c r="J75" s="657"/>
    </row>
    <row r="76" spans="1:10">
      <c r="A76" s="657"/>
      <c r="B76" s="657"/>
      <c r="C76" s="699"/>
      <c r="D76" s="699"/>
      <c r="E76" s="718"/>
      <c r="F76" s="657"/>
      <c r="G76" s="657"/>
      <c r="H76" s="657"/>
      <c r="I76" s="692"/>
      <c r="J76" s="657"/>
    </row>
    <row r="77" spans="1:10">
      <c r="A77" s="657"/>
      <c r="B77" s="657"/>
      <c r="C77" s="679" t="s">
        <v>490</v>
      </c>
      <c r="D77" s="716">
        <f>+D69+D74</f>
        <v>591565843</v>
      </c>
      <c r="E77" s="719">
        <f>+F66-D77</f>
        <v>0</v>
      </c>
      <c r="F77" s="657"/>
      <c r="G77" s="657"/>
      <c r="H77" s="657"/>
      <c r="I77" s="657"/>
      <c r="J77" s="657"/>
    </row>
    <row r="78" spans="1:10">
      <c r="A78" s="657"/>
      <c r="B78" s="657"/>
      <c r="C78" s="670" t="s">
        <v>531</v>
      </c>
      <c r="D78" s="720"/>
      <c r="E78" s="718"/>
      <c r="F78" s="692"/>
      <c r="G78" s="657"/>
      <c r="H78" s="657"/>
      <c r="I78" s="657"/>
      <c r="J78" s="657"/>
    </row>
    <row r="79" spans="1:10">
      <c r="A79" s="657"/>
      <c r="B79" s="657"/>
      <c r="C79" s="657"/>
      <c r="D79" s="715"/>
      <c r="E79" s="718"/>
      <c r="F79" s="657"/>
      <c r="G79" s="657"/>
      <c r="H79" s="692"/>
      <c r="I79" s="692"/>
      <c r="J79" s="657"/>
    </row>
    <row r="80" spans="1:10">
      <c r="A80" s="657"/>
      <c r="B80" s="657"/>
      <c r="C80" s="657"/>
      <c r="D80" s="715"/>
      <c r="E80" s="715"/>
      <c r="F80" s="657"/>
      <c r="G80" s="657"/>
      <c r="H80" s="657"/>
      <c r="I80" s="692"/>
      <c r="J80" s="657"/>
    </row>
    <row r="81" spans="1:10">
      <c r="A81" s="657"/>
      <c r="B81" s="1082" t="s">
        <v>970</v>
      </c>
      <c r="C81" s="721" t="s">
        <v>971</v>
      </c>
      <c r="D81" s="716">
        <f>+D75</f>
        <v>289569350</v>
      </c>
      <c r="E81" s="715"/>
      <c r="F81" s="657"/>
      <c r="G81" s="657"/>
      <c r="H81" s="657"/>
      <c r="I81" s="692">
        <f>+D69+D74</f>
        <v>591565843</v>
      </c>
      <c r="J81" s="657"/>
    </row>
    <row r="82" spans="1:10">
      <c r="A82" s="657"/>
      <c r="B82" s="1082"/>
      <c r="C82" s="722" t="s">
        <v>972</v>
      </c>
      <c r="D82" s="716"/>
      <c r="E82" s="715"/>
      <c r="F82" s="657"/>
      <c r="G82" s="657"/>
      <c r="H82" s="692"/>
      <c r="I82" s="657"/>
      <c r="J82" s="657"/>
    </row>
    <row r="83" spans="1:10">
      <c r="A83" s="657"/>
      <c r="B83" s="657"/>
      <c r="C83" s="657"/>
      <c r="D83" s="718"/>
      <c r="E83" s="715"/>
      <c r="F83" s="657"/>
      <c r="G83" s="657"/>
      <c r="H83" s="657"/>
      <c r="I83" s="657"/>
      <c r="J83" s="657"/>
    </row>
    <row r="84" spans="1:10">
      <c r="A84" s="657"/>
      <c r="B84" s="657"/>
      <c r="C84" s="657"/>
      <c r="D84" s="715"/>
      <c r="E84" s="715"/>
      <c r="F84" s="657"/>
      <c r="G84" s="657"/>
      <c r="H84" s="657"/>
      <c r="I84" s="657"/>
      <c r="J84" s="657"/>
    </row>
  </sheetData>
  <mergeCells count="4">
    <mergeCell ref="A7:H7"/>
    <mergeCell ref="G52:G53"/>
    <mergeCell ref="H52:H53"/>
    <mergeCell ref="B81:B82"/>
  </mergeCells>
  <pageMargins left="0.7" right="0.7" top="0.75" bottom="0.75" header="0.3" footer="0.3"/>
  <pageSetup scale="44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8"/>
  <sheetViews>
    <sheetView topLeftCell="B1" zoomScale="71" zoomScaleNormal="71" workbookViewId="0">
      <selection activeCell="E6" sqref="E6"/>
    </sheetView>
  </sheetViews>
  <sheetFormatPr defaultRowHeight="14.5"/>
  <cols>
    <col min="2" max="2" width="57" style="730" customWidth="1"/>
    <col min="3" max="3" width="47.81640625" style="731" customWidth="1"/>
    <col min="4" max="4" width="37.1796875" style="374" customWidth="1"/>
    <col min="5" max="9" width="26" customWidth="1"/>
    <col min="12" max="12" width="9.81640625" bestFit="1" customWidth="1"/>
  </cols>
  <sheetData>
    <row r="1" spans="1:12" ht="15" thickBot="1">
      <c r="B1" s="723"/>
      <c r="C1" s="724"/>
      <c r="D1" s="725"/>
      <c r="E1" s="726"/>
      <c r="F1" s="726"/>
      <c r="G1" s="726"/>
      <c r="H1" s="726"/>
      <c r="I1" s="726"/>
    </row>
    <row r="2" spans="1:12" s="130" customFormat="1" ht="18.5" thickBot="1">
      <c r="A2" s="806"/>
      <c r="B2" s="831"/>
      <c r="C2" s="832"/>
      <c r="D2" s="832"/>
      <c r="E2" s="833"/>
      <c r="F2" s="834"/>
      <c r="G2" s="835"/>
      <c r="H2" s="835"/>
      <c r="I2" s="860"/>
      <c r="J2" s="806"/>
    </row>
    <row r="3" spans="1:12" ht="30" customHeight="1">
      <c r="B3" s="869" t="s">
        <v>973</v>
      </c>
      <c r="C3" s="870" t="s">
        <v>974</v>
      </c>
      <c r="D3" s="870" t="s">
        <v>975</v>
      </c>
      <c r="E3" s="871" t="s">
        <v>976</v>
      </c>
      <c r="F3" s="871" t="s">
        <v>977</v>
      </c>
      <c r="G3" s="871" t="s">
        <v>978</v>
      </c>
      <c r="H3" s="871" t="s">
        <v>979</v>
      </c>
      <c r="I3" s="872" t="s">
        <v>980</v>
      </c>
    </row>
    <row r="4" spans="1:12" ht="18" customHeight="1">
      <c r="B4" s="1097" t="s">
        <v>981</v>
      </c>
      <c r="C4" s="1100" t="s">
        <v>982</v>
      </c>
      <c r="D4" s="837" t="s">
        <v>983</v>
      </c>
      <c r="E4" s="836">
        <v>6200</v>
      </c>
      <c r="F4" s="836">
        <v>6200</v>
      </c>
      <c r="G4" s="836">
        <v>8.9368429999999996</v>
      </c>
      <c r="H4" s="836">
        <v>8.9368429999999996</v>
      </c>
      <c r="I4" s="840">
        <f>+H4/F4</f>
        <v>1.4414262903225806E-3</v>
      </c>
      <c r="L4">
        <v>1000000</v>
      </c>
    </row>
    <row r="5" spans="1:12" ht="18" customHeight="1">
      <c r="B5" s="1098"/>
      <c r="C5" s="1101"/>
      <c r="D5" s="837" t="s">
        <v>984</v>
      </c>
      <c r="E5" s="836">
        <v>175.47086999999999</v>
      </c>
      <c r="F5" s="836">
        <v>175.47086999999999</v>
      </c>
      <c r="G5" s="836">
        <v>7.0403900000000004</v>
      </c>
      <c r="H5" s="836">
        <v>7.0403900000000004</v>
      </c>
      <c r="I5" s="840">
        <f t="shared" ref="I5:I13" si="0">+H5/F5</f>
        <v>4.012284204210078E-2</v>
      </c>
    </row>
    <row r="6" spans="1:12" ht="18" customHeight="1">
      <c r="B6" s="1098"/>
      <c r="C6" s="1100" t="s">
        <v>985</v>
      </c>
      <c r="D6" s="837" t="s">
        <v>986</v>
      </c>
      <c r="E6" s="836">
        <v>6375.4708700000001</v>
      </c>
      <c r="F6" s="836">
        <v>6375.4708700000001</v>
      </c>
      <c r="G6" s="836">
        <v>15.977233</v>
      </c>
      <c r="H6" s="836">
        <v>15.977233</v>
      </c>
      <c r="I6" s="840">
        <f t="shared" si="0"/>
        <v>2.5060475258669012E-3</v>
      </c>
    </row>
    <row r="7" spans="1:12" ht="35">
      <c r="B7" s="1098"/>
      <c r="C7" s="1101"/>
      <c r="D7" s="837" t="s">
        <v>987</v>
      </c>
      <c r="E7" s="836">
        <v>404.99005799999998</v>
      </c>
      <c r="F7" s="836">
        <v>404.99005799999998</v>
      </c>
      <c r="G7" s="836">
        <v>0</v>
      </c>
      <c r="H7" s="836">
        <v>0</v>
      </c>
      <c r="I7" s="840">
        <f t="shared" si="0"/>
        <v>0</v>
      </c>
    </row>
    <row r="8" spans="1:12" ht="52.5">
      <c r="B8" s="1099"/>
      <c r="C8" s="874" t="s">
        <v>988</v>
      </c>
      <c r="D8" s="837" t="s">
        <v>989</v>
      </c>
      <c r="E8" s="836">
        <v>343.92880200000002</v>
      </c>
      <c r="F8" s="836">
        <v>343.92880200000002</v>
      </c>
      <c r="G8" s="836">
        <v>0</v>
      </c>
      <c r="H8" s="836">
        <v>0</v>
      </c>
      <c r="I8" s="840">
        <f t="shared" si="0"/>
        <v>0</v>
      </c>
      <c r="J8" s="267"/>
    </row>
    <row r="9" spans="1:12" ht="18" customHeight="1">
      <c r="B9" s="1083" t="s">
        <v>990</v>
      </c>
      <c r="C9" s="1084"/>
      <c r="D9" s="1084"/>
      <c r="E9" s="836">
        <v>748.91886</v>
      </c>
      <c r="F9" s="836">
        <v>748.91886</v>
      </c>
      <c r="G9" s="836">
        <v>0</v>
      </c>
      <c r="H9" s="836">
        <v>0</v>
      </c>
      <c r="I9" s="841">
        <f t="shared" si="0"/>
        <v>0</v>
      </c>
    </row>
    <row r="10" spans="1:12" ht="18" customHeight="1">
      <c r="B10" s="842" t="s">
        <v>991</v>
      </c>
      <c r="C10" s="727" t="s">
        <v>992</v>
      </c>
      <c r="D10" s="838" t="s">
        <v>993</v>
      </c>
      <c r="E10" s="836">
        <v>225.0000328350001</v>
      </c>
      <c r="F10" s="836">
        <v>225.00003283500004</v>
      </c>
      <c r="G10" s="836">
        <v>59.627743000000002</v>
      </c>
      <c r="H10" s="836">
        <v>59.627743000000002</v>
      </c>
      <c r="I10" s="843">
        <f t="shared" si="0"/>
        <v>0.26501215243700427</v>
      </c>
    </row>
    <row r="11" spans="1:12" ht="18" customHeight="1">
      <c r="B11" s="1083" t="s">
        <v>994</v>
      </c>
      <c r="C11" s="1084"/>
      <c r="D11" s="1084"/>
      <c r="E11" s="836">
        <v>225.0000328350001</v>
      </c>
      <c r="F11" s="836">
        <v>225.00003283500004</v>
      </c>
      <c r="G11" s="836">
        <v>59.627743000000002</v>
      </c>
      <c r="H11" s="836">
        <v>59.627743000000002</v>
      </c>
      <c r="I11" s="841">
        <f t="shared" si="0"/>
        <v>0.26501215243700427</v>
      </c>
    </row>
    <row r="12" spans="1:12" ht="18" customHeight="1">
      <c r="B12" s="1089" t="s">
        <v>995</v>
      </c>
      <c r="C12" s="1092" t="s">
        <v>996</v>
      </c>
      <c r="D12" s="839" t="s">
        <v>997</v>
      </c>
      <c r="E12" s="836">
        <v>7349.3897628349996</v>
      </c>
      <c r="F12" s="836">
        <v>7349.3897628349996</v>
      </c>
      <c r="G12" s="836">
        <v>75.604975999999994</v>
      </c>
      <c r="H12" s="836">
        <v>75.604975999999994</v>
      </c>
      <c r="I12" s="840">
        <f t="shared" si="0"/>
        <v>1.0287245395845716E-2</v>
      </c>
    </row>
    <row r="13" spans="1:12" ht="35">
      <c r="B13" s="1091"/>
      <c r="C13" s="1094"/>
      <c r="D13" s="839" t="s">
        <v>998</v>
      </c>
      <c r="E13" s="836">
        <v>184.81339199999999</v>
      </c>
      <c r="F13" s="836">
        <v>184.81339199999999</v>
      </c>
      <c r="G13" s="836">
        <v>107.972622</v>
      </c>
      <c r="H13" s="836">
        <v>107.972622</v>
      </c>
      <c r="I13" s="840">
        <f t="shared" si="0"/>
        <v>0.58422509771369813</v>
      </c>
    </row>
    <row r="14" spans="1:12" ht="18">
      <c r="B14" s="1095" t="s">
        <v>999</v>
      </c>
      <c r="C14" s="1096"/>
      <c r="D14" s="1096"/>
      <c r="E14" s="836">
        <v>111.20653440000001</v>
      </c>
      <c r="F14" s="836">
        <v>111.20653440000001</v>
      </c>
      <c r="G14" s="836">
        <v>37.404361999999999</v>
      </c>
      <c r="H14" s="836">
        <v>37.404361999999999</v>
      </c>
      <c r="I14" s="841">
        <f>+H14/F14</f>
        <v>0.33635039705004954</v>
      </c>
    </row>
    <row r="15" spans="1:12" ht="35">
      <c r="B15" s="1089" t="s">
        <v>1000</v>
      </c>
      <c r="C15" s="1092" t="s">
        <v>1001</v>
      </c>
      <c r="D15" s="839" t="s">
        <v>998</v>
      </c>
      <c r="E15" s="836">
        <v>296.01992639999997</v>
      </c>
      <c r="F15" s="836">
        <v>296.01992639999997</v>
      </c>
      <c r="G15" s="836">
        <v>145.37698399999999</v>
      </c>
      <c r="H15" s="836">
        <v>145.37698399999999</v>
      </c>
      <c r="I15" s="840">
        <f t="shared" ref="I15" si="1">+H15/F15</f>
        <v>0.4911053987749387</v>
      </c>
    </row>
    <row r="16" spans="1:12" ht="35">
      <c r="B16" s="1090"/>
      <c r="C16" s="1093"/>
      <c r="D16" s="839" t="s">
        <v>998</v>
      </c>
      <c r="E16" s="836">
        <v>296.01992639999997</v>
      </c>
      <c r="F16" s="836">
        <v>296.01992639999997</v>
      </c>
      <c r="G16" s="836">
        <v>145.37698399999999</v>
      </c>
      <c r="H16" s="836">
        <v>145.37698399999999</v>
      </c>
      <c r="I16" s="840"/>
    </row>
    <row r="17" spans="2:9" ht="18" customHeight="1">
      <c r="B17" s="1091"/>
      <c r="C17" s="1094"/>
      <c r="D17" s="839" t="s">
        <v>1002</v>
      </c>
      <c r="E17" s="836">
        <v>155.28296159999999</v>
      </c>
      <c r="F17" s="836">
        <v>155.28296159999999</v>
      </c>
      <c r="G17" s="836">
        <v>20.516356999999999</v>
      </c>
      <c r="H17" s="836">
        <v>20.516356999999999</v>
      </c>
      <c r="I17" s="840">
        <f>+H17/F17</f>
        <v>0.13212239635697418</v>
      </c>
    </row>
    <row r="18" spans="2:9" ht="18" customHeight="1">
      <c r="B18" s="1083" t="s">
        <v>1003</v>
      </c>
      <c r="C18" s="1084"/>
      <c r="D18" s="1084"/>
      <c r="E18" s="836">
        <v>155.28296159999999</v>
      </c>
      <c r="F18" s="836">
        <v>155.28296159999999</v>
      </c>
      <c r="G18" s="836">
        <v>20.516356999999999</v>
      </c>
      <c r="H18" s="836">
        <v>20.516356999999999</v>
      </c>
      <c r="I18" s="841">
        <f>+H18/F18</f>
        <v>0.13212239635697418</v>
      </c>
    </row>
    <row r="19" spans="2:9" ht="18" customHeight="1">
      <c r="B19" s="844" t="s">
        <v>1004</v>
      </c>
      <c r="C19" s="728" t="s">
        <v>1005</v>
      </c>
      <c r="D19" s="839" t="s">
        <v>997</v>
      </c>
      <c r="E19" s="836">
        <v>105.8008536</v>
      </c>
      <c r="F19" s="836">
        <v>105.8008536</v>
      </c>
      <c r="G19" s="836">
        <v>34.94211</v>
      </c>
      <c r="H19" s="836">
        <v>34.94211</v>
      </c>
      <c r="I19" s="840">
        <f t="shared" ref="I19" si="2">+H19/F19</f>
        <v>0.33026302540152663</v>
      </c>
    </row>
    <row r="20" spans="2:9" ht="18">
      <c r="B20" s="1083" t="s">
        <v>1006</v>
      </c>
      <c r="C20" s="1084"/>
      <c r="D20" s="1084"/>
      <c r="E20" s="836">
        <v>105.8008536</v>
      </c>
      <c r="F20" s="836">
        <v>105.8008536</v>
      </c>
      <c r="G20" s="836">
        <v>34.94211</v>
      </c>
      <c r="H20" s="836">
        <v>34.94211</v>
      </c>
      <c r="I20" s="845">
        <f>+H20/F20</f>
        <v>0.33026302540152663</v>
      </c>
    </row>
    <row r="21" spans="2:9" ht="52.5">
      <c r="B21" s="846" t="s">
        <v>1007</v>
      </c>
      <c r="C21" s="873" t="s">
        <v>1008</v>
      </c>
      <c r="D21" s="729" t="s">
        <v>998</v>
      </c>
      <c r="E21" s="836">
        <v>102.59262</v>
      </c>
      <c r="F21" s="836">
        <v>102.59262</v>
      </c>
      <c r="G21" s="836">
        <v>55.079152000000001</v>
      </c>
      <c r="H21" s="836">
        <v>55.079152000000001</v>
      </c>
      <c r="I21" s="840">
        <f t="shared" ref="I21:I22" si="3">+H21/F21</f>
        <v>0.53687245729761068</v>
      </c>
    </row>
    <row r="22" spans="2:9" ht="35">
      <c r="B22" s="844"/>
      <c r="C22" s="873" t="s">
        <v>1009</v>
      </c>
      <c r="D22" s="839" t="s">
        <v>998</v>
      </c>
      <c r="E22" s="836">
        <v>102.59262</v>
      </c>
      <c r="F22" s="836">
        <v>102.59262</v>
      </c>
      <c r="G22" s="836">
        <v>55.079152000000001</v>
      </c>
      <c r="H22" s="836">
        <v>55.079152000000001</v>
      </c>
      <c r="I22" s="840">
        <f t="shared" si="3"/>
        <v>0.53687245729761068</v>
      </c>
    </row>
    <row r="23" spans="2:9" ht="18" customHeight="1">
      <c r="B23" s="1083" t="s">
        <v>1010</v>
      </c>
      <c r="C23" s="1084"/>
      <c r="D23" s="1084"/>
      <c r="E23" s="836">
        <v>363.67643520000001</v>
      </c>
      <c r="F23" s="836">
        <v>363.67643520000001</v>
      </c>
      <c r="G23" s="836">
        <v>110.53761900000001</v>
      </c>
      <c r="H23" s="836">
        <v>110.53761900000001</v>
      </c>
      <c r="I23" s="841">
        <f>+H23/F23</f>
        <v>0.30394495848819847</v>
      </c>
    </row>
    <row r="24" spans="2:9" ht="35">
      <c r="B24" s="875" t="s">
        <v>1011</v>
      </c>
      <c r="C24" s="728" t="s">
        <v>1012</v>
      </c>
      <c r="D24" s="839" t="s">
        <v>1013</v>
      </c>
      <c r="E24" s="836">
        <v>175.24055300000001</v>
      </c>
      <c r="F24" s="836">
        <v>175.24055300000001</v>
      </c>
      <c r="G24" s="836">
        <v>0</v>
      </c>
      <c r="H24" s="836">
        <v>0</v>
      </c>
      <c r="I24" s="840">
        <f t="shared" ref="I24" si="4">+H24/F24</f>
        <v>0</v>
      </c>
    </row>
    <row r="25" spans="2:9" ht="18" customHeight="1">
      <c r="B25" s="1085" t="s">
        <v>1014</v>
      </c>
      <c r="C25" s="1086"/>
      <c r="D25" s="1086"/>
      <c r="E25" s="836">
        <v>175.24055300000001</v>
      </c>
      <c r="F25" s="836">
        <v>175.24055300000001</v>
      </c>
      <c r="G25" s="836">
        <v>0</v>
      </c>
      <c r="H25" s="836">
        <v>0</v>
      </c>
      <c r="I25" s="841">
        <f>+H25/F25</f>
        <v>0</v>
      </c>
    </row>
    <row r="26" spans="2:9" ht="18" customHeight="1">
      <c r="B26" s="847" t="s">
        <v>1031</v>
      </c>
      <c r="C26" s="823"/>
      <c r="D26" s="837"/>
      <c r="E26" s="836">
        <v>175.24055300000001</v>
      </c>
      <c r="F26" s="836">
        <v>175.24055300000001</v>
      </c>
      <c r="G26" s="836">
        <v>0</v>
      </c>
      <c r="H26" s="836">
        <v>0</v>
      </c>
      <c r="I26" s="840">
        <f t="shared" ref="I26:I37" si="5">+H26/F26</f>
        <v>0</v>
      </c>
    </row>
    <row r="27" spans="2:9" ht="36" customHeight="1">
      <c r="B27" s="848" t="s">
        <v>1032</v>
      </c>
      <c r="C27" s="823" t="s">
        <v>1001</v>
      </c>
      <c r="D27" s="837" t="s">
        <v>997</v>
      </c>
      <c r="E27" s="836">
        <v>363.58283519999998</v>
      </c>
      <c r="F27" s="836">
        <v>737.98283520000007</v>
      </c>
      <c r="G27" s="836">
        <v>373.974782</v>
      </c>
      <c r="H27" s="836">
        <v>373.974782</v>
      </c>
      <c r="I27" s="840">
        <f t="shared" si="5"/>
        <v>0.50675268334479551</v>
      </c>
    </row>
    <row r="28" spans="2:9" ht="17.5">
      <c r="B28" s="848"/>
      <c r="C28" s="1087"/>
      <c r="D28" s="837" t="s">
        <v>1002</v>
      </c>
      <c r="E28" s="836">
        <v>0</v>
      </c>
      <c r="F28" s="836">
        <v>514.79999999999995</v>
      </c>
      <c r="G28" s="836">
        <v>233.42</v>
      </c>
      <c r="H28" s="836">
        <v>233.42</v>
      </c>
      <c r="I28" s="840">
        <f t="shared" si="5"/>
        <v>0.45341880341880342</v>
      </c>
    </row>
    <row r="29" spans="2:9" ht="35">
      <c r="B29" s="848"/>
      <c r="C29" s="1088"/>
      <c r="D29" s="837" t="s">
        <v>998</v>
      </c>
      <c r="E29" s="836">
        <v>0</v>
      </c>
      <c r="F29" s="836">
        <v>3</v>
      </c>
      <c r="G29" s="836">
        <v>0</v>
      </c>
      <c r="H29" s="836">
        <v>0</v>
      </c>
      <c r="I29" s="840">
        <f t="shared" si="5"/>
        <v>0</v>
      </c>
    </row>
    <row r="30" spans="2:9" ht="35">
      <c r="B30" s="849"/>
      <c r="C30" s="823" t="s">
        <v>1033</v>
      </c>
      <c r="D30" s="837"/>
      <c r="E30" s="836">
        <v>363.58283519999998</v>
      </c>
      <c r="F30" s="836">
        <v>1255.7828352000001</v>
      </c>
      <c r="G30" s="836">
        <v>607.39478199999996</v>
      </c>
      <c r="H30" s="836">
        <v>607.39478199999996</v>
      </c>
      <c r="I30" s="840">
        <f t="shared" si="5"/>
        <v>0.48367820054115029</v>
      </c>
    </row>
    <row r="31" spans="2:9" ht="18" customHeight="1">
      <c r="B31" s="1083" t="s">
        <v>1034</v>
      </c>
      <c r="C31" s="1084"/>
      <c r="D31" s="1084"/>
      <c r="E31" s="836">
        <v>363.58283519999998</v>
      </c>
      <c r="F31" s="836">
        <v>1255.7828352000001</v>
      </c>
      <c r="G31" s="836">
        <v>607.39478199999996</v>
      </c>
      <c r="H31" s="836">
        <v>607.39478199999996</v>
      </c>
      <c r="I31" s="841">
        <f t="shared" si="5"/>
        <v>0.48367820054115029</v>
      </c>
    </row>
    <row r="32" spans="2:9" ht="35">
      <c r="B32" s="876" t="s">
        <v>1035</v>
      </c>
      <c r="C32" s="727" t="s">
        <v>1005</v>
      </c>
      <c r="D32" s="838" t="s">
        <v>997</v>
      </c>
      <c r="E32" s="836">
        <v>126.36</v>
      </c>
      <c r="F32" s="836">
        <v>126.36</v>
      </c>
      <c r="G32" s="836">
        <v>21.448698</v>
      </c>
      <c r="H32" s="836">
        <v>21.448698</v>
      </c>
      <c r="I32" s="843">
        <f t="shared" si="5"/>
        <v>0.16974278252611585</v>
      </c>
    </row>
    <row r="33" spans="2:9" ht="18" customHeight="1">
      <c r="B33" s="850"/>
      <c r="C33" s="820" t="s">
        <v>1036</v>
      </c>
      <c r="D33" s="820"/>
      <c r="E33" s="836">
        <v>126.36</v>
      </c>
      <c r="F33" s="836">
        <v>126.36</v>
      </c>
      <c r="G33" s="836">
        <v>21.448698</v>
      </c>
      <c r="H33" s="836">
        <v>21.448698</v>
      </c>
      <c r="I33" s="841">
        <f>+H33/F33</f>
        <v>0.16974278252611585</v>
      </c>
    </row>
    <row r="34" spans="2:9" ht="36">
      <c r="B34" s="877" t="s">
        <v>1037</v>
      </c>
      <c r="C34" s="822"/>
      <c r="D34" s="839"/>
      <c r="E34" s="836">
        <v>126.36</v>
      </c>
      <c r="F34" s="836">
        <v>126.36</v>
      </c>
      <c r="G34" s="836">
        <v>21.448698</v>
      </c>
      <c r="H34" s="836">
        <v>21.448698</v>
      </c>
      <c r="I34" s="840">
        <f t="shared" si="5"/>
        <v>0.16974278252611585</v>
      </c>
    </row>
    <row r="35" spans="2:9" ht="17.5">
      <c r="B35" s="851" t="s">
        <v>1038</v>
      </c>
      <c r="C35" s="822" t="s">
        <v>992</v>
      </c>
      <c r="D35" s="839" t="s">
        <v>993</v>
      </c>
      <c r="E35" s="836">
        <v>2701.1983740000001</v>
      </c>
      <c r="F35" s="836">
        <v>2701.1983740000001</v>
      </c>
      <c r="G35" s="836">
        <v>0</v>
      </c>
      <c r="H35" s="836">
        <v>0</v>
      </c>
      <c r="I35" s="840">
        <f t="shared" si="5"/>
        <v>0</v>
      </c>
    </row>
    <row r="36" spans="2:9" ht="18">
      <c r="B36" s="852"/>
      <c r="C36" s="821" t="s">
        <v>1039</v>
      </c>
      <c r="D36" s="821"/>
      <c r="E36" s="836">
        <v>2701.1983740000001</v>
      </c>
      <c r="F36" s="836">
        <v>2701.1983740000001</v>
      </c>
      <c r="G36" s="836">
        <v>0</v>
      </c>
      <c r="H36" s="836">
        <v>0</v>
      </c>
      <c r="I36" s="841">
        <f t="shared" si="5"/>
        <v>0</v>
      </c>
    </row>
    <row r="37" spans="2:9" ht="18" customHeight="1">
      <c r="B37" s="878" t="s">
        <v>1040</v>
      </c>
      <c r="C37" s="727"/>
      <c r="D37" s="839"/>
      <c r="E37" s="836">
        <v>2701.1983740000001</v>
      </c>
      <c r="F37" s="836">
        <v>2701.1983740000001</v>
      </c>
      <c r="G37" s="836">
        <v>0</v>
      </c>
      <c r="H37" s="836">
        <v>0</v>
      </c>
      <c r="I37" s="840">
        <f t="shared" si="5"/>
        <v>0</v>
      </c>
    </row>
    <row r="38" spans="2:9" ht="18.5" thickBot="1">
      <c r="B38" s="853" t="s">
        <v>487</v>
      </c>
      <c r="C38" s="854"/>
      <c r="D38" s="855"/>
      <c r="E38" s="856">
        <v>11375.467886635</v>
      </c>
      <c r="F38" s="857">
        <v>12267.667886634999</v>
      </c>
      <c r="G38" s="858">
        <v>960.36305900000002</v>
      </c>
      <c r="H38" s="858">
        <v>960.36305900000002</v>
      </c>
      <c r="I38" s="859">
        <f>+H38/F38</f>
        <v>7.8284077126530849E-2</v>
      </c>
    </row>
  </sheetData>
  <mergeCells count="16">
    <mergeCell ref="B11:D11"/>
    <mergeCell ref="B12:B13"/>
    <mergeCell ref="C12:C13"/>
    <mergeCell ref="B14:D14"/>
    <mergeCell ref="B4:B8"/>
    <mergeCell ref="C4:C5"/>
    <mergeCell ref="C6:C7"/>
    <mergeCell ref="B9:D9"/>
    <mergeCell ref="B31:D31"/>
    <mergeCell ref="B23:D23"/>
    <mergeCell ref="B25:D25"/>
    <mergeCell ref="C28:C29"/>
    <mergeCell ref="B15:B17"/>
    <mergeCell ref="C15:C17"/>
    <mergeCell ref="B18:D18"/>
    <mergeCell ref="B20:D2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G67"/>
  <sheetViews>
    <sheetView topLeftCell="A31" zoomScale="106" zoomScaleNormal="106" workbookViewId="0">
      <selection activeCell="D51" sqref="D51"/>
    </sheetView>
  </sheetViews>
  <sheetFormatPr defaultRowHeight="14.5"/>
  <cols>
    <col min="1" max="1" width="48.7265625" customWidth="1"/>
    <col min="2" max="2" width="22.81640625" customWidth="1"/>
    <col min="3" max="3" width="16" customWidth="1"/>
    <col min="4" max="4" width="13.26953125" customWidth="1"/>
    <col min="5" max="5" width="8.6328125" customWidth="1"/>
    <col min="6" max="6" width="11.453125" bestFit="1" customWidth="1"/>
    <col min="11" max="11" width="57.54296875" customWidth="1"/>
    <col min="12" max="12" width="12.7265625" bestFit="1" customWidth="1"/>
    <col min="13" max="13" width="11.1796875" bestFit="1" customWidth="1"/>
    <col min="118" max="122" width="0" hidden="1" customWidth="1"/>
    <col min="130" max="130" width="8" customWidth="1"/>
    <col min="131" max="134" width="0" hidden="1" customWidth="1"/>
  </cols>
  <sheetData>
    <row r="1" spans="1:13" ht="25" customHeight="1">
      <c r="A1" s="868" t="s">
        <v>1109</v>
      </c>
      <c r="B1" s="868" t="s">
        <v>974</v>
      </c>
      <c r="C1" s="868" t="s">
        <v>1111</v>
      </c>
      <c r="D1" s="868" t="s">
        <v>1112</v>
      </c>
      <c r="E1" s="868" t="s">
        <v>980</v>
      </c>
    </row>
    <row r="2" spans="1:13" ht="15.5" customHeight="1">
      <c r="A2" s="976" t="s">
        <v>725</v>
      </c>
      <c r="B2" s="976" t="s">
        <v>1015</v>
      </c>
      <c r="C2" s="986">
        <v>16.45759</v>
      </c>
      <c r="D2" s="986">
        <v>16.457564999999999</v>
      </c>
      <c r="E2" s="977">
        <f>+D2/C2*100</f>
        <v>99.999848094405067</v>
      </c>
      <c r="L2" s="267"/>
      <c r="M2" s="267"/>
    </row>
    <row r="3" spans="1:13">
      <c r="A3" s="1103" t="s">
        <v>737</v>
      </c>
      <c r="B3" s="1103"/>
      <c r="C3" s="983">
        <v>16.45759</v>
      </c>
      <c r="D3" s="983">
        <v>16.457564999999999</v>
      </c>
      <c r="E3" s="978">
        <f t="shared" ref="E3:E41" si="0">+D3/C3*100</f>
        <v>99.999848094405067</v>
      </c>
      <c r="G3">
        <v>1000000</v>
      </c>
      <c r="L3" s="267"/>
      <c r="M3" s="267"/>
    </row>
    <row r="4" spans="1:13" s="884" customFormat="1">
      <c r="A4" s="976" t="s">
        <v>743</v>
      </c>
      <c r="B4" s="976" t="s">
        <v>1089</v>
      </c>
      <c r="C4" s="986">
        <v>82.027325000000005</v>
      </c>
      <c r="D4" s="986">
        <v>7.4294200000000004</v>
      </c>
      <c r="E4" s="977">
        <f t="shared" si="0"/>
        <v>9.0572501297585895</v>
      </c>
      <c r="L4" s="267"/>
      <c r="M4" s="267"/>
    </row>
    <row r="5" spans="1:13" s="884" customFormat="1">
      <c r="A5" s="1103" t="s">
        <v>749</v>
      </c>
      <c r="B5" s="1103"/>
      <c r="C5" s="983">
        <v>82.027325000000005</v>
      </c>
      <c r="D5" s="983">
        <v>7.4294200000000004</v>
      </c>
      <c r="E5" s="978">
        <f t="shared" si="0"/>
        <v>9.0572501297585895</v>
      </c>
      <c r="L5" s="267"/>
      <c r="M5" s="267"/>
    </row>
    <row r="6" spans="1:13" s="884" customFormat="1">
      <c r="A6" s="1102" t="s">
        <v>750</v>
      </c>
      <c r="B6" s="976" t="s">
        <v>707</v>
      </c>
      <c r="C6" s="986">
        <v>20.436615</v>
      </c>
      <c r="D6" s="986">
        <v>3.439082</v>
      </c>
      <c r="E6" s="977">
        <f t="shared" si="0"/>
        <v>16.828041238727646</v>
      </c>
      <c r="L6" s="267"/>
      <c r="M6" s="267"/>
    </row>
    <row r="7" spans="1:13" s="884" customFormat="1" ht="58">
      <c r="A7" s="1102"/>
      <c r="B7" s="985" t="s">
        <v>1090</v>
      </c>
      <c r="C7" s="987">
        <v>105.044562</v>
      </c>
      <c r="D7" s="987">
        <v>35.485120999999999</v>
      </c>
      <c r="E7" s="977">
        <f t="shared" si="0"/>
        <v>33.781016669858644</v>
      </c>
      <c r="L7" s="267"/>
      <c r="M7" s="267"/>
    </row>
    <row r="8" spans="1:13" s="884" customFormat="1" ht="58">
      <c r="A8" s="1102"/>
      <c r="B8" s="985" t="s">
        <v>1108</v>
      </c>
      <c r="C8" s="987">
        <v>757.76344099999994</v>
      </c>
      <c r="D8" s="987">
        <v>309.39530000000002</v>
      </c>
      <c r="E8" s="977">
        <f t="shared" si="0"/>
        <v>40.830064273317198</v>
      </c>
      <c r="L8" s="267"/>
      <c r="M8" s="267"/>
    </row>
    <row r="9" spans="1:13" s="884" customFormat="1">
      <c r="A9" s="1102"/>
      <c r="B9" s="976" t="s">
        <v>1016</v>
      </c>
      <c r="C9" s="986">
        <v>102</v>
      </c>
      <c r="D9" s="986">
        <v>54.725433000000002</v>
      </c>
      <c r="E9" s="979" t="s">
        <v>75</v>
      </c>
      <c r="L9" s="267"/>
      <c r="M9" s="267"/>
    </row>
    <row r="10" spans="1:13" s="884" customFormat="1">
      <c r="A10" s="1102"/>
      <c r="B10" s="976" t="s">
        <v>1091</v>
      </c>
      <c r="C10" s="986">
        <v>22.132000000000001</v>
      </c>
      <c r="D10" s="986">
        <v>0</v>
      </c>
      <c r="E10" s="977">
        <f t="shared" si="0"/>
        <v>0</v>
      </c>
      <c r="L10" s="267"/>
      <c r="M10" s="267"/>
    </row>
    <row r="11" spans="1:13" s="884" customFormat="1">
      <c r="A11" s="1102"/>
      <c r="B11" s="981" t="s">
        <v>1024</v>
      </c>
      <c r="C11" s="988">
        <v>20</v>
      </c>
      <c r="D11" s="988">
        <v>0</v>
      </c>
      <c r="E11" s="977">
        <f>+D11/C11*100</f>
        <v>0</v>
      </c>
      <c r="L11" s="267"/>
      <c r="M11" s="267"/>
    </row>
    <row r="12" spans="1:13" s="884" customFormat="1">
      <c r="A12" s="1103" t="s">
        <v>768</v>
      </c>
      <c r="B12" s="1103"/>
      <c r="C12" s="983">
        <v>1027.376618</v>
      </c>
      <c r="D12" s="983">
        <v>403.04493600000001</v>
      </c>
      <c r="E12" s="978">
        <f t="shared" si="0"/>
        <v>39.230495315788858</v>
      </c>
      <c r="L12" s="267"/>
      <c r="M12" s="267"/>
    </row>
    <row r="13" spans="1:13" s="884" customFormat="1">
      <c r="A13" s="1102" t="s">
        <v>782</v>
      </c>
      <c r="B13" s="976" t="s">
        <v>1029</v>
      </c>
      <c r="C13" s="986">
        <v>472.63330200000001</v>
      </c>
      <c r="D13" s="986">
        <v>20.797537999999999</v>
      </c>
      <c r="E13" s="977">
        <f t="shared" si="0"/>
        <v>4.4003539132754552</v>
      </c>
      <c r="L13" s="267"/>
      <c r="M13" s="267"/>
    </row>
    <row r="14" spans="1:13" s="884" customFormat="1">
      <c r="A14" s="1102"/>
      <c r="B14" s="976" t="s">
        <v>1092</v>
      </c>
      <c r="C14" s="986">
        <v>44.25</v>
      </c>
      <c r="D14" s="986">
        <v>35</v>
      </c>
      <c r="E14" s="977">
        <f t="shared" si="0"/>
        <v>79.096045197740111</v>
      </c>
      <c r="L14" s="267"/>
      <c r="M14" s="267"/>
    </row>
    <row r="15" spans="1:13" s="884" customFormat="1">
      <c r="A15" s="1102"/>
      <c r="B15" s="976" t="s">
        <v>1025</v>
      </c>
      <c r="C15" s="986">
        <v>20</v>
      </c>
      <c r="D15" s="986">
        <v>0</v>
      </c>
      <c r="E15" s="977">
        <f t="shared" si="0"/>
        <v>0</v>
      </c>
      <c r="L15" s="267"/>
      <c r="M15" s="267"/>
    </row>
    <row r="16" spans="1:13" s="884" customFormat="1">
      <c r="A16" s="1102"/>
      <c r="B16" s="976" t="s">
        <v>1093</v>
      </c>
      <c r="C16" s="986">
        <v>4.7938660000000004</v>
      </c>
      <c r="D16" s="986">
        <v>1.932734</v>
      </c>
      <c r="E16" s="977">
        <f t="shared" si="0"/>
        <v>40.31681319419441</v>
      </c>
      <c r="L16" s="267"/>
      <c r="M16" s="267"/>
    </row>
    <row r="17" spans="1:13" s="884" customFormat="1" ht="43.5">
      <c r="A17" s="1102"/>
      <c r="B17" s="985" t="s">
        <v>1012</v>
      </c>
      <c r="C17" s="987">
        <v>178.129841</v>
      </c>
      <c r="D17" s="987">
        <v>0</v>
      </c>
      <c r="E17" s="977">
        <f t="shared" si="0"/>
        <v>0</v>
      </c>
      <c r="L17" s="267"/>
      <c r="M17" s="267"/>
    </row>
    <row r="18" spans="1:13" s="884" customFormat="1" ht="43.5">
      <c r="A18" s="1102"/>
      <c r="B18" s="985" t="s">
        <v>1094</v>
      </c>
      <c r="C18" s="987">
        <v>2.99</v>
      </c>
      <c r="D18" s="987">
        <v>0.76353800000000005</v>
      </c>
      <c r="E18" s="977">
        <f t="shared" si="0"/>
        <v>25.536387959866218</v>
      </c>
      <c r="L18" s="267"/>
      <c r="M18" s="267"/>
    </row>
    <row r="19" spans="1:13" s="884" customFormat="1">
      <c r="A19" s="1102"/>
      <c r="B19" s="976" t="s">
        <v>1095</v>
      </c>
      <c r="C19" s="986">
        <v>2.2999999999999998</v>
      </c>
      <c r="D19" s="986">
        <v>1.2264090000000001</v>
      </c>
      <c r="E19" s="977">
        <f t="shared" si="0"/>
        <v>53.322130434782622</v>
      </c>
      <c r="L19" s="267"/>
      <c r="M19" s="267"/>
    </row>
    <row r="20" spans="1:13" s="884" customFormat="1">
      <c r="A20" s="1102"/>
      <c r="B20" s="976" t="s">
        <v>1096</v>
      </c>
      <c r="C20" s="986">
        <v>1.5</v>
      </c>
      <c r="D20" s="986">
        <v>1.5</v>
      </c>
      <c r="E20" s="977">
        <f t="shared" si="0"/>
        <v>100</v>
      </c>
      <c r="L20" s="267"/>
      <c r="M20" s="267"/>
    </row>
    <row r="21" spans="1:13" s="884" customFormat="1">
      <c r="A21" s="1102"/>
      <c r="B21" s="976" t="s">
        <v>1023</v>
      </c>
      <c r="C21" s="986">
        <v>393.74950200000001</v>
      </c>
      <c r="D21" s="986">
        <v>307.50402400000002</v>
      </c>
      <c r="E21" s="977">
        <f t="shared" si="0"/>
        <v>78.096358836791623</v>
      </c>
      <c r="L21" s="267"/>
      <c r="M21" s="267"/>
    </row>
    <row r="22" spans="1:13" s="884" customFormat="1">
      <c r="A22" s="1102"/>
      <c r="B22" s="976" t="s">
        <v>1026</v>
      </c>
      <c r="C22" s="986">
        <v>28.729842000000001</v>
      </c>
      <c r="D22" s="986">
        <v>28.2</v>
      </c>
      <c r="E22" s="977">
        <f t="shared" si="0"/>
        <v>98.155778232264552</v>
      </c>
      <c r="L22" s="267"/>
      <c r="M22" s="267"/>
    </row>
    <row r="23" spans="1:13" s="884" customFormat="1">
      <c r="A23" s="1102"/>
      <c r="B23" s="976" t="s">
        <v>1097</v>
      </c>
      <c r="C23" s="986">
        <v>18.326573</v>
      </c>
      <c r="D23" s="986">
        <v>15.054131</v>
      </c>
      <c r="E23" s="977">
        <f t="shared" si="0"/>
        <v>82.14373194595629</v>
      </c>
      <c r="L23" s="267"/>
      <c r="M23" s="267"/>
    </row>
    <row r="24" spans="1:13" s="884" customFormat="1">
      <c r="A24" s="1102"/>
      <c r="B24" s="976" t="s">
        <v>1028</v>
      </c>
      <c r="C24" s="986">
        <v>82.360810000000001</v>
      </c>
      <c r="D24" s="986">
        <v>50.884673999999997</v>
      </c>
      <c r="E24" s="977">
        <f t="shared" si="0"/>
        <v>61.782629384048057</v>
      </c>
      <c r="L24" s="267"/>
      <c r="M24" s="267"/>
    </row>
    <row r="25" spans="1:13" s="884" customFormat="1">
      <c r="A25" s="1102"/>
      <c r="B25" s="976" t="s">
        <v>1027</v>
      </c>
      <c r="C25" s="986">
        <v>30</v>
      </c>
      <c r="D25" s="986">
        <v>30</v>
      </c>
      <c r="E25" s="977">
        <f t="shared" si="0"/>
        <v>100</v>
      </c>
      <c r="L25" s="267"/>
      <c r="M25" s="267"/>
    </row>
    <row r="26" spans="1:13" s="884" customFormat="1">
      <c r="A26" s="1102"/>
      <c r="B26" s="976" t="s">
        <v>1098</v>
      </c>
      <c r="C26" s="986">
        <v>10.5</v>
      </c>
      <c r="D26" s="986">
        <v>3.29786</v>
      </c>
      <c r="E26" s="977">
        <f t="shared" si="0"/>
        <v>31.408190476190477</v>
      </c>
      <c r="L26" s="267"/>
      <c r="M26" s="267"/>
    </row>
    <row r="27" spans="1:13" s="884" customFormat="1">
      <c r="A27" s="1102"/>
      <c r="B27" s="981" t="s">
        <v>1099</v>
      </c>
      <c r="C27" s="988">
        <v>4.0827999999999998</v>
      </c>
      <c r="D27" s="988">
        <v>2.125934</v>
      </c>
      <c r="E27" s="977">
        <f>+D27/C27*100</f>
        <v>52.070490839619879</v>
      </c>
      <c r="L27" s="267"/>
      <c r="M27" s="267"/>
    </row>
    <row r="28" spans="1:13" s="884" customFormat="1">
      <c r="A28" s="1103" t="s">
        <v>790</v>
      </c>
      <c r="B28" s="1103"/>
      <c r="C28" s="983">
        <v>1294.346536</v>
      </c>
      <c r="D28" s="983">
        <v>498.28684199999998</v>
      </c>
      <c r="E28" s="978">
        <f t="shared" si="0"/>
        <v>38.49717429923264</v>
      </c>
      <c r="L28" s="267"/>
      <c r="M28" s="267"/>
    </row>
    <row r="29" spans="1:13" s="884" customFormat="1">
      <c r="A29" s="981" t="s">
        <v>791</v>
      </c>
      <c r="B29" s="981" t="s">
        <v>1030</v>
      </c>
      <c r="C29" s="988">
        <v>10</v>
      </c>
      <c r="D29" s="988">
        <v>9.5905310000000004</v>
      </c>
      <c r="E29" s="977">
        <f t="shared" si="0"/>
        <v>95.90531</v>
      </c>
      <c r="L29" s="267"/>
      <c r="M29" s="267"/>
    </row>
    <row r="30" spans="1:13" s="884" customFormat="1">
      <c r="A30" s="980" t="s">
        <v>797</v>
      </c>
      <c r="B30" s="980"/>
      <c r="C30" s="983">
        <v>10</v>
      </c>
      <c r="D30" s="983">
        <v>9.5905310000000004</v>
      </c>
      <c r="E30" s="978">
        <f t="shared" si="0"/>
        <v>95.90531</v>
      </c>
      <c r="L30" s="267"/>
      <c r="M30" s="267"/>
    </row>
    <row r="31" spans="1:13" s="884" customFormat="1">
      <c r="A31" s="1102" t="s">
        <v>798</v>
      </c>
      <c r="B31" s="976" t="s">
        <v>1017</v>
      </c>
      <c r="C31" s="986">
        <v>20</v>
      </c>
      <c r="D31" s="986">
        <v>0</v>
      </c>
      <c r="E31" s="977">
        <f t="shared" si="0"/>
        <v>0</v>
      </c>
      <c r="L31" s="267"/>
      <c r="M31" s="267"/>
    </row>
    <row r="32" spans="1:13" s="884" customFormat="1" ht="43.5">
      <c r="A32" s="1102"/>
      <c r="B32" s="985" t="s">
        <v>1100</v>
      </c>
      <c r="C32" s="987">
        <v>11.889353</v>
      </c>
      <c r="D32" s="987">
        <v>6.3768050000000001</v>
      </c>
      <c r="E32" s="977">
        <f t="shared" si="0"/>
        <v>53.634583816293457</v>
      </c>
      <c r="L32" s="267"/>
      <c r="M32" s="267"/>
    </row>
    <row r="33" spans="1:137" s="884" customFormat="1">
      <c r="A33" s="1102"/>
      <c r="B33" s="981" t="s">
        <v>996</v>
      </c>
      <c r="C33" s="988">
        <v>448.154991</v>
      </c>
      <c r="D33" s="988">
        <v>184.351506</v>
      </c>
      <c r="E33" s="977">
        <f t="shared" si="0"/>
        <v>41.135658355303242</v>
      </c>
      <c r="L33" s="267"/>
      <c r="M33" s="267"/>
    </row>
    <row r="34" spans="1:137" s="884" customFormat="1">
      <c r="A34" s="1103" t="s">
        <v>808</v>
      </c>
      <c r="B34" s="1103"/>
      <c r="C34" s="983">
        <v>480.04434400000002</v>
      </c>
      <c r="D34" s="983">
        <v>190.72831099999999</v>
      </c>
      <c r="E34" s="978">
        <f t="shared" si="0"/>
        <v>39.731394273025735</v>
      </c>
      <c r="L34" s="267"/>
      <c r="M34" s="267"/>
    </row>
    <row r="35" spans="1:137" s="884" customFormat="1" ht="101.5">
      <c r="A35" s="1102" t="s">
        <v>809</v>
      </c>
      <c r="B35" s="985" t="s">
        <v>1110</v>
      </c>
      <c r="C35" s="987">
        <v>8.3062280000000008</v>
      </c>
      <c r="D35" s="987">
        <v>8.1675000000000004</v>
      </c>
      <c r="E35" s="977">
        <f t="shared" si="0"/>
        <v>98.329831543270899</v>
      </c>
      <c r="L35" s="267"/>
      <c r="M35" s="267"/>
    </row>
    <row r="36" spans="1:137" s="884" customFormat="1">
      <c r="A36" s="1102"/>
      <c r="B36" s="976" t="s">
        <v>1101</v>
      </c>
      <c r="C36" s="986">
        <v>19.350680000000001</v>
      </c>
      <c r="D36" s="986">
        <v>12.937480000000001</v>
      </c>
      <c r="E36" s="977">
        <f t="shared" si="0"/>
        <v>66.858012224893386</v>
      </c>
      <c r="L36" s="267"/>
      <c r="M36" s="267"/>
    </row>
    <row r="37" spans="1:137" s="884" customFormat="1">
      <c r="A37" s="1102"/>
      <c r="B37" s="976" t="s">
        <v>1001</v>
      </c>
      <c r="C37" s="986">
        <v>1415.920768</v>
      </c>
      <c r="D37" s="986">
        <v>858.47974199999999</v>
      </c>
      <c r="E37" s="979">
        <f t="shared" si="0"/>
        <v>60.63049299097505</v>
      </c>
      <c r="L37" s="267"/>
      <c r="M37" s="267"/>
    </row>
    <row r="38" spans="1:137" s="884" customFormat="1">
      <c r="A38" s="1102"/>
      <c r="B38" s="976" t="s">
        <v>1102</v>
      </c>
      <c r="C38" s="986">
        <v>34.200319999999998</v>
      </c>
      <c r="D38" s="986">
        <v>7.1175119999999996</v>
      </c>
      <c r="E38" s="977">
        <f t="shared" si="0"/>
        <v>20.811243871402375</v>
      </c>
      <c r="L38" s="267"/>
      <c r="M38" s="267"/>
    </row>
    <row r="39" spans="1:137" s="884" customFormat="1">
      <c r="A39" s="1102"/>
      <c r="B39" s="981" t="s">
        <v>1103</v>
      </c>
      <c r="C39" s="988">
        <v>29.351099999999999</v>
      </c>
      <c r="D39" s="988">
        <v>22.433254999999999</v>
      </c>
      <c r="E39" s="977">
        <f t="shared" si="0"/>
        <v>76.43071298861031</v>
      </c>
      <c r="L39" s="267"/>
      <c r="M39" s="267"/>
    </row>
    <row r="40" spans="1:137" s="884" customFormat="1">
      <c r="A40" s="982" t="s">
        <v>817</v>
      </c>
      <c r="B40" s="982"/>
      <c r="C40" s="983">
        <v>1507.1290959999999</v>
      </c>
      <c r="D40" s="983">
        <v>909.13548900000001</v>
      </c>
      <c r="E40" s="978">
        <f t="shared" si="0"/>
        <v>60.32233678010023</v>
      </c>
      <c r="L40" s="267"/>
      <c r="M40" s="267"/>
    </row>
    <row r="41" spans="1:137">
      <c r="A41" s="733" t="s">
        <v>487</v>
      </c>
      <c r="B41" s="732"/>
      <c r="C41" s="984">
        <f>+C3+C5+C12+C28+C30+C34+C40</f>
        <v>4417.3815089999998</v>
      </c>
      <c r="D41" s="984">
        <f>+D3+D5+D12+D28+D30+D34+D40</f>
        <v>2034.673094</v>
      </c>
      <c r="E41" s="984">
        <f t="shared" si="0"/>
        <v>46.060615091871618</v>
      </c>
      <c r="DZ41" s="884"/>
      <c r="EF41" t="e">
        <f t="shared" ref="EF41" si="1">+DZ41/DS41*100</f>
        <v>#DIV/0!</v>
      </c>
      <c r="EG41" t="e">
        <f t="shared" ref="EG41" si="2">+(DZ41/DM41-1)*100</f>
        <v>#DIV/0!</v>
      </c>
    </row>
    <row r="42" spans="1:137">
      <c r="C42" s="830"/>
      <c r="D42" s="436"/>
      <c r="F42" s="267"/>
      <c r="G42" s="267"/>
      <c r="DZ42" s="884"/>
    </row>
    <row r="43" spans="1:137">
      <c r="C43" s="376"/>
      <c r="D43" s="377"/>
      <c r="DZ43" s="884"/>
    </row>
    <row r="44" spans="1:137">
      <c r="DZ44" s="884"/>
    </row>
    <row r="45" spans="1:137">
      <c r="A45" s="377"/>
      <c r="B45" s="734" t="s">
        <v>1113</v>
      </c>
      <c r="C45" s="865" t="s">
        <v>977</v>
      </c>
      <c r="D45" s="865" t="s">
        <v>979</v>
      </c>
      <c r="E45" s="734" t="s">
        <v>1018</v>
      </c>
    </row>
    <row r="46" spans="1:137">
      <c r="A46" s="863"/>
      <c r="B46" s="864" t="s">
        <v>1019</v>
      </c>
      <c r="C46" s="992">
        <v>337.170638</v>
      </c>
      <c r="D46" s="992">
        <v>94.227716999999998</v>
      </c>
      <c r="E46" s="867">
        <f>+D46/D49</f>
        <v>4.6310985916050054E-2</v>
      </c>
      <c r="F46" s="862"/>
      <c r="I46">
        <v>1000000</v>
      </c>
      <c r="DZ46" s="884"/>
    </row>
    <row r="47" spans="1:137">
      <c r="A47" s="863"/>
      <c r="B47" s="864" t="s">
        <v>1020</v>
      </c>
      <c r="C47" s="992">
        <v>2446.3379190000001</v>
      </c>
      <c r="D47" s="992">
        <v>1062.8787930000001</v>
      </c>
      <c r="E47" s="867">
        <f>+D47/D49</f>
        <v>0.52238307772108372</v>
      </c>
      <c r="F47" s="862"/>
      <c r="DZ47" s="884"/>
    </row>
    <row r="48" spans="1:137">
      <c r="A48" s="863"/>
      <c r="B48" s="864" t="s">
        <v>1021</v>
      </c>
      <c r="C48" s="992">
        <v>1633.8729519999999</v>
      </c>
      <c r="D48" s="992">
        <v>877.56658400000003</v>
      </c>
      <c r="E48" s="867">
        <f>+D48/D49</f>
        <v>0.43130593636286613</v>
      </c>
      <c r="F48" s="862"/>
      <c r="G48" s="267"/>
      <c r="H48" s="267"/>
      <c r="DZ48" s="884"/>
    </row>
    <row r="49" spans="1:130">
      <c r="A49" s="377"/>
      <c r="B49" s="734" t="s">
        <v>487</v>
      </c>
      <c r="C49" s="993">
        <f>SUM(C46:C48)</f>
        <v>4417.3815089999998</v>
      </c>
      <c r="D49" s="993">
        <f>SUM(D46:D48)</f>
        <v>2034.6730940000002</v>
      </c>
      <c r="E49" s="866">
        <f>+D49/D49</f>
        <v>1</v>
      </c>
      <c r="DZ49" s="884"/>
    </row>
    <row r="50" spans="1:130">
      <c r="DZ50" s="884"/>
    </row>
    <row r="51" spans="1:130">
      <c r="D51" s="994">
        <f>+D49/C49*100</f>
        <v>46.060615091871618</v>
      </c>
      <c r="DZ51" s="884"/>
    </row>
    <row r="52" spans="1:130">
      <c r="DZ52" s="884"/>
    </row>
    <row r="53" spans="1:130">
      <c r="DZ53" s="884"/>
    </row>
    <row r="54" spans="1:130">
      <c r="DZ54" s="884"/>
    </row>
    <row r="56" spans="1:130">
      <c r="DZ56" s="884"/>
    </row>
    <row r="57" spans="1:130">
      <c r="DZ57" s="884"/>
    </row>
    <row r="58" spans="1:130">
      <c r="DZ58" s="884"/>
    </row>
    <row r="59" spans="1:130">
      <c r="DZ59" s="884"/>
    </row>
    <row r="60" spans="1:130">
      <c r="DZ60" s="884"/>
    </row>
    <row r="61" spans="1:130">
      <c r="DZ61" s="884"/>
    </row>
    <row r="62" spans="1:130">
      <c r="DZ62" s="884"/>
    </row>
    <row r="63" spans="1:130">
      <c r="DZ63" s="884"/>
    </row>
    <row r="64" spans="1:130">
      <c r="DZ64" s="884"/>
    </row>
    <row r="65" spans="130:130">
      <c r="DZ65" s="884"/>
    </row>
    <row r="66" spans="130:130">
      <c r="DZ66" s="884"/>
    </row>
    <row r="67" spans="130:130">
      <c r="DZ67" s="884"/>
    </row>
  </sheetData>
  <mergeCells count="9">
    <mergeCell ref="A35:A39"/>
    <mergeCell ref="A3:B3"/>
    <mergeCell ref="A5:B5"/>
    <mergeCell ref="A13:A27"/>
    <mergeCell ref="A28:B28"/>
    <mergeCell ref="A6:A11"/>
    <mergeCell ref="A12:B12"/>
    <mergeCell ref="A31:A33"/>
    <mergeCell ref="A34:B3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8"/>
  <sheetViews>
    <sheetView workbookViewId="0">
      <selection activeCell="B23" sqref="B23"/>
    </sheetView>
  </sheetViews>
  <sheetFormatPr defaultRowHeight="14.5"/>
  <cols>
    <col min="1" max="1" width="11.54296875" style="884" customWidth="1"/>
    <col min="2" max="2" width="67.54296875" customWidth="1"/>
    <col min="3" max="3" width="37.54296875" customWidth="1"/>
    <col min="4" max="4" width="13.54296875" bestFit="1" customWidth="1"/>
    <col min="5" max="5" width="14.08984375" hidden="1" customWidth="1"/>
    <col min="6" max="6" width="17.26953125" bestFit="1" customWidth="1"/>
    <col min="7" max="7" width="13.26953125" customWidth="1"/>
    <col min="8" max="8" width="11.81640625" customWidth="1"/>
  </cols>
  <sheetData>
    <row r="1" spans="1:9">
      <c r="A1" s="995"/>
      <c r="B1" s="997" t="s">
        <v>974</v>
      </c>
      <c r="C1" s="997" t="s">
        <v>975</v>
      </c>
      <c r="D1" s="997" t="s">
        <v>722</v>
      </c>
      <c r="E1" s="997" t="s">
        <v>977</v>
      </c>
      <c r="F1" s="997" t="s">
        <v>723</v>
      </c>
      <c r="G1" s="997" t="s">
        <v>724</v>
      </c>
      <c r="H1" s="997" t="s">
        <v>980</v>
      </c>
      <c r="I1">
        <v>1000000</v>
      </c>
    </row>
    <row r="2" spans="1:9">
      <c r="A2" s="1104" t="s">
        <v>1114</v>
      </c>
      <c r="B2" s="1108" t="s">
        <v>982</v>
      </c>
      <c r="C2" s="998" t="s">
        <v>984</v>
      </c>
      <c r="D2" s="1113">
        <v>3281.3527410000002</v>
      </c>
      <c r="E2" s="986">
        <v>6200</v>
      </c>
      <c r="F2" s="986">
        <v>18.455722999999999</v>
      </c>
      <c r="G2" s="986">
        <v>18.455722999999999</v>
      </c>
      <c r="H2" s="1004">
        <f>+G2/D2</f>
        <v>5.6244251858078428E-3</v>
      </c>
    </row>
    <row r="3" spans="1:9">
      <c r="A3" s="1104"/>
      <c r="B3" s="1108"/>
      <c r="C3" s="998" t="s">
        <v>983</v>
      </c>
      <c r="D3" s="1113">
        <v>175.47086999999999</v>
      </c>
      <c r="E3" s="986">
        <v>175.47086999999999</v>
      </c>
      <c r="F3" s="986">
        <v>7.0403900000000004</v>
      </c>
      <c r="G3" s="986">
        <v>7.0403900000000004</v>
      </c>
      <c r="H3" s="1004">
        <f t="shared" ref="H3:H43" si="0">+G3/D3</f>
        <v>4.012284204210078E-2</v>
      </c>
    </row>
    <row r="4" spans="1:9">
      <c r="A4" s="1104"/>
      <c r="B4" s="999" t="s">
        <v>992</v>
      </c>
      <c r="C4" s="998" t="s">
        <v>993</v>
      </c>
      <c r="D4" s="1113">
        <v>1024.210957</v>
      </c>
      <c r="E4" s="986">
        <v>2701.1983740000001</v>
      </c>
      <c r="F4" s="986">
        <v>0</v>
      </c>
      <c r="G4" s="986">
        <v>0</v>
      </c>
      <c r="H4" s="1004">
        <f t="shared" si="0"/>
        <v>0</v>
      </c>
    </row>
    <row r="5" spans="1:9" s="884" customFormat="1">
      <c r="A5" s="1104"/>
      <c r="B5" s="999" t="s">
        <v>1005</v>
      </c>
      <c r="C5" s="998" t="s">
        <v>997</v>
      </c>
      <c r="D5" s="1113">
        <v>1061.0374320000001</v>
      </c>
      <c r="E5" s="986">
        <v>137.69999999999999</v>
      </c>
      <c r="F5" s="986">
        <v>23.838515000000001</v>
      </c>
      <c r="G5" s="986">
        <v>23.202952</v>
      </c>
      <c r="H5" s="1004">
        <f t="shared" si="0"/>
        <v>2.1868174769540078E-2</v>
      </c>
    </row>
    <row r="6" spans="1:9" s="884" customFormat="1">
      <c r="A6" s="1104"/>
      <c r="B6" s="1108" t="s">
        <v>1001</v>
      </c>
      <c r="C6" s="998" t="s">
        <v>997</v>
      </c>
      <c r="D6" s="568">
        <v>327.60000000000002</v>
      </c>
      <c r="E6" s="986">
        <v>804.21206400000005</v>
      </c>
      <c r="F6" s="986">
        <v>407.111242</v>
      </c>
      <c r="G6" s="986">
        <v>399.26824199999999</v>
      </c>
      <c r="H6" s="1004">
        <f t="shared" si="0"/>
        <v>1.2187675274725274</v>
      </c>
    </row>
    <row r="7" spans="1:9" s="884" customFormat="1">
      <c r="A7" s="1104"/>
      <c r="B7" s="1108"/>
      <c r="C7" s="998" t="s">
        <v>1002</v>
      </c>
      <c r="D7" s="1113">
        <v>737.98283500000002</v>
      </c>
      <c r="E7" s="986">
        <v>561</v>
      </c>
      <c r="F7" s="986">
        <v>440.66550000000001</v>
      </c>
      <c r="G7" s="986">
        <v>436.98599999999999</v>
      </c>
      <c r="H7" s="1004">
        <f t="shared" si="0"/>
        <v>0.59213572359037314</v>
      </c>
    </row>
    <row r="8" spans="1:9" s="884" customFormat="1">
      <c r="A8" s="1104"/>
      <c r="B8" s="1109" t="s">
        <v>1016</v>
      </c>
      <c r="C8" s="998" t="s">
        <v>1062</v>
      </c>
      <c r="D8" s="1113">
        <v>741.91908999999998</v>
      </c>
      <c r="E8" s="986">
        <v>102</v>
      </c>
      <c r="F8" s="986">
        <v>54.725433000000002</v>
      </c>
      <c r="G8" s="986">
        <v>54.725433000000002</v>
      </c>
      <c r="H8" s="1004">
        <f t="shared" si="0"/>
        <v>7.3761996068870531E-2</v>
      </c>
    </row>
    <row r="9" spans="1:9" s="884" customFormat="1">
      <c r="A9" s="1104"/>
      <c r="B9" s="1110" t="s">
        <v>1029</v>
      </c>
      <c r="C9" s="998" t="s">
        <v>1065</v>
      </c>
      <c r="D9" s="1113">
        <v>0.43065399999999998</v>
      </c>
      <c r="E9" s="986">
        <v>0.469302</v>
      </c>
      <c r="F9" s="986">
        <v>0.98047600000000001</v>
      </c>
      <c r="G9" s="986">
        <v>0.98047600000000001</v>
      </c>
      <c r="H9" s="1004">
        <f t="shared" si="0"/>
        <v>2.2767140210006178</v>
      </c>
    </row>
    <row r="10" spans="1:9">
      <c r="A10" s="1104"/>
      <c r="B10" s="1110"/>
      <c r="C10" s="998" t="s">
        <v>1067</v>
      </c>
      <c r="D10" s="1113">
        <v>46.8</v>
      </c>
      <c r="E10" s="986">
        <v>403.416</v>
      </c>
      <c r="F10" s="986">
        <v>0</v>
      </c>
      <c r="G10" s="986">
        <v>0</v>
      </c>
      <c r="H10" s="1004">
        <f t="shared" si="0"/>
        <v>0</v>
      </c>
    </row>
    <row r="11" spans="1:9">
      <c r="A11" s="1104"/>
      <c r="B11" s="1110"/>
      <c r="C11" s="998" t="s">
        <v>1066</v>
      </c>
      <c r="D11" s="1113">
        <v>403.416</v>
      </c>
      <c r="E11" s="986">
        <v>51</v>
      </c>
      <c r="F11" s="986">
        <v>19.817062</v>
      </c>
      <c r="G11" s="986">
        <v>19.817062</v>
      </c>
      <c r="H11" s="1004">
        <f t="shared" si="0"/>
        <v>4.9123143355741965E-2</v>
      </c>
    </row>
    <row r="12" spans="1:9" s="884" customFormat="1">
      <c r="A12" s="1104"/>
      <c r="B12" s="1111" t="s">
        <v>996</v>
      </c>
      <c r="C12" s="998" t="s">
        <v>998</v>
      </c>
      <c r="D12" s="1113">
        <v>111.206534</v>
      </c>
      <c r="E12" s="986">
        <v>184.81339199999999</v>
      </c>
      <c r="F12" s="986">
        <v>112.03042499999999</v>
      </c>
      <c r="G12" s="986">
        <v>112.03042499999999</v>
      </c>
      <c r="H12" s="1004">
        <f t="shared" si="0"/>
        <v>1.0074086564014304</v>
      </c>
    </row>
    <row r="13" spans="1:9" s="884" customFormat="1">
      <c r="A13" s="1104"/>
      <c r="B13" s="1111"/>
      <c r="C13" s="998" t="s">
        <v>997</v>
      </c>
      <c r="D13" s="1113">
        <v>217.25458599999999</v>
      </c>
      <c r="E13" s="986">
        <v>121.18660800000001</v>
      </c>
      <c r="F13" s="986">
        <v>39.071154999999997</v>
      </c>
      <c r="G13" s="986">
        <v>39.071154999999997</v>
      </c>
      <c r="H13" s="1004">
        <f t="shared" si="0"/>
        <v>0.17984041542856086</v>
      </c>
    </row>
    <row r="14" spans="1:9" s="884" customFormat="1">
      <c r="A14" s="1104"/>
      <c r="B14" s="1112" t="s">
        <v>1068</v>
      </c>
      <c r="C14" s="998" t="s">
        <v>1062</v>
      </c>
      <c r="D14" s="1113">
        <v>360.19095099999998</v>
      </c>
      <c r="E14" s="986">
        <v>360.19095099999998</v>
      </c>
      <c r="F14" s="986">
        <v>45.324443000000002</v>
      </c>
      <c r="G14" s="986">
        <v>45.324443000000002</v>
      </c>
      <c r="H14" s="1004">
        <f t="shared" si="0"/>
        <v>0.12583448549766593</v>
      </c>
    </row>
    <row r="15" spans="1:9" s="884" customFormat="1">
      <c r="A15" s="1104"/>
      <c r="B15" s="1112" t="s">
        <v>1061</v>
      </c>
      <c r="C15" s="998" t="s">
        <v>1062</v>
      </c>
      <c r="D15" s="1113">
        <v>339.01508200000001</v>
      </c>
      <c r="E15" s="986">
        <v>91.8</v>
      </c>
      <c r="F15" s="986">
        <v>30.032958000000001</v>
      </c>
      <c r="G15" s="986">
        <v>30.032958000000001</v>
      </c>
      <c r="H15" s="1004">
        <f t="shared" si="0"/>
        <v>8.8588855170756084E-2</v>
      </c>
    </row>
    <row r="16" spans="1:9" s="884" customFormat="1">
      <c r="A16" s="1104"/>
      <c r="B16" s="999" t="s">
        <v>988</v>
      </c>
      <c r="C16" s="998" t="s">
        <v>989</v>
      </c>
      <c r="D16" s="1113">
        <v>225.00003100000001</v>
      </c>
      <c r="E16" s="986">
        <v>225.00003283500004</v>
      </c>
      <c r="F16" s="986">
        <v>89.725199000000003</v>
      </c>
      <c r="G16" s="986">
        <v>89.725199000000003</v>
      </c>
      <c r="H16" s="1004">
        <f t="shared" si="0"/>
        <v>0.39877860727939191</v>
      </c>
    </row>
    <row r="17" spans="1:8" s="884" customFormat="1">
      <c r="A17" s="1104"/>
      <c r="B17" s="1107" t="s">
        <v>1115</v>
      </c>
      <c r="C17" s="1107"/>
      <c r="D17" s="1114">
        <f>SUM(D2:D16)</f>
        <v>9052.8877630000006</v>
      </c>
      <c r="E17" s="983">
        <f t="shared" ref="E17:G17" si="1">SUM(E2:E16)</f>
        <v>12119.457593834999</v>
      </c>
      <c r="F17" s="983">
        <f t="shared" si="1"/>
        <v>1288.8185209999999</v>
      </c>
      <c r="G17" s="983">
        <f t="shared" si="1"/>
        <v>1276.6604579999998</v>
      </c>
      <c r="H17" s="1005">
        <f t="shared" si="0"/>
        <v>0.14102245509083086</v>
      </c>
    </row>
    <row r="18" spans="1:8">
      <c r="A18" s="1105" t="s">
        <v>1070</v>
      </c>
      <c r="B18" s="999" t="s">
        <v>1056</v>
      </c>
      <c r="C18" s="998" t="s">
        <v>998</v>
      </c>
      <c r="D18" s="1113">
        <v>102.59262</v>
      </c>
      <c r="E18" s="986">
        <v>111.79965</v>
      </c>
      <c r="F18" s="986">
        <v>64.204796999999999</v>
      </c>
      <c r="G18" s="986">
        <v>64.204796999999999</v>
      </c>
      <c r="H18" s="1004">
        <f t="shared" si="0"/>
        <v>0.62582276385962265</v>
      </c>
    </row>
    <row r="19" spans="1:8" s="884" customFormat="1">
      <c r="A19" s="1105"/>
      <c r="B19" s="999" t="s">
        <v>1008</v>
      </c>
      <c r="C19" s="998" t="s">
        <v>998</v>
      </c>
      <c r="D19" s="1113">
        <v>155.282962</v>
      </c>
      <c r="E19" s="986">
        <v>169.21861200000001</v>
      </c>
      <c r="F19" s="986">
        <v>42.710607000000003</v>
      </c>
      <c r="G19" s="986">
        <v>42.710607000000003</v>
      </c>
      <c r="H19" s="1004">
        <f t="shared" si="0"/>
        <v>0.27505018226017613</v>
      </c>
    </row>
    <row r="20" spans="1:8" s="884" customFormat="1">
      <c r="A20" s="1105"/>
      <c r="B20" s="999" t="s">
        <v>1009</v>
      </c>
      <c r="C20" s="998" t="s">
        <v>998</v>
      </c>
      <c r="D20" s="1113">
        <v>105.800854</v>
      </c>
      <c r="E20" s="986">
        <v>115.29580199999999</v>
      </c>
      <c r="F20" s="986">
        <v>39.701909999999998</v>
      </c>
      <c r="G20" s="986">
        <v>39.701909999999998</v>
      </c>
      <c r="H20" s="1004">
        <f t="shared" si="0"/>
        <v>0.37525131885986474</v>
      </c>
    </row>
    <row r="21" spans="1:8" s="884" customFormat="1">
      <c r="A21" s="1105"/>
      <c r="B21" s="999" t="s">
        <v>1048</v>
      </c>
      <c r="C21" s="998" t="s">
        <v>1049</v>
      </c>
      <c r="D21" s="1113">
        <v>129.829938</v>
      </c>
      <c r="E21" s="986">
        <v>144.617028</v>
      </c>
      <c r="F21" s="986">
        <v>54.631677000000003</v>
      </c>
      <c r="G21" s="986">
        <v>54.631677000000003</v>
      </c>
      <c r="H21" s="1004">
        <f t="shared" si="0"/>
        <v>0.42079413917612751</v>
      </c>
    </row>
    <row r="22" spans="1:8" s="884" customFormat="1">
      <c r="A22" s="1105"/>
      <c r="B22" s="1000" t="s">
        <v>1069</v>
      </c>
      <c r="C22" s="998" t="s">
        <v>1062</v>
      </c>
      <c r="D22" s="1113">
        <v>108.44673899999999</v>
      </c>
      <c r="E22" s="986">
        <v>198.9</v>
      </c>
      <c r="F22" s="986">
        <v>1.3829119999999999</v>
      </c>
      <c r="G22" s="986">
        <v>1.3829119999999999</v>
      </c>
      <c r="H22" s="1004">
        <f t="shared" si="0"/>
        <v>1.2751992478077187E-2</v>
      </c>
    </row>
    <row r="23" spans="1:8">
      <c r="A23" s="1105"/>
      <c r="B23" s="999" t="s">
        <v>1064</v>
      </c>
      <c r="C23" s="998" t="s">
        <v>986</v>
      </c>
      <c r="D23" s="1113">
        <v>91.102097000000001</v>
      </c>
      <c r="E23" s="986">
        <v>99.277925999999994</v>
      </c>
      <c r="F23" s="986">
        <v>1.8870420000000001</v>
      </c>
      <c r="G23" s="986">
        <v>1.8870420000000001</v>
      </c>
      <c r="H23" s="1004">
        <f t="shared" si="0"/>
        <v>2.0713485881669661E-2</v>
      </c>
    </row>
    <row r="24" spans="1:8">
      <c r="A24" s="1105"/>
      <c r="B24" s="999" t="s">
        <v>1050</v>
      </c>
      <c r="C24" s="998" t="s">
        <v>1013</v>
      </c>
      <c r="D24" s="1113">
        <v>93.339115000000007</v>
      </c>
      <c r="E24" s="986">
        <v>93.339115000000007</v>
      </c>
      <c r="F24" s="986">
        <v>68.902780000000007</v>
      </c>
      <c r="G24" s="986">
        <v>68.902780000000007</v>
      </c>
      <c r="H24" s="1004">
        <f t="shared" si="0"/>
        <v>0.73819834267766526</v>
      </c>
    </row>
    <row r="25" spans="1:8">
      <c r="A25" s="1105"/>
      <c r="B25" s="999" t="s">
        <v>1058</v>
      </c>
      <c r="C25" s="998" t="s">
        <v>998</v>
      </c>
      <c r="D25" s="1113">
        <v>83.412481999999997</v>
      </c>
      <c r="E25" s="986">
        <v>90.898218</v>
      </c>
      <c r="F25" s="986">
        <v>30.285050999999999</v>
      </c>
      <c r="G25" s="986">
        <v>30.285050999999999</v>
      </c>
      <c r="H25" s="1004">
        <f t="shared" si="0"/>
        <v>0.36307576844434386</v>
      </c>
    </row>
    <row r="26" spans="1:8">
      <c r="A26" s="1105"/>
      <c r="B26" s="999" t="s">
        <v>1057</v>
      </c>
      <c r="C26" s="998" t="s">
        <v>998</v>
      </c>
      <c r="D26" s="1113">
        <v>24.114167999999999</v>
      </c>
      <c r="E26" s="986">
        <v>26.27826</v>
      </c>
      <c r="F26" s="986">
        <v>23.31241</v>
      </c>
      <c r="G26" s="986">
        <v>23.31241</v>
      </c>
      <c r="H26" s="1004">
        <f t="shared" si="0"/>
        <v>0.96675157940344447</v>
      </c>
    </row>
    <row r="27" spans="1:8" s="884" customFormat="1">
      <c r="A27" s="1105"/>
      <c r="B27" s="999" t="s">
        <v>1012</v>
      </c>
      <c r="C27" s="998" t="s">
        <v>1013</v>
      </c>
      <c r="D27" s="1113">
        <v>77.73939</v>
      </c>
      <c r="E27" s="986">
        <v>175.24055300000001</v>
      </c>
      <c r="F27" s="986">
        <v>0</v>
      </c>
      <c r="G27" s="986">
        <v>0</v>
      </c>
      <c r="H27" s="1004">
        <f t="shared" si="0"/>
        <v>0</v>
      </c>
    </row>
    <row r="28" spans="1:8">
      <c r="A28" s="1105"/>
      <c r="B28" s="999" t="s">
        <v>1063</v>
      </c>
      <c r="C28" s="998" t="s">
        <v>998</v>
      </c>
      <c r="D28" s="1113">
        <v>72.386122</v>
      </c>
      <c r="E28" s="986">
        <v>181.39680000000001</v>
      </c>
      <c r="F28" s="986">
        <v>76.231251</v>
      </c>
      <c r="G28" s="986">
        <v>76.231251</v>
      </c>
      <c r="H28" s="1004">
        <f t="shared" si="0"/>
        <v>1.0531196988284577</v>
      </c>
    </row>
    <row r="29" spans="1:8">
      <c r="A29" s="1105"/>
      <c r="B29" s="999" t="s">
        <v>1059</v>
      </c>
      <c r="C29" s="998" t="s">
        <v>1013</v>
      </c>
      <c r="D29" s="1113">
        <v>60</v>
      </c>
      <c r="E29" s="986">
        <v>60</v>
      </c>
      <c r="F29" s="986">
        <v>22.977042999999998</v>
      </c>
      <c r="G29" s="986">
        <v>22.977042999999998</v>
      </c>
      <c r="H29" s="1004">
        <f t="shared" si="0"/>
        <v>0.38295071666666664</v>
      </c>
    </row>
    <row r="30" spans="1:8">
      <c r="A30" s="1105"/>
      <c r="B30" s="999" t="s">
        <v>1051</v>
      </c>
      <c r="C30" s="998" t="s">
        <v>1046</v>
      </c>
      <c r="D30" s="1113">
        <v>60</v>
      </c>
      <c r="E30" s="986">
        <v>60</v>
      </c>
      <c r="F30" s="986">
        <v>0</v>
      </c>
      <c r="G30" s="986">
        <v>0</v>
      </c>
      <c r="H30" s="1004">
        <f t="shared" si="0"/>
        <v>0</v>
      </c>
    </row>
    <row r="31" spans="1:8">
      <c r="A31" s="1105"/>
      <c r="B31" s="999" t="s">
        <v>1055</v>
      </c>
      <c r="C31" s="998" t="s">
        <v>998</v>
      </c>
      <c r="D31" s="1113">
        <v>89.420292000000003</v>
      </c>
      <c r="E31" s="986">
        <v>97.445189999999997</v>
      </c>
      <c r="F31" s="986">
        <v>53.325569999999999</v>
      </c>
      <c r="G31" s="986">
        <v>53.325569999999999</v>
      </c>
      <c r="H31" s="1004">
        <f t="shared" si="0"/>
        <v>0.59634752702440286</v>
      </c>
    </row>
    <row r="32" spans="1:8">
      <c r="A32" s="1105"/>
      <c r="B32" s="999" t="s">
        <v>1060</v>
      </c>
      <c r="C32" s="998" t="s">
        <v>1013</v>
      </c>
      <c r="D32" s="1113">
        <v>48.424985</v>
      </c>
      <c r="E32" s="986">
        <v>48.424985</v>
      </c>
      <c r="F32" s="986">
        <v>0</v>
      </c>
      <c r="G32" s="986">
        <v>0</v>
      </c>
      <c r="H32" s="1004">
        <f t="shared" si="0"/>
        <v>0</v>
      </c>
    </row>
    <row r="33" spans="1:8">
      <c r="A33" s="1105"/>
      <c r="B33" s="1000" t="s">
        <v>1047</v>
      </c>
      <c r="C33" s="998" t="s">
        <v>998</v>
      </c>
      <c r="D33" s="1113">
        <v>42.678885999999999</v>
      </c>
      <c r="E33" s="986">
        <v>42.678849</v>
      </c>
      <c r="F33" s="986">
        <v>0</v>
      </c>
      <c r="G33" s="986">
        <v>0</v>
      </c>
      <c r="H33" s="1004">
        <f t="shared" si="0"/>
        <v>0</v>
      </c>
    </row>
    <row r="34" spans="1:8">
      <c r="A34" s="1105"/>
      <c r="B34" s="999" t="s">
        <v>1044</v>
      </c>
      <c r="C34" s="998" t="s">
        <v>986</v>
      </c>
      <c r="D34" s="1113">
        <v>37.166547999999999</v>
      </c>
      <c r="E34" s="986">
        <v>37.166547999999999</v>
      </c>
      <c r="F34" s="986">
        <v>0</v>
      </c>
      <c r="G34" s="986">
        <v>0</v>
      </c>
      <c r="H34" s="1004">
        <f t="shared" si="0"/>
        <v>0</v>
      </c>
    </row>
    <row r="35" spans="1:8">
      <c r="A35" s="1105"/>
      <c r="B35" s="999" t="s">
        <v>1054</v>
      </c>
      <c r="C35" s="998" t="s">
        <v>998</v>
      </c>
      <c r="D35" s="1113">
        <v>22.252932000000001</v>
      </c>
      <c r="E35" s="986">
        <v>24.24999</v>
      </c>
      <c r="F35" s="986">
        <v>8.8202979999999993</v>
      </c>
      <c r="G35" s="986">
        <v>8.8202979999999993</v>
      </c>
      <c r="H35" s="1004">
        <f t="shared" si="0"/>
        <v>0.39636565644473271</v>
      </c>
    </row>
    <row r="36" spans="1:8">
      <c r="A36" s="1105"/>
      <c r="B36" s="999" t="s">
        <v>1045</v>
      </c>
      <c r="C36" s="998" t="s">
        <v>1046</v>
      </c>
      <c r="D36" s="1113">
        <v>20</v>
      </c>
      <c r="E36" s="986">
        <v>20</v>
      </c>
      <c r="F36" s="986">
        <v>0</v>
      </c>
      <c r="G36" s="986">
        <v>0</v>
      </c>
      <c r="H36" s="1004">
        <f t="shared" si="0"/>
        <v>0</v>
      </c>
    </row>
    <row r="37" spans="1:8">
      <c r="A37" s="1105"/>
      <c r="B37" s="999" t="s">
        <v>1024</v>
      </c>
      <c r="C37" s="998" t="s">
        <v>998</v>
      </c>
      <c r="D37" s="1113">
        <v>19.999980000000001</v>
      </c>
      <c r="E37" s="986">
        <v>20</v>
      </c>
      <c r="F37" s="986">
        <v>0</v>
      </c>
      <c r="G37" s="986">
        <v>0</v>
      </c>
      <c r="H37" s="1004">
        <f t="shared" si="0"/>
        <v>0</v>
      </c>
    </row>
    <row r="38" spans="1:8" s="884" customFormat="1">
      <c r="A38" s="1105"/>
      <c r="B38" s="1108" t="s">
        <v>985</v>
      </c>
      <c r="C38" s="998" t="s">
        <v>987</v>
      </c>
      <c r="D38" s="1113">
        <v>19.617671000000001</v>
      </c>
      <c r="E38" s="986">
        <v>404.99005799999998</v>
      </c>
      <c r="F38" s="986">
        <v>0</v>
      </c>
      <c r="G38" s="986">
        <v>0</v>
      </c>
      <c r="H38" s="1004">
        <f t="shared" si="0"/>
        <v>0</v>
      </c>
    </row>
    <row r="39" spans="1:8" s="884" customFormat="1">
      <c r="A39" s="1105"/>
      <c r="B39" s="1108"/>
      <c r="C39" s="998" t="s">
        <v>986</v>
      </c>
      <c r="D39" s="1113">
        <v>19.617671000000001</v>
      </c>
      <c r="E39" s="986">
        <v>343.92880200000002</v>
      </c>
      <c r="F39" s="986">
        <v>0</v>
      </c>
      <c r="G39" s="986">
        <v>0</v>
      </c>
      <c r="H39" s="1004">
        <f t="shared" si="0"/>
        <v>0</v>
      </c>
    </row>
    <row r="40" spans="1:8">
      <c r="A40" s="1105"/>
      <c r="B40" s="999" t="s">
        <v>1052</v>
      </c>
      <c r="C40" s="998" t="s">
        <v>1013</v>
      </c>
      <c r="D40" s="1113">
        <v>13</v>
      </c>
      <c r="E40" s="986">
        <v>13</v>
      </c>
      <c r="F40" s="986">
        <v>0</v>
      </c>
      <c r="G40" s="986">
        <v>0</v>
      </c>
      <c r="H40" s="1004">
        <f t="shared" si="0"/>
        <v>0</v>
      </c>
    </row>
    <row r="41" spans="1:8">
      <c r="A41" s="1105"/>
      <c r="B41" s="999" t="s">
        <v>1053</v>
      </c>
      <c r="C41" s="998" t="s">
        <v>998</v>
      </c>
      <c r="D41" s="1113">
        <v>11.394396</v>
      </c>
      <c r="E41" s="986">
        <v>11.394403000000001</v>
      </c>
      <c r="F41" s="986">
        <v>0</v>
      </c>
      <c r="G41" s="986">
        <v>0</v>
      </c>
      <c r="H41" s="1004">
        <f t="shared" si="0"/>
        <v>0</v>
      </c>
    </row>
    <row r="42" spans="1:8" s="884" customFormat="1">
      <c r="A42" s="1105"/>
      <c r="B42" s="1106" t="s">
        <v>1116</v>
      </c>
      <c r="C42" s="1106"/>
      <c r="D42" s="1114">
        <f>SUM(D18:D41)</f>
        <v>1507.6198479999998</v>
      </c>
      <c r="E42" s="983">
        <f>SUM(E18:E41)</f>
        <v>2589.5407889999997</v>
      </c>
      <c r="F42" s="983">
        <f>SUM(F18:F41)</f>
        <v>488.37334799999996</v>
      </c>
      <c r="G42" s="983">
        <f>SUM(G18:G41)</f>
        <v>488.37334799999996</v>
      </c>
      <c r="H42" s="1005">
        <f t="shared" si="0"/>
        <v>0.32393666655946018</v>
      </c>
    </row>
    <row r="43" spans="1:8">
      <c r="A43" s="996"/>
      <c r="B43" s="997" t="s">
        <v>487</v>
      </c>
      <c r="C43" s="997"/>
      <c r="D43" s="1003">
        <f>+D17+D42</f>
        <v>10560.507611000001</v>
      </c>
      <c r="E43" s="1003">
        <f>+E17+E42</f>
        <v>14708.998382834998</v>
      </c>
      <c r="F43" s="1003">
        <f>+F17+F42</f>
        <v>1777.1918689999998</v>
      </c>
      <c r="G43" s="1003">
        <f>+G17+G42</f>
        <v>1765.0338059999999</v>
      </c>
      <c r="H43" s="1002">
        <f t="shared" si="0"/>
        <v>0.16713531877591861</v>
      </c>
    </row>
    <row r="45" spans="1:8">
      <c r="G45" s="1001">
        <f>+G17/G43</f>
        <v>0.72330651892341147</v>
      </c>
    </row>
    <row r="46" spans="1:8">
      <c r="D46">
        <v>10560507611</v>
      </c>
    </row>
    <row r="48" spans="1:8">
      <c r="D48">
        <f>+D46/1000000</f>
        <v>10560.507611000001</v>
      </c>
      <c r="E48" s="1">
        <f>+D43-D48</f>
        <v>0</v>
      </c>
    </row>
  </sheetData>
  <mergeCells count="9">
    <mergeCell ref="A2:A17"/>
    <mergeCell ref="A18:A42"/>
    <mergeCell ref="B42:C42"/>
    <mergeCell ref="B17:C17"/>
    <mergeCell ref="B2:B3"/>
    <mergeCell ref="B38:B39"/>
    <mergeCell ref="B6:B7"/>
    <mergeCell ref="B12:B13"/>
    <mergeCell ref="B9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U438"/>
  <sheetViews>
    <sheetView showGridLines="0" zoomScale="120" zoomScaleNormal="120" workbookViewId="0">
      <pane xSplit="1" ySplit="3" topLeftCell="DF4" activePane="bottomRight" state="frozen"/>
      <selection activeCell="EI35" sqref="EI35"/>
      <selection pane="topRight" activeCell="EI35" sqref="EI35"/>
      <selection pane="bottomLeft" activeCell="EI35" sqref="EI35"/>
      <selection pane="bottomRight" activeCell="EH12" sqref="EH12"/>
    </sheetView>
  </sheetViews>
  <sheetFormatPr defaultColWidth="8.7265625" defaultRowHeight="13"/>
  <cols>
    <col min="1" max="1" width="38.26953125" style="129" customWidth="1"/>
    <col min="2" max="2" width="6.453125" style="10" hidden="1" customWidth="1"/>
    <col min="3" max="4" width="5.453125" style="10" hidden="1" customWidth="1"/>
    <col min="5" max="10" width="6.453125" style="10" hidden="1" customWidth="1"/>
    <col min="11" max="11" width="7.1796875" style="10" hidden="1" customWidth="1"/>
    <col min="12" max="15" width="6.453125" style="10" hidden="1" customWidth="1"/>
    <col min="16" max="17" width="5.453125" style="10" hidden="1" customWidth="1"/>
    <col min="18" max="18" width="10" style="10" hidden="1" customWidth="1"/>
    <col min="19" max="23" width="6.453125" style="10" hidden="1" customWidth="1"/>
    <col min="24" max="24" width="7.1796875" style="10" hidden="1" customWidth="1"/>
    <col min="25" max="28" width="6.453125" style="10" hidden="1" customWidth="1"/>
    <col min="29" max="30" width="5.453125" style="10" hidden="1" customWidth="1"/>
    <col min="31" max="36" width="6.453125" style="10" hidden="1" customWidth="1"/>
    <col min="37" max="37" width="7.1796875" style="10" hidden="1" customWidth="1"/>
    <col min="38" max="41" width="6.453125" style="10" hidden="1" customWidth="1"/>
    <col min="42" max="43" width="5.453125" style="10" hidden="1" customWidth="1"/>
    <col min="44" max="44" width="6.453125" style="115" hidden="1" customWidth="1"/>
    <col min="45" max="49" width="6.453125" style="10" hidden="1" customWidth="1"/>
    <col min="50" max="50" width="7.1796875" style="10" hidden="1" customWidth="1"/>
    <col min="51" max="54" width="6.453125" style="10" hidden="1" customWidth="1"/>
    <col min="55" max="55" width="7.81640625" style="10" hidden="1" customWidth="1"/>
    <col min="56" max="57" width="5.453125" style="106" hidden="1" customWidth="1"/>
    <col min="58" max="63" width="6.453125" style="106" hidden="1" customWidth="1"/>
    <col min="64" max="64" width="7.1796875" style="106" hidden="1" customWidth="1"/>
    <col min="65" max="68" width="6.453125" style="106" hidden="1" customWidth="1"/>
    <col min="69" max="69" width="7.81640625" style="106" hidden="1" customWidth="1"/>
    <col min="70" max="71" width="5.453125" style="106" hidden="1" customWidth="1"/>
    <col min="72" max="72" width="6.453125" style="82" hidden="1" customWidth="1"/>
    <col min="73" max="77" width="6.453125" style="106" hidden="1" customWidth="1"/>
    <col min="78" max="78" width="7.1796875" style="106" hidden="1" customWidth="1"/>
    <col min="79" max="82" width="6.453125" style="106" hidden="1" customWidth="1"/>
    <col min="83" max="84" width="5.453125" style="106" hidden="1" customWidth="1"/>
    <col min="85" max="85" width="7.1796875" style="106" hidden="1" customWidth="1"/>
    <col min="86" max="87" width="6.453125" style="106" hidden="1" customWidth="1"/>
    <col min="88" max="88" width="7.7265625" style="82" hidden="1" customWidth="1"/>
    <col min="89" max="90" width="6.453125" style="106" hidden="1" customWidth="1"/>
    <col min="91" max="91" width="8.26953125" style="106" hidden="1" customWidth="1"/>
    <col min="92" max="95" width="6.453125" style="106" hidden="1" customWidth="1"/>
    <col min="96" max="96" width="7.81640625" style="106" hidden="1" customWidth="1"/>
    <col min="97" max="98" width="5.453125" style="106" hidden="1" customWidth="1"/>
    <col min="99" max="99" width="7.1796875" style="106" hidden="1" customWidth="1"/>
    <col min="100" max="101" width="6.453125" style="106" hidden="1" customWidth="1"/>
    <col min="102" max="102" width="7.7265625" style="82" hidden="1" customWidth="1"/>
    <col min="103" max="104" width="6.453125" style="106" hidden="1" customWidth="1"/>
    <col min="105" max="105" width="7.1796875" style="106" hidden="1" customWidth="1"/>
    <col min="106" max="109" width="6.453125" style="106" hidden="1" customWidth="1"/>
    <col min="110" max="110" width="6.81640625" style="106" customWidth="1"/>
    <col min="111" max="112" width="6" style="106" hidden="1" customWidth="1"/>
    <col min="113" max="113" width="7" style="106" hidden="1" customWidth="1"/>
    <col min="114" max="114" width="7.54296875" style="106" hidden="1" customWidth="1"/>
    <col min="115" max="115" width="6.453125" style="82" hidden="1" customWidth="1"/>
    <col min="116" max="116" width="7" style="82" hidden="1" customWidth="1"/>
    <col min="117" max="117" width="6.453125" style="106" customWidth="1"/>
    <col min="118" max="118" width="6.453125" style="106" hidden="1" customWidth="1"/>
    <col min="119" max="119" width="7.1796875" style="106" hidden="1" customWidth="1"/>
    <col min="120" max="121" width="6.453125" style="106" hidden="1" customWidth="1"/>
    <col min="122" max="122" width="8.453125" style="106" hidden="1" customWidth="1"/>
    <col min="123" max="123" width="7.26953125" style="106" hidden="1" customWidth="1"/>
    <col min="124" max="124" width="7.26953125" style="106" customWidth="1"/>
    <col min="125" max="125" width="6" style="106" hidden="1" customWidth="1"/>
    <col min="126" max="127" width="6.81640625" style="106" hidden="1" customWidth="1"/>
    <col min="128" max="128" width="7.54296875" style="106" hidden="1" customWidth="1"/>
    <col min="129" max="129" width="6.81640625" style="106" hidden="1" customWidth="1"/>
    <col min="130" max="130" width="7.81640625" style="106" hidden="1" customWidth="1"/>
    <col min="131" max="131" width="7.1796875" style="106" customWidth="1"/>
    <col min="132" max="132" width="6" style="106" hidden="1" customWidth="1"/>
    <col min="133" max="133" width="5.453125" style="106" hidden="1" customWidth="1"/>
    <col min="134" max="134" width="8.26953125" style="106" hidden="1" customWidth="1"/>
    <col min="135" max="135" width="7.6328125" style="106" hidden="1" customWidth="1"/>
    <col min="136" max="136" width="8.81640625" style="106" hidden="1" customWidth="1"/>
    <col min="137" max="138" width="6.81640625" style="10" customWidth="1"/>
    <col min="139" max="139" width="8.54296875" style="10" hidden="1" customWidth="1"/>
    <col min="140" max="140" width="7.7265625" style="10" hidden="1" customWidth="1"/>
    <col min="141" max="143" width="8.7265625" style="10" hidden="1" customWidth="1"/>
    <col min="144" max="144" width="13.7265625" style="10" hidden="1" customWidth="1"/>
    <col min="145" max="145" width="8.7265625" style="10" hidden="1" customWidth="1"/>
    <col min="146" max="146" width="15.54296875" style="10" hidden="1" customWidth="1"/>
    <col min="147" max="151" width="8.7265625" style="10" hidden="1" customWidth="1"/>
    <col min="152" max="152" width="8.7265625" style="10" customWidth="1"/>
    <col min="153" max="16384" width="8.7265625" style="10"/>
  </cols>
  <sheetData>
    <row r="1" spans="1:148">
      <c r="A1" s="1018" t="s">
        <v>7</v>
      </c>
      <c r="B1" s="1019">
        <v>2012</v>
      </c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1019"/>
      <c r="N1" s="1019"/>
      <c r="O1" s="1020">
        <v>2013</v>
      </c>
      <c r="P1" s="1020"/>
      <c r="Q1" s="1020"/>
      <c r="R1" s="1020"/>
      <c r="S1" s="1020"/>
      <c r="T1" s="1020"/>
      <c r="U1" s="1020"/>
      <c r="V1" s="1020"/>
      <c r="W1" s="1020"/>
      <c r="X1" s="1020"/>
      <c r="Y1" s="1020"/>
      <c r="Z1" s="1020"/>
      <c r="AA1" s="1020"/>
      <c r="AB1" s="1021">
        <v>2014</v>
      </c>
      <c r="AC1" s="1021"/>
      <c r="AD1" s="1021"/>
      <c r="AE1" s="1021"/>
      <c r="AF1" s="1021"/>
      <c r="AG1" s="1021"/>
      <c r="AH1" s="1021"/>
      <c r="AI1" s="1021"/>
      <c r="AJ1" s="1021"/>
      <c r="AK1" s="1021"/>
      <c r="AL1" s="1021"/>
      <c r="AM1" s="1021"/>
      <c r="AN1" s="1021"/>
      <c r="AO1" s="1021">
        <v>2015</v>
      </c>
      <c r="AP1" s="1021"/>
      <c r="AQ1" s="1021"/>
      <c r="AR1" s="1021"/>
      <c r="AS1" s="1021"/>
      <c r="AT1" s="1021"/>
      <c r="AU1" s="1021"/>
      <c r="AV1" s="1021"/>
      <c r="AW1" s="1021"/>
      <c r="AX1" s="1021"/>
      <c r="AY1" s="1021"/>
      <c r="AZ1" s="1021"/>
      <c r="BA1" s="1021"/>
      <c r="BB1" s="1021">
        <v>2016</v>
      </c>
      <c r="BC1" s="1021"/>
      <c r="BD1" s="1021"/>
      <c r="BE1" s="1021"/>
      <c r="BF1" s="1021"/>
      <c r="BG1" s="1021"/>
      <c r="BH1" s="1021"/>
      <c r="BI1" s="1021"/>
      <c r="BJ1" s="1021"/>
      <c r="BK1" s="1021"/>
      <c r="BL1" s="1021"/>
      <c r="BM1" s="1021"/>
      <c r="BN1" s="1021"/>
      <c r="BO1" s="1021"/>
      <c r="BP1" s="1013">
        <v>2017</v>
      </c>
      <c r="BQ1" s="1013"/>
      <c r="BR1" s="1013"/>
      <c r="BS1" s="1013"/>
      <c r="BT1" s="1013"/>
      <c r="BU1" s="1013"/>
      <c r="BV1" s="1013"/>
      <c r="BW1" s="1013"/>
      <c r="BX1" s="1013"/>
      <c r="BY1" s="1013"/>
      <c r="BZ1" s="1013"/>
      <c r="CA1" s="1013"/>
      <c r="CB1" s="1013"/>
      <c r="CC1" s="1013"/>
      <c r="CD1" s="1013">
        <v>2018</v>
      </c>
      <c r="CE1" s="1013"/>
      <c r="CF1" s="1013"/>
      <c r="CG1" s="1013"/>
      <c r="CH1" s="1013"/>
      <c r="CI1" s="1013"/>
      <c r="CJ1" s="1013"/>
      <c r="CK1" s="1013"/>
      <c r="CL1" s="1013"/>
      <c r="CM1" s="1013"/>
      <c r="CN1" s="1013"/>
      <c r="CO1" s="1013"/>
      <c r="CP1" s="1013"/>
      <c r="CQ1" s="1013">
        <v>2019</v>
      </c>
      <c r="CR1" s="1013"/>
      <c r="CS1" s="1013"/>
      <c r="CT1" s="1013"/>
      <c r="CU1" s="1013"/>
      <c r="CV1" s="1013"/>
      <c r="CW1" s="1013"/>
      <c r="CX1" s="1013"/>
      <c r="CY1" s="1013"/>
      <c r="CZ1" s="1013"/>
      <c r="DA1" s="1013"/>
      <c r="DB1" s="1013"/>
      <c r="DC1" s="1013"/>
      <c r="DD1" s="1013"/>
      <c r="DE1" s="1014">
        <v>2020</v>
      </c>
      <c r="DF1" s="1014"/>
      <c r="DG1" s="1014"/>
      <c r="DH1" s="1014"/>
      <c r="DI1" s="1014"/>
      <c r="DJ1" s="1014"/>
      <c r="DK1" s="1014"/>
      <c r="DL1" s="1014"/>
      <c r="DM1" s="1014"/>
      <c r="DN1" s="1014"/>
      <c r="DO1" s="1014"/>
      <c r="DP1" s="1014"/>
      <c r="DQ1" s="1014"/>
      <c r="DR1" s="1014"/>
      <c r="DS1" s="1014" t="s">
        <v>8</v>
      </c>
      <c r="DT1" s="1014"/>
      <c r="DU1" s="1014"/>
      <c r="DV1" s="1014"/>
      <c r="DW1" s="1014"/>
      <c r="DX1" s="1014"/>
      <c r="DY1" s="1014"/>
      <c r="DZ1" s="1014"/>
      <c r="EA1" s="1014"/>
      <c r="EB1" s="1014"/>
      <c r="EC1" s="1014"/>
      <c r="ED1" s="1014"/>
      <c r="EE1" s="1014"/>
      <c r="EF1" s="1014"/>
      <c r="EG1" s="1014"/>
      <c r="EH1" s="1014"/>
      <c r="EN1" s="1015" t="s">
        <v>1105</v>
      </c>
      <c r="EO1" s="1016"/>
      <c r="EP1" s="1016"/>
      <c r="EQ1" s="1017"/>
    </row>
    <row r="2" spans="1:148" ht="14.25" customHeight="1">
      <c r="A2" s="1018"/>
      <c r="B2" s="1022" t="s">
        <v>9</v>
      </c>
      <c r="C2" s="1023" t="s">
        <v>1</v>
      </c>
      <c r="D2" s="11" t="s">
        <v>2</v>
      </c>
      <c r="E2" s="12" t="s">
        <v>10</v>
      </c>
      <c r="F2" s="1008" t="s">
        <v>4</v>
      </c>
      <c r="G2" s="1008" t="s">
        <v>5</v>
      </c>
      <c r="H2" s="13" t="s">
        <v>10</v>
      </c>
      <c r="I2" s="1008" t="s">
        <v>11</v>
      </c>
      <c r="J2" s="1008" t="s">
        <v>12</v>
      </c>
      <c r="K2" s="13" t="s">
        <v>10</v>
      </c>
      <c r="L2" s="1008" t="s">
        <v>13</v>
      </c>
      <c r="M2" s="1008" t="s">
        <v>14</v>
      </c>
      <c r="N2" s="1008" t="s">
        <v>15</v>
      </c>
      <c r="O2" s="1008" t="s">
        <v>9</v>
      </c>
      <c r="P2" s="1008" t="s">
        <v>1</v>
      </c>
      <c r="Q2" s="1008" t="s">
        <v>2</v>
      </c>
      <c r="R2" s="13" t="s">
        <v>10</v>
      </c>
      <c r="S2" s="1008" t="s">
        <v>4</v>
      </c>
      <c r="T2" s="1008" t="s">
        <v>5</v>
      </c>
      <c r="U2" s="13" t="s">
        <v>10</v>
      </c>
      <c r="V2" s="1008" t="s">
        <v>11</v>
      </c>
      <c r="W2" s="1008" t="s">
        <v>12</v>
      </c>
      <c r="X2" s="13" t="s">
        <v>10</v>
      </c>
      <c r="Y2" s="1008" t="s">
        <v>13</v>
      </c>
      <c r="Z2" s="1008" t="s">
        <v>14</v>
      </c>
      <c r="AA2" s="1008" t="s">
        <v>15</v>
      </c>
      <c r="AB2" s="1008" t="s">
        <v>9</v>
      </c>
      <c r="AC2" s="1008" t="s">
        <v>1</v>
      </c>
      <c r="AD2" s="1008" t="s">
        <v>2</v>
      </c>
      <c r="AE2" s="13" t="s">
        <v>10</v>
      </c>
      <c r="AF2" s="1008" t="s">
        <v>4</v>
      </c>
      <c r="AG2" s="1008" t="s">
        <v>5</v>
      </c>
      <c r="AH2" s="13" t="s">
        <v>10</v>
      </c>
      <c r="AI2" s="1008" t="s">
        <v>11</v>
      </c>
      <c r="AJ2" s="1008" t="s">
        <v>12</v>
      </c>
      <c r="AK2" s="13" t="s">
        <v>10</v>
      </c>
      <c r="AL2" s="1008" t="s">
        <v>13</v>
      </c>
      <c r="AM2" s="1008" t="s">
        <v>14</v>
      </c>
      <c r="AN2" s="1008" t="s">
        <v>15</v>
      </c>
      <c r="AO2" s="1008" t="s">
        <v>9</v>
      </c>
      <c r="AP2" s="1008" t="s">
        <v>1</v>
      </c>
      <c r="AQ2" s="1008" t="s">
        <v>2</v>
      </c>
      <c r="AR2" s="13" t="s">
        <v>10</v>
      </c>
      <c r="AS2" s="1008" t="s">
        <v>4</v>
      </c>
      <c r="AT2" s="1008" t="s">
        <v>5</v>
      </c>
      <c r="AU2" s="13" t="s">
        <v>10</v>
      </c>
      <c r="AV2" s="1008" t="s">
        <v>16</v>
      </c>
      <c r="AW2" s="1008" t="s">
        <v>12</v>
      </c>
      <c r="AX2" s="13" t="s">
        <v>10</v>
      </c>
      <c r="AY2" s="1008" t="s">
        <v>13</v>
      </c>
      <c r="AZ2" s="1008" t="s">
        <v>14</v>
      </c>
      <c r="BA2" s="1008" t="s">
        <v>15</v>
      </c>
      <c r="BB2" s="1008" t="s">
        <v>9</v>
      </c>
      <c r="BC2" s="1008" t="s">
        <v>17</v>
      </c>
      <c r="BD2" s="1008" t="s">
        <v>1</v>
      </c>
      <c r="BE2" s="1008" t="s">
        <v>2</v>
      </c>
      <c r="BF2" s="13" t="s">
        <v>10</v>
      </c>
      <c r="BG2" s="1008" t="s">
        <v>4</v>
      </c>
      <c r="BH2" s="1008" t="s">
        <v>5</v>
      </c>
      <c r="BI2" s="13" t="s">
        <v>10</v>
      </c>
      <c r="BJ2" s="1008" t="s">
        <v>11</v>
      </c>
      <c r="BK2" s="1008" t="s">
        <v>12</v>
      </c>
      <c r="BL2" s="13" t="s">
        <v>10</v>
      </c>
      <c r="BM2" s="1008" t="s">
        <v>13</v>
      </c>
      <c r="BN2" s="1008" t="s">
        <v>14</v>
      </c>
      <c r="BO2" s="1008" t="s">
        <v>15</v>
      </c>
      <c r="BP2" s="1008" t="s">
        <v>9</v>
      </c>
      <c r="BQ2" s="1008" t="s">
        <v>17</v>
      </c>
      <c r="BR2" s="1008" t="s">
        <v>1</v>
      </c>
      <c r="BS2" s="1008" t="s">
        <v>2</v>
      </c>
      <c r="BT2" s="13" t="s">
        <v>10</v>
      </c>
      <c r="BU2" s="1008" t="s">
        <v>4</v>
      </c>
      <c r="BV2" s="1008" t="s">
        <v>5</v>
      </c>
      <c r="BW2" s="13" t="s">
        <v>10</v>
      </c>
      <c r="BX2" s="1008" t="s">
        <v>11</v>
      </c>
      <c r="BY2" s="1008" t="s">
        <v>12</v>
      </c>
      <c r="BZ2" s="13" t="s">
        <v>10</v>
      </c>
      <c r="CA2" s="1008" t="s">
        <v>13</v>
      </c>
      <c r="CB2" s="1008" t="s">
        <v>14</v>
      </c>
      <c r="CC2" s="1008" t="s">
        <v>15</v>
      </c>
      <c r="CD2" s="1008" t="s">
        <v>9</v>
      </c>
      <c r="CE2" s="1008" t="s">
        <v>1</v>
      </c>
      <c r="CF2" s="1008" t="s">
        <v>2</v>
      </c>
      <c r="CG2" s="1010" t="s">
        <v>18</v>
      </c>
      <c r="CH2" s="1008" t="s">
        <v>4</v>
      </c>
      <c r="CI2" s="1008" t="s">
        <v>5</v>
      </c>
      <c r="CJ2" s="1010" t="s">
        <v>19</v>
      </c>
      <c r="CK2" s="1008" t="s">
        <v>11</v>
      </c>
      <c r="CL2" s="1008" t="s">
        <v>12</v>
      </c>
      <c r="CM2" s="1011" t="s">
        <v>20</v>
      </c>
      <c r="CN2" s="1008" t="s">
        <v>13</v>
      </c>
      <c r="CO2" s="1008" t="s">
        <v>14</v>
      </c>
      <c r="CP2" s="1008" t="s">
        <v>15</v>
      </c>
      <c r="CQ2" s="1008" t="s">
        <v>9</v>
      </c>
      <c r="CR2" s="1012" t="s">
        <v>17</v>
      </c>
      <c r="CS2" s="1008" t="s">
        <v>1</v>
      </c>
      <c r="CT2" s="1008" t="s">
        <v>2</v>
      </c>
      <c r="CU2" s="1010" t="s">
        <v>18</v>
      </c>
      <c r="CV2" s="1008" t="s">
        <v>4</v>
      </c>
      <c r="CW2" s="1008" t="s">
        <v>21</v>
      </c>
      <c r="CX2" s="1010" t="s">
        <v>19</v>
      </c>
      <c r="CY2" s="1008" t="s">
        <v>11</v>
      </c>
      <c r="CZ2" s="1008" t="s">
        <v>12</v>
      </c>
      <c r="DA2" s="14" t="s">
        <v>10</v>
      </c>
      <c r="DB2" s="1008" t="s">
        <v>13</v>
      </c>
      <c r="DC2" s="1008" t="s">
        <v>14</v>
      </c>
      <c r="DD2" s="1010" t="s">
        <v>15</v>
      </c>
      <c r="DE2" s="15" t="s">
        <v>9</v>
      </c>
      <c r="DF2" s="15" t="s">
        <v>9</v>
      </c>
      <c r="DG2" s="1008" t="s">
        <v>1</v>
      </c>
      <c r="DH2" s="1008" t="s">
        <v>2</v>
      </c>
      <c r="DI2" s="1010" t="s">
        <v>18</v>
      </c>
      <c r="DJ2" s="1008" t="s">
        <v>4</v>
      </c>
      <c r="DK2" s="1008" t="s">
        <v>21</v>
      </c>
      <c r="DL2" s="1010" t="s">
        <v>19</v>
      </c>
      <c r="DM2" s="1008" t="s">
        <v>11</v>
      </c>
      <c r="DN2" s="1008" t="s">
        <v>12</v>
      </c>
      <c r="DO2" s="972" t="s">
        <v>10</v>
      </c>
      <c r="DP2" s="1008" t="s">
        <v>13</v>
      </c>
      <c r="DQ2" s="1008" t="s">
        <v>14</v>
      </c>
      <c r="DR2" s="1010" t="s">
        <v>22</v>
      </c>
      <c r="DS2" s="1008" t="s">
        <v>23</v>
      </c>
      <c r="DT2" s="15" t="s">
        <v>9</v>
      </c>
      <c r="DU2" s="1008" t="s">
        <v>1</v>
      </c>
      <c r="DV2" s="1008" t="s">
        <v>2</v>
      </c>
      <c r="DW2" s="1009" t="s">
        <v>18</v>
      </c>
      <c r="DX2" s="1008" t="s">
        <v>4</v>
      </c>
      <c r="DY2" s="1008" t="s">
        <v>5</v>
      </c>
      <c r="DZ2" s="1010" t="s">
        <v>18</v>
      </c>
      <c r="EA2" s="1008" t="s">
        <v>11</v>
      </c>
      <c r="EB2" s="1008" t="s">
        <v>12</v>
      </c>
      <c r="EC2" s="1008" t="s">
        <v>25</v>
      </c>
      <c r="ED2" s="1008" t="s">
        <v>13</v>
      </c>
      <c r="EE2" s="1008" t="s">
        <v>14</v>
      </c>
      <c r="EF2" s="1008" t="s">
        <v>26</v>
      </c>
      <c r="EG2" s="1007" t="s">
        <v>27</v>
      </c>
      <c r="EH2" s="1007" t="s">
        <v>28</v>
      </c>
      <c r="EN2" s="16"/>
      <c r="EO2" s="17">
        <v>2020</v>
      </c>
      <c r="EP2" s="17">
        <v>2021</v>
      </c>
      <c r="EQ2" s="18" t="s">
        <v>29</v>
      </c>
    </row>
    <row r="3" spans="1:148" ht="12" customHeight="1">
      <c r="A3" s="1018"/>
      <c r="B3" s="1022"/>
      <c r="C3" s="1023"/>
      <c r="D3" s="11" t="s">
        <v>2</v>
      </c>
      <c r="E3" s="12" t="s">
        <v>30</v>
      </c>
      <c r="F3" s="1008"/>
      <c r="G3" s="1008"/>
      <c r="H3" s="13" t="s">
        <v>31</v>
      </c>
      <c r="I3" s="1008"/>
      <c r="J3" s="1008"/>
      <c r="K3" s="13" t="s">
        <v>32</v>
      </c>
      <c r="L3" s="1008"/>
      <c r="M3" s="1008"/>
      <c r="N3" s="1008"/>
      <c r="O3" s="1008"/>
      <c r="P3" s="1008"/>
      <c r="Q3" s="1008"/>
      <c r="R3" s="13" t="s">
        <v>30</v>
      </c>
      <c r="S3" s="1008"/>
      <c r="T3" s="1008"/>
      <c r="U3" s="13" t="s">
        <v>31</v>
      </c>
      <c r="V3" s="1008"/>
      <c r="W3" s="1008"/>
      <c r="X3" s="13" t="s">
        <v>32</v>
      </c>
      <c r="Y3" s="1008"/>
      <c r="Z3" s="1008"/>
      <c r="AA3" s="1008"/>
      <c r="AB3" s="1008"/>
      <c r="AC3" s="1008"/>
      <c r="AD3" s="1008"/>
      <c r="AE3" s="13" t="s">
        <v>30</v>
      </c>
      <c r="AF3" s="1008"/>
      <c r="AG3" s="1008"/>
      <c r="AH3" s="13" t="s">
        <v>31</v>
      </c>
      <c r="AI3" s="1008"/>
      <c r="AJ3" s="1008"/>
      <c r="AK3" s="13" t="s">
        <v>32</v>
      </c>
      <c r="AL3" s="1008"/>
      <c r="AM3" s="1008"/>
      <c r="AN3" s="1008"/>
      <c r="AO3" s="1008"/>
      <c r="AP3" s="1008"/>
      <c r="AQ3" s="1008"/>
      <c r="AR3" s="13" t="s">
        <v>30</v>
      </c>
      <c r="AS3" s="1008"/>
      <c r="AT3" s="1008"/>
      <c r="AU3" s="13" t="s">
        <v>31</v>
      </c>
      <c r="AV3" s="1008"/>
      <c r="AW3" s="1008"/>
      <c r="AX3" s="13" t="s">
        <v>32</v>
      </c>
      <c r="AY3" s="1008"/>
      <c r="AZ3" s="1008"/>
      <c r="BA3" s="1008"/>
      <c r="BB3" s="1008"/>
      <c r="BC3" s="1008"/>
      <c r="BD3" s="1008"/>
      <c r="BE3" s="1008"/>
      <c r="BF3" s="13" t="s">
        <v>30</v>
      </c>
      <c r="BG3" s="1008"/>
      <c r="BH3" s="1008"/>
      <c r="BI3" s="13" t="s">
        <v>31</v>
      </c>
      <c r="BJ3" s="1008"/>
      <c r="BK3" s="1008"/>
      <c r="BL3" s="13" t="s">
        <v>32</v>
      </c>
      <c r="BM3" s="1008"/>
      <c r="BN3" s="1008"/>
      <c r="BO3" s="1008"/>
      <c r="BP3" s="1008"/>
      <c r="BQ3" s="1008"/>
      <c r="BR3" s="1008"/>
      <c r="BS3" s="1008"/>
      <c r="BT3" s="13" t="s">
        <v>30</v>
      </c>
      <c r="BU3" s="1008"/>
      <c r="BV3" s="1008"/>
      <c r="BW3" s="13" t="s">
        <v>31</v>
      </c>
      <c r="BX3" s="1008"/>
      <c r="BY3" s="1008"/>
      <c r="BZ3" s="13" t="s">
        <v>32</v>
      </c>
      <c r="CA3" s="1008"/>
      <c r="CB3" s="1008"/>
      <c r="CC3" s="1008"/>
      <c r="CD3" s="1008"/>
      <c r="CE3" s="1008"/>
      <c r="CF3" s="1008"/>
      <c r="CG3" s="1010"/>
      <c r="CH3" s="1008"/>
      <c r="CI3" s="1008"/>
      <c r="CJ3" s="1010"/>
      <c r="CK3" s="1008"/>
      <c r="CL3" s="1008"/>
      <c r="CM3" s="1011"/>
      <c r="CN3" s="1008"/>
      <c r="CO3" s="1008"/>
      <c r="CP3" s="1008"/>
      <c r="CQ3" s="1008"/>
      <c r="CR3" s="1012"/>
      <c r="CS3" s="1008"/>
      <c r="CT3" s="1008"/>
      <c r="CU3" s="1010"/>
      <c r="CV3" s="1008"/>
      <c r="CW3" s="1008"/>
      <c r="CX3" s="1010"/>
      <c r="CY3" s="1008"/>
      <c r="CZ3" s="1008"/>
      <c r="DA3" s="14" t="s">
        <v>32</v>
      </c>
      <c r="DB3" s="1008"/>
      <c r="DC3" s="1008"/>
      <c r="DD3" s="1010"/>
      <c r="DE3" s="15" t="s">
        <v>33</v>
      </c>
      <c r="DF3" s="15" t="s">
        <v>34</v>
      </c>
      <c r="DG3" s="1008"/>
      <c r="DH3" s="1008"/>
      <c r="DI3" s="1010"/>
      <c r="DJ3" s="1008"/>
      <c r="DK3" s="1008"/>
      <c r="DL3" s="1010"/>
      <c r="DM3" s="1008"/>
      <c r="DN3" s="1008"/>
      <c r="DO3" s="972" t="s">
        <v>32</v>
      </c>
      <c r="DP3" s="1008"/>
      <c r="DQ3" s="1008"/>
      <c r="DR3" s="1010"/>
      <c r="DS3" s="1008"/>
      <c r="DT3" s="15" t="s">
        <v>34</v>
      </c>
      <c r="DU3" s="1008"/>
      <c r="DV3" s="1008"/>
      <c r="DW3" s="1009"/>
      <c r="DX3" s="1008"/>
      <c r="DY3" s="1008"/>
      <c r="DZ3" s="1010"/>
      <c r="EA3" s="1008"/>
      <c r="EB3" s="1008"/>
      <c r="EC3" s="1008"/>
      <c r="ED3" s="1008"/>
      <c r="EE3" s="1008"/>
      <c r="EF3" s="1008"/>
      <c r="EG3" s="1007"/>
      <c r="EH3" s="1007"/>
      <c r="EI3" s="736" t="s">
        <v>1072</v>
      </c>
      <c r="EN3" s="19" t="s">
        <v>35</v>
      </c>
      <c r="EO3" s="20">
        <f>+DM10+DM21+DM24</f>
        <v>13081.505863</v>
      </c>
      <c r="EP3" s="20">
        <f>+EA10+EA21+EA24</f>
        <v>12780.601682000002</v>
      </c>
      <c r="EQ3" s="21">
        <f>(+EP3/EO3-1)*100</f>
        <v>-2.3002258620017257</v>
      </c>
    </row>
    <row r="4" spans="1:148" s="4" customFormat="1" ht="15" customHeight="1">
      <c r="A4" s="22" t="s">
        <v>36</v>
      </c>
      <c r="B4" s="23">
        <v>32092.276722000002</v>
      </c>
      <c r="C4" s="23">
        <v>2964.6124970000001</v>
      </c>
      <c r="D4" s="23">
        <v>5079.8298240000004</v>
      </c>
      <c r="E4" s="23">
        <v>7111.2130509999997</v>
      </c>
      <c r="F4" s="23">
        <v>8926.9873310000003</v>
      </c>
      <c r="G4" s="23">
        <v>11852.00742</v>
      </c>
      <c r="H4" s="23">
        <v>13689.051519999999</v>
      </c>
      <c r="I4" s="23">
        <v>15844.035965999998</v>
      </c>
      <c r="J4" s="23">
        <v>18008.459344999999</v>
      </c>
      <c r="K4" s="23">
        <v>20685.513128000002</v>
      </c>
      <c r="L4" s="23">
        <v>23006.807066000001</v>
      </c>
      <c r="M4" s="23">
        <v>25138.162351999999</v>
      </c>
      <c r="N4" s="23">
        <v>27572.781316000004</v>
      </c>
      <c r="O4" s="24">
        <v>35888.732208000001</v>
      </c>
      <c r="P4" s="23">
        <v>2852.0249240000003</v>
      </c>
      <c r="Q4" s="23">
        <v>4945.5202630000003</v>
      </c>
      <c r="R4" s="23">
        <v>6707.8345939999999</v>
      </c>
      <c r="S4" s="23">
        <v>8703.2002859999993</v>
      </c>
      <c r="T4" s="23">
        <v>11177.988139999998</v>
      </c>
      <c r="U4" s="23">
        <v>13193.305798999998</v>
      </c>
      <c r="V4" s="23">
        <v>15869.536279</v>
      </c>
      <c r="W4" s="23">
        <v>17937.960091000001</v>
      </c>
      <c r="X4" s="23">
        <v>20499.867619999997</v>
      </c>
      <c r="Y4" s="23">
        <v>23075.341493000004</v>
      </c>
      <c r="Z4" s="23">
        <v>25185.288841000001</v>
      </c>
      <c r="AA4" s="23">
        <v>28099.504776000002</v>
      </c>
      <c r="AB4" s="24">
        <v>32691.739837000001</v>
      </c>
      <c r="AC4" s="23">
        <v>2788.7386590000001</v>
      </c>
      <c r="AD4" s="23">
        <v>4665.3364000000001</v>
      </c>
      <c r="AE4" s="23">
        <v>6725.7517810000008</v>
      </c>
      <c r="AF4" s="23">
        <v>8701.3311020000001</v>
      </c>
      <c r="AG4" s="23">
        <v>11465.667110999999</v>
      </c>
      <c r="AH4" s="23">
        <v>13347.687169000001</v>
      </c>
      <c r="AI4" s="23">
        <v>15474.950584</v>
      </c>
      <c r="AJ4" s="23">
        <v>17370.673311000002</v>
      </c>
      <c r="AK4" s="23">
        <v>19904.243539999996</v>
      </c>
      <c r="AL4" s="23">
        <v>22226.585440999996</v>
      </c>
      <c r="AM4" s="23">
        <v>24313.662624000001</v>
      </c>
      <c r="AN4" s="23">
        <v>27059.827995000003</v>
      </c>
      <c r="AO4" s="24">
        <v>32666.028079</v>
      </c>
      <c r="AP4" s="23">
        <v>2536.3698770000001</v>
      </c>
      <c r="AQ4" s="23">
        <v>4721.9475939999993</v>
      </c>
      <c r="AR4" s="23">
        <v>7531.3816020000004</v>
      </c>
      <c r="AS4" s="23">
        <v>9799</v>
      </c>
      <c r="AT4" s="23">
        <v>12051</v>
      </c>
      <c r="AU4" s="23">
        <v>14817.565375</v>
      </c>
      <c r="AV4" s="23">
        <v>17238.136484999999</v>
      </c>
      <c r="AW4" s="23">
        <v>19538</v>
      </c>
      <c r="AX4" s="23">
        <v>21750.559217999999</v>
      </c>
      <c r="AY4" s="23">
        <v>24448.108597999999</v>
      </c>
      <c r="AZ4" s="23">
        <v>27361.734875000002</v>
      </c>
      <c r="BA4" s="23">
        <v>30516.447098000001</v>
      </c>
      <c r="BB4" s="24">
        <v>34937.839119999997</v>
      </c>
      <c r="BC4" s="23">
        <v>32303.934447</v>
      </c>
      <c r="BD4" s="23">
        <v>2460.5919869999998</v>
      </c>
      <c r="BE4" s="23">
        <v>4957.8115070000003</v>
      </c>
      <c r="BF4" s="23">
        <v>8023.9198699999997</v>
      </c>
      <c r="BG4" s="23">
        <v>10410.704269999998</v>
      </c>
      <c r="BH4" s="23">
        <v>12832.598239000003</v>
      </c>
      <c r="BI4" s="23">
        <v>15566.586600999999</v>
      </c>
      <c r="BJ4" s="23">
        <v>18396.501444000001</v>
      </c>
      <c r="BK4" s="23">
        <v>20975.063740999998</v>
      </c>
      <c r="BL4" s="23">
        <v>23731.602529</v>
      </c>
      <c r="BM4" s="23">
        <v>26161.950682999999</v>
      </c>
      <c r="BN4" s="23">
        <v>29226.839107000003</v>
      </c>
      <c r="BO4" s="23">
        <v>44107.465493999996</v>
      </c>
      <c r="BP4" s="24">
        <v>37407.489540000002</v>
      </c>
      <c r="BQ4" s="23">
        <v>36005.838820916753</v>
      </c>
      <c r="BR4" s="23">
        <v>2863.8786720000003</v>
      </c>
      <c r="BS4" s="23">
        <v>5362.5462159999997</v>
      </c>
      <c r="BT4" s="23">
        <v>8505.5755030000018</v>
      </c>
      <c r="BU4" s="23">
        <v>12052.511119999999</v>
      </c>
      <c r="BV4" s="23">
        <v>14839.316326</v>
      </c>
      <c r="BW4" s="23">
        <v>17025.116341000001</v>
      </c>
      <c r="BX4" s="23">
        <v>21132.003972999999</v>
      </c>
      <c r="BY4" s="23">
        <v>23706.434248000001</v>
      </c>
      <c r="BZ4" s="23">
        <v>26117.351634999999</v>
      </c>
      <c r="CA4" s="23">
        <v>40607.380365999998</v>
      </c>
      <c r="CB4" s="23">
        <v>32181.981425000002</v>
      </c>
      <c r="CC4" s="23">
        <v>35842.192143000007</v>
      </c>
      <c r="CD4" s="24">
        <v>42327.841998999997</v>
      </c>
      <c r="CE4" s="23">
        <v>2891.6169969999996</v>
      </c>
      <c r="CF4" s="23">
        <v>5459.5193870000003</v>
      </c>
      <c r="CG4" s="23">
        <v>9075.9021309999989</v>
      </c>
      <c r="CH4" s="23">
        <v>12077.440466</v>
      </c>
      <c r="CI4" s="23">
        <v>16153.434375999999</v>
      </c>
      <c r="CJ4" s="23">
        <v>18907.747267999999</v>
      </c>
      <c r="CK4" s="23">
        <v>22154.402899999997</v>
      </c>
      <c r="CL4" s="23">
        <v>25962.602094000002</v>
      </c>
      <c r="CM4" s="23">
        <v>29056.377935</v>
      </c>
      <c r="CN4" s="23">
        <v>32106.452311999998</v>
      </c>
      <c r="CO4" s="23">
        <v>35652.019511999999</v>
      </c>
      <c r="CP4" s="23">
        <v>40522.796752000002</v>
      </c>
      <c r="CQ4" s="24">
        <v>44406.520139999993</v>
      </c>
      <c r="CR4" s="23">
        <v>43125.622071666847</v>
      </c>
      <c r="CS4" s="23">
        <v>2997.0795980000003</v>
      </c>
      <c r="CT4" s="23">
        <v>5897.8396889999995</v>
      </c>
      <c r="CU4" s="23">
        <v>9517.5518279999997</v>
      </c>
      <c r="CV4" s="23">
        <v>12813.210818000001</v>
      </c>
      <c r="CW4" s="23">
        <v>16873.081978999999</v>
      </c>
      <c r="CX4" s="23">
        <v>20218.748308999999</v>
      </c>
      <c r="CY4" s="23">
        <v>23384.338987000003</v>
      </c>
      <c r="CZ4" s="23">
        <v>27524.492020000002</v>
      </c>
      <c r="DA4" s="23">
        <v>30651.576880000001</v>
      </c>
      <c r="DB4" s="23">
        <v>34015.421897</v>
      </c>
      <c r="DC4" s="23">
        <v>37619.551342999992</v>
      </c>
      <c r="DD4" s="23">
        <v>42141.232468000002</v>
      </c>
      <c r="DE4" s="25">
        <v>48065.657007000002</v>
      </c>
      <c r="DF4" s="26">
        <v>33952.035034</v>
      </c>
      <c r="DG4" s="25">
        <v>3154.6412930000001</v>
      </c>
      <c r="DH4" s="25">
        <v>6184.3542689999986</v>
      </c>
      <c r="DI4" s="25">
        <v>9918.5543349999989</v>
      </c>
      <c r="DJ4" s="25">
        <v>12424.681693999999</v>
      </c>
      <c r="DK4" s="25">
        <v>14027.119125000001</v>
      </c>
      <c r="DL4" s="25">
        <v>15889.043747</v>
      </c>
      <c r="DM4" s="25">
        <v>18978.062774000002</v>
      </c>
      <c r="DN4" s="25">
        <v>21242.743874</v>
      </c>
      <c r="DO4" s="25">
        <v>23760.630523000003</v>
      </c>
      <c r="DP4" s="25">
        <v>26100.360662000003</v>
      </c>
      <c r="DQ4" s="25">
        <v>28345.638239</v>
      </c>
      <c r="DR4" s="25">
        <f>+DR5+DR10+DR21+DR24</f>
        <v>32236.740126000001</v>
      </c>
      <c r="DS4" s="25">
        <f>+DS5+DS8+DS10+DS21+DS24</f>
        <v>39765.413606000002</v>
      </c>
      <c r="DT4" s="25">
        <f>+DT5+DT8+DT10+DT21+DT24</f>
        <v>34894.816271999996</v>
      </c>
      <c r="DU4" s="26">
        <v>2080.3629959999998</v>
      </c>
      <c r="DV4" s="26">
        <v>4312.4241590000001</v>
      </c>
      <c r="DW4" s="26">
        <v>7172.3895210000001</v>
      </c>
      <c r="DX4" s="26">
        <v>9539.572764999999</v>
      </c>
      <c r="DY4" s="26">
        <v>12531.068014</v>
      </c>
      <c r="DZ4" s="26">
        <f>+DZ5+DZ8+DZ10+DZ21+DZ24+2</f>
        <v>14956.679984</v>
      </c>
      <c r="EA4" s="26">
        <f t="shared" ref="EA4:EF4" si="0">+EA5+EA8+EA10+EA21+EA24</f>
        <v>17794.695883</v>
      </c>
      <c r="EB4" s="26">
        <f t="shared" si="0"/>
        <v>3125.769894</v>
      </c>
      <c r="EC4" s="26">
        <f t="shared" si="0"/>
        <v>3125.769894</v>
      </c>
      <c r="ED4" s="26">
        <f t="shared" si="0"/>
        <v>3125.769894</v>
      </c>
      <c r="EE4" s="26">
        <f t="shared" si="0"/>
        <v>7046.5179870000002</v>
      </c>
      <c r="EF4" s="26">
        <f t="shared" si="0"/>
        <v>14361.307019000002</v>
      </c>
      <c r="EG4" s="27">
        <f>+EA4/DT4*100</f>
        <v>50.995241655072618</v>
      </c>
      <c r="EH4" s="27">
        <f>+(EA4/DM4-1)*100</f>
        <v>-6.2354461837970998</v>
      </c>
      <c r="EI4" s="962">
        <f>+EA4-DM4</f>
        <v>-1183.3668910000015</v>
      </c>
      <c r="EJ4" s="49"/>
      <c r="EN4" s="28" t="s">
        <v>37</v>
      </c>
      <c r="EO4" s="970">
        <f>+DM5+DM8</f>
        <v>6178.142272</v>
      </c>
      <c r="EP4" s="29">
        <f>+EA5+EA8</f>
        <v>5014.0942009999999</v>
      </c>
      <c r="EQ4" s="30">
        <f>+(EP4/EO4-1)*100</f>
        <v>-18.841393087944734</v>
      </c>
    </row>
    <row r="5" spans="1:148" s="4" customFormat="1" ht="15" customHeight="1">
      <c r="A5" s="31" t="s">
        <v>38</v>
      </c>
      <c r="B5" s="32">
        <v>9697.8235139999997</v>
      </c>
      <c r="C5" s="32">
        <v>1425.9894119999999</v>
      </c>
      <c r="D5" s="32">
        <v>1948.82484</v>
      </c>
      <c r="E5" s="32">
        <v>2437.9745359999997</v>
      </c>
      <c r="F5" s="32">
        <v>2896.1170309999998</v>
      </c>
      <c r="G5" s="32">
        <v>4037.1633179999999</v>
      </c>
      <c r="H5" s="32">
        <v>4583.4039219999995</v>
      </c>
      <c r="I5" s="32">
        <v>5100.2103379999999</v>
      </c>
      <c r="J5" s="32">
        <v>5620.8401530000001</v>
      </c>
      <c r="K5" s="32">
        <v>6839.7890280000001</v>
      </c>
      <c r="L5" s="32">
        <v>7553.4601680000005</v>
      </c>
      <c r="M5" s="32">
        <v>8069.7411819999998</v>
      </c>
      <c r="N5" s="32">
        <v>8615.5139130000007</v>
      </c>
      <c r="O5" s="32">
        <v>10392.436446</v>
      </c>
      <c r="P5" s="32">
        <v>1340.5308380000001</v>
      </c>
      <c r="Q5" s="32">
        <v>1834.501434</v>
      </c>
      <c r="R5" s="32">
        <v>2306.7568270000002</v>
      </c>
      <c r="S5" s="32">
        <v>2735.5355019999997</v>
      </c>
      <c r="T5" s="32">
        <v>3674.8713210000001</v>
      </c>
      <c r="U5" s="32">
        <v>4106.9377180000001</v>
      </c>
      <c r="V5" s="32">
        <v>4761.5868829999999</v>
      </c>
      <c r="W5" s="32">
        <v>5266.0930800000006</v>
      </c>
      <c r="X5" s="32">
        <v>6245.2273829999995</v>
      </c>
      <c r="Y5" s="32">
        <v>6860.1655150000006</v>
      </c>
      <c r="Z5" s="32">
        <v>7432.9808720000001</v>
      </c>
      <c r="AA5" s="32">
        <v>8595.6692000000003</v>
      </c>
      <c r="AB5" s="32">
        <v>9572.1785989999989</v>
      </c>
      <c r="AC5" s="32">
        <v>1133.5226010000001</v>
      </c>
      <c r="AD5" s="32">
        <v>1627.0202559999998</v>
      </c>
      <c r="AE5" s="32">
        <v>2110.4256850000002</v>
      </c>
      <c r="AF5" s="32">
        <v>2610.8738120000003</v>
      </c>
      <c r="AG5" s="32">
        <v>3648.0138139999999</v>
      </c>
      <c r="AH5" s="32">
        <v>4073.9711710000001</v>
      </c>
      <c r="AI5" s="32">
        <v>4685.174008</v>
      </c>
      <c r="AJ5" s="32">
        <v>5188.0264390000002</v>
      </c>
      <c r="AK5" s="32">
        <v>5942.2577309999997</v>
      </c>
      <c r="AL5" s="32">
        <v>6623.6264149999997</v>
      </c>
      <c r="AM5" s="32">
        <v>7148.135104</v>
      </c>
      <c r="AN5" s="32">
        <v>7747.1735100000005</v>
      </c>
      <c r="AO5" s="32">
        <v>9283.661415999999</v>
      </c>
      <c r="AP5" s="32">
        <v>1059</v>
      </c>
      <c r="AQ5" s="32">
        <v>1659</v>
      </c>
      <c r="AR5" s="32">
        <v>2656.9000160000001</v>
      </c>
      <c r="AS5" s="32">
        <v>3201</v>
      </c>
      <c r="AT5" s="32">
        <v>3826</v>
      </c>
      <c r="AU5" s="32">
        <v>4530.2464620000001</v>
      </c>
      <c r="AV5" s="32">
        <v>5477.9916830000002</v>
      </c>
      <c r="AW5" s="32">
        <v>6212</v>
      </c>
      <c r="AX5" s="32">
        <v>6887.3341440000004</v>
      </c>
      <c r="AY5" s="32">
        <v>7695</v>
      </c>
      <c r="AZ5" s="32">
        <v>8689</v>
      </c>
      <c r="BA5" s="32">
        <v>9669.274727</v>
      </c>
      <c r="BB5" s="32">
        <v>10503.689059</v>
      </c>
      <c r="BC5" s="32">
        <v>10077.880057999999</v>
      </c>
      <c r="BD5" s="32">
        <v>771.558447</v>
      </c>
      <c r="BE5" s="32">
        <v>1359.2203260000001</v>
      </c>
      <c r="BF5" s="32">
        <v>2584</v>
      </c>
      <c r="BG5" s="32">
        <v>3256.5</v>
      </c>
      <c r="BH5" s="32">
        <v>3795.8</v>
      </c>
      <c r="BI5" s="32">
        <v>4708.2168959999999</v>
      </c>
      <c r="BJ5" s="32">
        <v>5896.1814950000007</v>
      </c>
      <c r="BK5" s="32">
        <v>6589.852433</v>
      </c>
      <c r="BL5" s="32">
        <v>7428.6580779999995</v>
      </c>
      <c r="BM5" s="32">
        <v>8061.9730090000003</v>
      </c>
      <c r="BN5" s="32">
        <v>9221.9866189999993</v>
      </c>
      <c r="BO5" s="33">
        <v>10049.600281000001</v>
      </c>
      <c r="BP5" s="32">
        <v>11589.947799000001</v>
      </c>
      <c r="BQ5" s="32">
        <v>11162</v>
      </c>
      <c r="BR5" s="32">
        <v>665.32762500000001</v>
      </c>
      <c r="BS5" s="32">
        <v>1177.2806620000001</v>
      </c>
      <c r="BT5" s="32">
        <v>2396.1739050000001</v>
      </c>
      <c r="BU5" s="32">
        <v>3419.8454149999998</v>
      </c>
      <c r="BV5" s="32">
        <v>3877.3999999999996</v>
      </c>
      <c r="BW5" s="32">
        <v>5018.8816409999999</v>
      </c>
      <c r="BX5" s="32">
        <v>5794</v>
      </c>
      <c r="BY5" s="32">
        <v>7008.7000000000007</v>
      </c>
      <c r="BZ5" s="32">
        <v>8198.4504390000002</v>
      </c>
      <c r="CA5" s="32">
        <v>12217.607480000001</v>
      </c>
      <c r="CB5" s="32">
        <v>9962.8974390000003</v>
      </c>
      <c r="CC5" s="32">
        <v>11292.073117</v>
      </c>
      <c r="CD5" s="32">
        <v>13196.362999999999</v>
      </c>
      <c r="CE5" s="32">
        <v>671.06560899999999</v>
      </c>
      <c r="CF5" s="32">
        <v>1187.4620830000001</v>
      </c>
      <c r="CG5" s="32">
        <v>2617.8091899999999</v>
      </c>
      <c r="CH5" s="32">
        <v>3426.437825</v>
      </c>
      <c r="CI5" s="32">
        <v>5075.2400360000001</v>
      </c>
      <c r="CJ5" s="32">
        <v>5925.9756359999992</v>
      </c>
      <c r="CK5" s="32">
        <v>6818.4890500000001</v>
      </c>
      <c r="CL5" s="32">
        <v>8201.5</v>
      </c>
      <c r="CM5" s="32">
        <v>9129.0843889999996</v>
      </c>
      <c r="CN5" s="32">
        <v>9843.2079999999987</v>
      </c>
      <c r="CO5" s="32">
        <v>11127.172999999999</v>
      </c>
      <c r="CP5" s="32">
        <v>12300.169918</v>
      </c>
      <c r="CQ5" s="32">
        <v>13743.384858000001</v>
      </c>
      <c r="CR5" s="32">
        <v>13169.292195808499</v>
      </c>
      <c r="CS5" s="32">
        <v>662.91969000000006</v>
      </c>
      <c r="CT5" s="32">
        <v>1286.873771</v>
      </c>
      <c r="CU5" s="32">
        <v>2699.4206509999999</v>
      </c>
      <c r="CV5" s="32">
        <v>3552.5528940000004</v>
      </c>
      <c r="CW5" s="32">
        <v>5190.726345</v>
      </c>
      <c r="CX5" s="32">
        <v>6380.740119</v>
      </c>
      <c r="CY5" s="32">
        <v>7139.8325199999999</v>
      </c>
      <c r="CZ5" s="32">
        <v>8839.5080930000004</v>
      </c>
      <c r="DA5" s="32">
        <v>9562.6179140000004</v>
      </c>
      <c r="DB5" s="32">
        <v>10202.530613999999</v>
      </c>
      <c r="DC5" s="32">
        <v>11449.859151000001</v>
      </c>
      <c r="DD5" s="32">
        <v>12806.327783000001</v>
      </c>
      <c r="DE5" s="34">
        <v>14448.192268999999</v>
      </c>
      <c r="DF5" s="34">
        <v>11558.497502</v>
      </c>
      <c r="DG5" s="34">
        <f>+DG6+DG7</f>
        <v>605.51267200000007</v>
      </c>
      <c r="DH5" s="34">
        <v>1398.1420419999999</v>
      </c>
      <c r="DI5" s="34">
        <v>2662.6170080000002</v>
      </c>
      <c r="DJ5" s="34">
        <v>3278.8270849999999</v>
      </c>
      <c r="DK5" s="34">
        <v>4001.3219290000002</v>
      </c>
      <c r="DL5" s="34">
        <f>+DL6+DL7</f>
        <v>4310.1771479999998</v>
      </c>
      <c r="DM5" s="34">
        <v>5896.5569109999997</v>
      </c>
      <c r="DN5" s="34">
        <v>6678.0303330000006</v>
      </c>
      <c r="DO5" s="34">
        <v>7492.6712390000002</v>
      </c>
      <c r="DP5" s="34">
        <v>8087.4603630000001</v>
      </c>
      <c r="DQ5" s="34">
        <v>8698.0101360000008</v>
      </c>
      <c r="DR5" s="34">
        <f>+DR6+DR7</f>
        <v>9779.0803799999994</v>
      </c>
      <c r="DS5" s="34">
        <f>+DS6+DS7</f>
        <v>10423.258266000001</v>
      </c>
      <c r="DT5" s="34">
        <f t="shared" ref="DT5" si="1">+DT6+DT7</f>
        <v>9270.7107510000005</v>
      </c>
      <c r="DU5" s="34">
        <v>362.94494099999997</v>
      </c>
      <c r="DV5" s="34">
        <v>901.47861899999998</v>
      </c>
      <c r="DW5" s="34">
        <v>1773.136321</v>
      </c>
      <c r="DX5" s="34">
        <v>2459.7304239999999</v>
      </c>
      <c r="DY5" s="34">
        <v>3643.369381</v>
      </c>
      <c r="DZ5" s="34">
        <v>4222.192978</v>
      </c>
      <c r="EA5" s="34">
        <f t="shared" ref="EA5:EF5" si="2">+EA6+EA7</f>
        <v>4793.1304319999999</v>
      </c>
      <c r="EB5" s="34">
        <f t="shared" si="2"/>
        <v>3125.769894</v>
      </c>
      <c r="EC5" s="34">
        <f t="shared" si="2"/>
        <v>3125.769894</v>
      </c>
      <c r="ED5" s="34">
        <f t="shared" si="2"/>
        <v>3125.769894</v>
      </c>
      <c r="EE5" s="34">
        <f t="shared" si="2"/>
        <v>3125.769894</v>
      </c>
      <c r="EF5" s="34">
        <f t="shared" si="2"/>
        <v>3125.769894</v>
      </c>
      <c r="EG5" s="35">
        <f t="shared" ref="EG5:EG49" si="3">+EA5/DT5*100</f>
        <v>51.701865808756686</v>
      </c>
      <c r="EH5" s="35">
        <f>+(EA5/DM5-1)*100</f>
        <v>-18.713064177190642</v>
      </c>
      <c r="EI5" s="962">
        <f t="shared" ref="EI5:EI49" si="4">+EA5-DM5</f>
        <v>-1103.4264789999997</v>
      </c>
      <c r="EN5" s="36" t="s">
        <v>39</v>
      </c>
      <c r="EO5" s="37"/>
      <c r="EP5" s="38"/>
      <c r="EQ5" s="39"/>
    </row>
    <row r="6" spans="1:148" ht="15" customHeight="1">
      <c r="A6" s="40" t="s">
        <v>40</v>
      </c>
      <c r="B6" s="41">
        <v>5321.2512459999998</v>
      </c>
      <c r="C6" s="41">
        <v>501.85968400000002</v>
      </c>
      <c r="D6" s="41">
        <v>901.71912799999996</v>
      </c>
      <c r="E6" s="41">
        <v>1313.281898</v>
      </c>
      <c r="F6" s="41">
        <v>1710.612018</v>
      </c>
      <c r="G6" s="41">
        <v>2144.580042</v>
      </c>
      <c r="H6" s="41">
        <v>2515.541397</v>
      </c>
      <c r="I6" s="41">
        <v>2937.790606</v>
      </c>
      <c r="J6" s="41">
        <v>3403.30602</v>
      </c>
      <c r="K6" s="41">
        <v>3781.6868340000001</v>
      </c>
      <c r="L6" s="41">
        <v>4175.4766440000003</v>
      </c>
      <c r="M6" s="41">
        <v>4565.1187179999997</v>
      </c>
      <c r="N6" s="41">
        <v>4993.7265520000001</v>
      </c>
      <c r="O6" s="41">
        <v>5755.1296480000001</v>
      </c>
      <c r="P6" s="41">
        <v>445.53129799999999</v>
      </c>
      <c r="Q6" s="41">
        <v>822.61626799999999</v>
      </c>
      <c r="R6" s="41">
        <v>1201.1373980000001</v>
      </c>
      <c r="S6" s="41">
        <v>1555.154998</v>
      </c>
      <c r="T6" s="41">
        <v>1909.824654</v>
      </c>
      <c r="U6" s="41">
        <v>2243</v>
      </c>
      <c r="V6" s="41">
        <v>2716.302553</v>
      </c>
      <c r="W6" s="41">
        <v>3074.6604630000002</v>
      </c>
      <c r="X6" s="41">
        <v>3394.5866609999998</v>
      </c>
      <c r="Y6" s="41">
        <v>3744.557773</v>
      </c>
      <c r="Z6" s="41">
        <v>4046.4407809999998</v>
      </c>
      <c r="AA6" s="41">
        <v>4793.401143</v>
      </c>
      <c r="AB6" s="41">
        <v>5615.6893</v>
      </c>
      <c r="AC6" s="41">
        <v>447.91412400000002</v>
      </c>
      <c r="AD6" s="41">
        <v>829.24348999999995</v>
      </c>
      <c r="AE6" s="41">
        <v>1221.751424</v>
      </c>
      <c r="AF6" s="41">
        <v>1647.6761530000001</v>
      </c>
      <c r="AG6" s="41">
        <v>2081.9035060000001</v>
      </c>
      <c r="AH6" s="41">
        <v>2396.0265720000002</v>
      </c>
      <c r="AI6" s="41">
        <v>2880.2</v>
      </c>
      <c r="AJ6" s="41">
        <v>3258.2684509999999</v>
      </c>
      <c r="AK6" s="41">
        <v>3643.972456</v>
      </c>
      <c r="AL6" s="41">
        <v>4112.057476</v>
      </c>
      <c r="AM6" s="41">
        <v>4523.6250749999999</v>
      </c>
      <c r="AN6" s="41">
        <v>4998.4369550000001</v>
      </c>
      <c r="AO6" s="41">
        <v>5116.2674159999997</v>
      </c>
      <c r="AP6" s="41">
        <v>425</v>
      </c>
      <c r="AQ6" s="41">
        <v>816</v>
      </c>
      <c r="AR6" s="41">
        <v>1353.3211699999999</v>
      </c>
      <c r="AS6" s="41">
        <v>1701</v>
      </c>
      <c r="AT6" s="41">
        <v>2124</v>
      </c>
      <c r="AU6" s="41">
        <v>2534.0432850000002</v>
      </c>
      <c r="AV6" s="41">
        <v>2975.1850410000002</v>
      </c>
      <c r="AW6" s="41">
        <v>3363</v>
      </c>
      <c r="AX6" s="41">
        <v>3805.805816</v>
      </c>
      <c r="AY6" s="41">
        <v>4232</v>
      </c>
      <c r="AZ6" s="41">
        <v>4643</v>
      </c>
      <c r="BA6" s="41">
        <v>5326.9004370000002</v>
      </c>
      <c r="BB6" s="41">
        <v>6387.6531189999996</v>
      </c>
      <c r="BC6" s="41">
        <v>6345.7042799999999</v>
      </c>
      <c r="BD6" s="41">
        <v>653.06979899999999</v>
      </c>
      <c r="BE6" s="41">
        <v>1185.1909479999999</v>
      </c>
      <c r="BF6" s="41">
        <v>1663</v>
      </c>
      <c r="BG6" s="41">
        <v>2219.1999999999998</v>
      </c>
      <c r="BH6" s="41">
        <v>2688.3</v>
      </c>
      <c r="BI6" s="41">
        <v>3169.3692160000001</v>
      </c>
      <c r="BJ6" s="41">
        <v>3678.3925290000002</v>
      </c>
      <c r="BK6" s="41">
        <v>4111.4257420000004</v>
      </c>
      <c r="BL6" s="41">
        <v>4622.5665529999997</v>
      </c>
      <c r="BM6" s="41">
        <v>5105.4353300000002</v>
      </c>
      <c r="BN6" s="41">
        <v>5694.5479230000001</v>
      </c>
      <c r="BO6" s="42">
        <v>6316.8144570000004</v>
      </c>
      <c r="BP6" s="41">
        <v>7316.1342560000003</v>
      </c>
      <c r="BQ6" s="41">
        <v>7016</v>
      </c>
      <c r="BR6" s="41">
        <v>607.16886799999997</v>
      </c>
      <c r="BS6" s="41">
        <v>1076.647817</v>
      </c>
      <c r="BT6" s="41">
        <v>1706.7756260000001</v>
      </c>
      <c r="BU6" s="41">
        <v>2170.1060109999999</v>
      </c>
      <c r="BV6" s="41">
        <v>2712.2</v>
      </c>
      <c r="BW6" s="41">
        <v>3187.0694050000002</v>
      </c>
      <c r="BX6" s="41">
        <v>3724</v>
      </c>
      <c r="BY6" s="41">
        <v>4271.1000000000004</v>
      </c>
      <c r="BZ6" s="41">
        <v>5000.978427</v>
      </c>
      <c r="CA6" s="41">
        <v>6842.5769440000004</v>
      </c>
      <c r="CB6" s="41">
        <v>6058.7</v>
      </c>
      <c r="CC6" s="41">
        <v>7062.4430620000003</v>
      </c>
      <c r="CD6" s="41">
        <v>7998.4</v>
      </c>
      <c r="CE6" s="41">
        <v>604.482753</v>
      </c>
      <c r="CF6" s="41">
        <v>1077.770381</v>
      </c>
      <c r="CG6" s="41">
        <v>1609.732853</v>
      </c>
      <c r="CH6" s="41">
        <v>2165.7875730000001</v>
      </c>
      <c r="CI6" s="41">
        <v>2708.3</v>
      </c>
      <c r="CJ6" s="41">
        <v>3208.1190999999999</v>
      </c>
      <c r="CK6" s="41">
        <v>3756.9541260000001</v>
      </c>
      <c r="CL6" s="41">
        <v>4388</v>
      </c>
      <c r="CM6" s="41">
        <v>4865.1998640000002</v>
      </c>
      <c r="CN6" s="41">
        <v>5427.3429999999998</v>
      </c>
      <c r="CO6" s="41">
        <v>5945.8509999999997</v>
      </c>
      <c r="CP6" s="41">
        <v>6926.6330379999999</v>
      </c>
      <c r="CQ6" s="41">
        <v>8105.5234090000004</v>
      </c>
      <c r="CR6" s="41">
        <v>7431.4307468084999</v>
      </c>
      <c r="CS6" s="41">
        <v>536.14710400000001</v>
      </c>
      <c r="CT6" s="41">
        <v>1105.763702</v>
      </c>
      <c r="CU6" s="41">
        <v>1685.4993609999999</v>
      </c>
      <c r="CV6" s="41">
        <v>2091.8182820000002</v>
      </c>
      <c r="CW6" s="41">
        <v>2823.655816</v>
      </c>
      <c r="CX6" s="41">
        <v>3293.1787549999999</v>
      </c>
      <c r="CY6" s="41">
        <v>3902.199423</v>
      </c>
      <c r="CZ6" s="41">
        <v>4443.3671599999998</v>
      </c>
      <c r="DA6" s="41">
        <v>5006.240151</v>
      </c>
      <c r="DB6" s="41">
        <v>5590.6875829999999</v>
      </c>
      <c r="DC6" s="41">
        <v>6131.093511</v>
      </c>
      <c r="DD6" s="41">
        <v>7334.4655199999997</v>
      </c>
      <c r="DE6" s="43">
        <v>8258.1810769999993</v>
      </c>
      <c r="DF6" s="43">
        <v>6249.0162710000004</v>
      </c>
      <c r="DG6" s="43">
        <v>450.245137</v>
      </c>
      <c r="DH6" s="43">
        <v>1188.349496</v>
      </c>
      <c r="DI6" s="43">
        <v>1800.109117</v>
      </c>
      <c r="DJ6" s="43">
        <v>2099.2649270000002</v>
      </c>
      <c r="DK6" s="43">
        <f>2741.956052-DK9</f>
        <v>2517.2002579999998</v>
      </c>
      <c r="DL6" s="43">
        <v>2961.6577459999999</v>
      </c>
      <c r="DM6" s="43">
        <f>3697.243193-DM9</f>
        <v>3415.6578319999999</v>
      </c>
      <c r="DN6" s="43">
        <v>4178.1750750000001</v>
      </c>
      <c r="DO6" s="43">
        <v>4699.3013620000002</v>
      </c>
      <c r="DP6" s="43">
        <v>5202.4418750000004</v>
      </c>
      <c r="DQ6" s="43">
        <v>5702.5158760000004</v>
      </c>
      <c r="DR6" s="43">
        <v>6438.0924809999997</v>
      </c>
      <c r="DS6" s="43">
        <v>5990.9868139999999</v>
      </c>
      <c r="DT6" s="43">
        <v>6026.4290680000004</v>
      </c>
      <c r="DU6" s="43">
        <v>323.47826599999996</v>
      </c>
      <c r="DV6" s="43">
        <v>812.09191499999997</v>
      </c>
      <c r="DW6" s="43">
        <v>1319.6710820000001</v>
      </c>
      <c r="DX6" s="43">
        <v>1775.104435</v>
      </c>
      <c r="DY6" s="43">
        <v>2315.1939889999999</v>
      </c>
      <c r="DZ6" s="43">
        <v>2695.8458740000001</v>
      </c>
      <c r="EA6" s="43">
        <f>+'AI_Mapa Cons. REC_2021'!$O$8/1000000</f>
        <v>3125.769894</v>
      </c>
      <c r="EB6" s="43">
        <f>+'AI_Mapa Cons. REC_2021'!$O$8/1000000</f>
        <v>3125.769894</v>
      </c>
      <c r="EC6" s="43">
        <f>+'AI_Mapa Cons. REC_2021'!$O$8/1000000</f>
        <v>3125.769894</v>
      </c>
      <c r="ED6" s="43">
        <f>+'AI_Mapa Cons. REC_2021'!$O$8/1000000</f>
        <v>3125.769894</v>
      </c>
      <c r="EE6" s="43">
        <f>+'AI_Mapa Cons. REC_2021'!$O$8/1000000</f>
        <v>3125.769894</v>
      </c>
      <c r="EF6" s="43">
        <f>+'AI_Mapa Cons. REC_2021'!$O$8/1000000</f>
        <v>3125.769894</v>
      </c>
      <c r="EG6" s="44">
        <f t="shared" si="3"/>
        <v>51.867695756972608</v>
      </c>
      <c r="EH6" s="44">
        <f t="shared" ref="EH6:EH49" si="5">+(EA6/DM6-1)*100</f>
        <v>-8.4870309690903483</v>
      </c>
      <c r="EI6" s="962">
        <f>+EA6-DM6</f>
        <v>-289.88793799999985</v>
      </c>
      <c r="EO6" s="46">
        <f>+EO4-DK5</f>
        <v>2176.8203429999999</v>
      </c>
    </row>
    <row r="7" spans="1:148" ht="15" customHeight="1">
      <c r="A7" s="40" t="s">
        <v>41</v>
      </c>
      <c r="B7" s="41">
        <v>4376.5722679999999</v>
      </c>
      <c r="C7" s="41">
        <v>924.129728</v>
      </c>
      <c r="D7" s="41">
        <v>1047.105712</v>
      </c>
      <c r="E7" s="41">
        <v>1124.692638</v>
      </c>
      <c r="F7" s="41">
        <v>1185.505013</v>
      </c>
      <c r="G7" s="41">
        <v>1892.5832760000001</v>
      </c>
      <c r="H7" s="41">
        <v>2067.862525</v>
      </c>
      <c r="I7" s="41">
        <v>2162.4197319999998</v>
      </c>
      <c r="J7" s="41">
        <v>2217.5341330000001</v>
      </c>
      <c r="K7" s="41">
        <v>3058.1021940000001</v>
      </c>
      <c r="L7" s="41">
        <v>3377.9835240000002</v>
      </c>
      <c r="M7" s="41">
        <v>3504.622464</v>
      </c>
      <c r="N7" s="41">
        <v>3621.7873610000001</v>
      </c>
      <c r="O7" s="41">
        <v>4637.3067979999996</v>
      </c>
      <c r="P7" s="41">
        <v>894.99954000000002</v>
      </c>
      <c r="Q7" s="41">
        <v>1011.885166</v>
      </c>
      <c r="R7" s="41">
        <v>1105.6194290000001</v>
      </c>
      <c r="S7" s="41">
        <v>1180.380504</v>
      </c>
      <c r="T7" s="41">
        <v>1765.0466670000001</v>
      </c>
      <c r="U7" s="41">
        <v>1863.9377179999999</v>
      </c>
      <c r="V7" s="41">
        <v>2045.28433</v>
      </c>
      <c r="W7" s="41">
        <v>2191.4326169999999</v>
      </c>
      <c r="X7" s="41">
        <v>2850.6407220000001</v>
      </c>
      <c r="Y7" s="41">
        <v>3115.6077420000001</v>
      </c>
      <c r="Z7" s="41">
        <v>3386.5400909999998</v>
      </c>
      <c r="AA7" s="41">
        <v>3802.2680570000002</v>
      </c>
      <c r="AB7" s="41">
        <v>3956.4892989999998</v>
      </c>
      <c r="AC7" s="41">
        <v>685.60847699999999</v>
      </c>
      <c r="AD7" s="41">
        <v>797.77676599999995</v>
      </c>
      <c r="AE7" s="41">
        <v>888.674261</v>
      </c>
      <c r="AF7" s="41">
        <v>963.19765900000004</v>
      </c>
      <c r="AG7" s="41">
        <v>1566.110308</v>
      </c>
      <c r="AH7" s="41">
        <v>1677.9445989999999</v>
      </c>
      <c r="AI7" s="41">
        <v>1804.9740079999999</v>
      </c>
      <c r="AJ7" s="41">
        <v>1929.7579880000001</v>
      </c>
      <c r="AK7" s="41">
        <v>2298.2852750000002</v>
      </c>
      <c r="AL7" s="41">
        <v>2511.5689389999998</v>
      </c>
      <c r="AM7" s="41">
        <v>2624.510029</v>
      </c>
      <c r="AN7" s="41">
        <v>2748.736555</v>
      </c>
      <c r="AO7" s="41">
        <v>4167.3940000000002</v>
      </c>
      <c r="AP7" s="41">
        <v>634</v>
      </c>
      <c r="AQ7" s="41">
        <v>843</v>
      </c>
      <c r="AR7" s="41">
        <v>1303.5788460000001</v>
      </c>
      <c r="AS7" s="41">
        <v>1500</v>
      </c>
      <c r="AT7" s="41">
        <v>1701</v>
      </c>
      <c r="AU7" s="41">
        <v>1996.2031770000001</v>
      </c>
      <c r="AV7" s="41">
        <v>2502.806642</v>
      </c>
      <c r="AW7" s="41">
        <v>2849</v>
      </c>
      <c r="AX7" s="41">
        <v>3081.5283279999999</v>
      </c>
      <c r="AY7" s="41">
        <v>3464</v>
      </c>
      <c r="AZ7" s="41">
        <v>4046</v>
      </c>
      <c r="BA7" s="41">
        <v>4342.3742899999997</v>
      </c>
      <c r="BB7" s="41">
        <v>4116.0359399999998</v>
      </c>
      <c r="BC7" s="41">
        <v>3732.1757779999998</v>
      </c>
      <c r="BD7" s="41">
        <v>118.488648</v>
      </c>
      <c r="BE7" s="41">
        <v>174.02937800000001</v>
      </c>
      <c r="BF7" s="41">
        <v>921</v>
      </c>
      <c r="BG7" s="41">
        <v>1037.3</v>
      </c>
      <c r="BH7" s="41">
        <v>1107.5</v>
      </c>
      <c r="BI7" s="41">
        <v>1538.8476800000001</v>
      </c>
      <c r="BJ7" s="41">
        <v>2217.7889660000001</v>
      </c>
      <c r="BK7" s="41">
        <v>2478.4266910000001</v>
      </c>
      <c r="BL7" s="41">
        <v>2806.0915249999998</v>
      </c>
      <c r="BM7" s="41">
        <v>2956.537679</v>
      </c>
      <c r="BN7" s="41">
        <v>3527.4386960000002</v>
      </c>
      <c r="BO7" s="42">
        <v>3732.785824</v>
      </c>
      <c r="BP7" s="41">
        <v>4273.8135430000002</v>
      </c>
      <c r="BQ7" s="41">
        <v>4146</v>
      </c>
      <c r="BR7" s="41">
        <v>58.158757000000001</v>
      </c>
      <c r="BS7" s="41">
        <v>100.632845</v>
      </c>
      <c r="BT7" s="41">
        <v>689.398279</v>
      </c>
      <c r="BU7" s="41">
        <v>1249.7394039999999</v>
      </c>
      <c r="BV7" s="41">
        <v>1165.2</v>
      </c>
      <c r="BW7" s="41">
        <v>1831.812236</v>
      </c>
      <c r="BX7" s="41">
        <v>2070</v>
      </c>
      <c r="BY7" s="41">
        <v>2737.6</v>
      </c>
      <c r="BZ7" s="41">
        <v>3197.4720120000002</v>
      </c>
      <c r="CA7" s="41">
        <v>5375.0305360000002</v>
      </c>
      <c r="CB7" s="41">
        <v>3911.6</v>
      </c>
      <c r="CC7" s="41">
        <v>4229.6300549999996</v>
      </c>
      <c r="CD7" s="41">
        <v>5197.9629999999997</v>
      </c>
      <c r="CE7" s="41">
        <v>66.582856000000007</v>
      </c>
      <c r="CF7" s="41">
        <v>109.69170200000001</v>
      </c>
      <c r="CG7" s="41">
        <v>1008.076337</v>
      </c>
      <c r="CH7" s="41">
        <v>1260.6502519999999</v>
      </c>
      <c r="CI7" s="41">
        <v>2366.940036</v>
      </c>
      <c r="CJ7" s="41">
        <v>2717.8565359999998</v>
      </c>
      <c r="CK7" s="41">
        <v>3061.534924</v>
      </c>
      <c r="CL7" s="41">
        <v>3813.5</v>
      </c>
      <c r="CM7" s="41">
        <v>4263.8845250000004</v>
      </c>
      <c r="CN7" s="41">
        <v>4415.8649999999998</v>
      </c>
      <c r="CO7" s="41">
        <v>5181.3220000000001</v>
      </c>
      <c r="CP7" s="41">
        <v>5373.5368799999997</v>
      </c>
      <c r="CQ7" s="41">
        <v>5637.861449</v>
      </c>
      <c r="CR7" s="41">
        <v>5737.861449</v>
      </c>
      <c r="CS7" s="41">
        <v>126.772586</v>
      </c>
      <c r="CT7" s="41">
        <v>181.11006900000001</v>
      </c>
      <c r="CU7" s="41">
        <v>1013.92129</v>
      </c>
      <c r="CV7" s="41">
        <v>1460.734612</v>
      </c>
      <c r="CW7" s="41">
        <v>2367.0705290000001</v>
      </c>
      <c r="CX7" s="41">
        <v>3087.5613640000001</v>
      </c>
      <c r="CY7" s="41">
        <v>3237.6330969999999</v>
      </c>
      <c r="CZ7" s="41">
        <v>4396.1409329999997</v>
      </c>
      <c r="DA7" s="41">
        <v>4556.3777630000004</v>
      </c>
      <c r="DB7" s="41">
        <v>4611.8430310000003</v>
      </c>
      <c r="DC7" s="41">
        <v>5318.7656399999996</v>
      </c>
      <c r="DD7" s="41">
        <v>5471.862263</v>
      </c>
      <c r="DE7" s="43">
        <v>6190.0111919999999</v>
      </c>
      <c r="DF7" s="43">
        <v>5309.4812309999998</v>
      </c>
      <c r="DG7" s="43">
        <v>155.26753500000001</v>
      </c>
      <c r="DH7" s="43">
        <v>209.79254599999999</v>
      </c>
      <c r="DI7" s="43">
        <v>862.50789099999997</v>
      </c>
      <c r="DJ7" s="43">
        <v>1179.562158</v>
      </c>
      <c r="DK7" s="43">
        <v>1259.365877</v>
      </c>
      <c r="DL7" s="43">
        <v>1348.5194019999999</v>
      </c>
      <c r="DM7" s="43">
        <v>2199.3137179999999</v>
      </c>
      <c r="DN7" s="43">
        <v>2499.855258</v>
      </c>
      <c r="DO7" s="43">
        <v>2793.3698770000001</v>
      </c>
      <c r="DP7" s="43">
        <v>2885.0184880000002</v>
      </c>
      <c r="DQ7" s="43">
        <v>2995.4942599999999</v>
      </c>
      <c r="DR7" s="43">
        <v>3340.9878990000002</v>
      </c>
      <c r="DS7" s="43">
        <v>4432.271452</v>
      </c>
      <c r="DT7" s="43">
        <v>3244.2816830000002</v>
      </c>
      <c r="DU7" s="43">
        <v>39.466675000000002</v>
      </c>
      <c r="DV7" s="47">
        <v>89.386703999999995</v>
      </c>
      <c r="DW7" s="47">
        <v>453.465239</v>
      </c>
      <c r="DX7" s="47">
        <v>684.625989</v>
      </c>
      <c r="DY7" s="47">
        <v>1328.1753920000001</v>
      </c>
      <c r="DZ7" s="47">
        <v>1527.486351</v>
      </c>
      <c r="EA7" s="47">
        <f>+'AI_Mapa Cons. REC_2021'!$O$9/1000000</f>
        <v>1667.3605379999999</v>
      </c>
      <c r="EB7" s="43"/>
      <c r="EC7" s="43"/>
      <c r="ED7" s="43"/>
      <c r="EE7" s="43"/>
      <c r="EF7" s="43"/>
      <c r="EG7" s="44">
        <f t="shared" si="3"/>
        <v>51.39382769187246</v>
      </c>
      <c r="EH7" s="44">
        <f t="shared" si="5"/>
        <v>-24.187235120042118</v>
      </c>
      <c r="EI7" s="962">
        <f t="shared" si="4"/>
        <v>-531.95317999999997</v>
      </c>
    </row>
    <row r="8" spans="1:148" s="4" customFormat="1" ht="15" customHeight="1">
      <c r="A8" s="31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4"/>
      <c r="DF8" s="34"/>
      <c r="DG8" s="34">
        <f>+DG9</f>
        <v>90</v>
      </c>
      <c r="DH8" s="34"/>
      <c r="DI8" s="34"/>
      <c r="DJ8" s="34">
        <f>+DJ9</f>
        <v>193.38159899999999</v>
      </c>
      <c r="DK8" s="48">
        <f>+DK9</f>
        <v>224.75579400000001</v>
      </c>
      <c r="DL8" s="34">
        <f>+DL9</f>
        <v>241.74347599999999</v>
      </c>
      <c r="DM8" s="34">
        <f>+DM9</f>
        <v>281.58536099999998</v>
      </c>
      <c r="DN8" s="34"/>
      <c r="DO8" s="34"/>
      <c r="DP8" s="34"/>
      <c r="DQ8" s="34"/>
      <c r="DR8" s="34"/>
      <c r="DS8" s="34">
        <f>+DS9</f>
        <v>570.17419700000005</v>
      </c>
      <c r="DT8" s="34">
        <f>+DT9</f>
        <v>570.17419700000005</v>
      </c>
      <c r="DU8" s="34">
        <v>46.642756000000062</v>
      </c>
      <c r="DV8" s="34">
        <v>76.377221000000063</v>
      </c>
      <c r="DW8" s="34">
        <v>99.411794</v>
      </c>
      <c r="DX8" s="34">
        <v>137.96554699999999</v>
      </c>
      <c r="DY8" s="34">
        <v>166.951978</v>
      </c>
      <c r="DZ8" s="34">
        <v>180.885988</v>
      </c>
      <c r="EA8" s="34">
        <f>+EA9</f>
        <v>220.96376900000001</v>
      </c>
      <c r="EB8" s="34"/>
      <c r="EC8" s="34"/>
      <c r="ED8" s="34"/>
      <c r="EE8" s="34"/>
      <c r="EF8" s="34"/>
      <c r="EG8" s="35">
        <f t="shared" si="3"/>
        <v>38.753730028930086</v>
      </c>
      <c r="EH8" s="967">
        <f t="shared" si="5"/>
        <v>-21.528673147181099</v>
      </c>
      <c r="EI8" s="962">
        <f t="shared" si="4"/>
        <v>-60.621591999999964</v>
      </c>
      <c r="EK8" s="49"/>
      <c r="EM8" s="50"/>
      <c r="EN8" s="51"/>
      <c r="EO8" s="51"/>
      <c r="EP8" s="52" t="s">
        <v>11</v>
      </c>
      <c r="EQ8" s="53" t="s">
        <v>28</v>
      </c>
    </row>
    <row r="9" spans="1:148" ht="15" customHeight="1">
      <c r="A9" s="40" t="s">
        <v>43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54"/>
      <c r="DF9" s="43"/>
      <c r="DG9" s="43">
        <v>90</v>
      </c>
      <c r="DH9" s="43"/>
      <c r="DI9" s="43"/>
      <c r="DJ9" s="43">
        <v>193.38159899999999</v>
      </c>
      <c r="DK9" s="55">
        <v>224.75579400000001</v>
      </c>
      <c r="DL9" s="43">
        <v>241.74347599999999</v>
      </c>
      <c r="DM9" s="43">
        <v>281.58536099999998</v>
      </c>
      <c r="DN9" s="43"/>
      <c r="DO9" s="43"/>
      <c r="DP9" s="43"/>
      <c r="DQ9" s="43"/>
      <c r="DR9" s="43"/>
      <c r="DS9" s="54">
        <v>570.17419700000005</v>
      </c>
      <c r="DT9" s="54">
        <v>570.17419700000005</v>
      </c>
      <c r="DU9" s="43">
        <v>46.642756000000062</v>
      </c>
      <c r="DV9" s="43">
        <v>76.377221000000063</v>
      </c>
      <c r="DW9" s="47">
        <v>99.411794</v>
      </c>
      <c r="DX9" s="47">
        <v>137.96554699999999</v>
      </c>
      <c r="DY9" s="47">
        <v>166.951978</v>
      </c>
      <c r="DZ9" s="47">
        <v>180.92656500000001</v>
      </c>
      <c r="EA9" s="47">
        <f>+'AI_Mapa Cons. REC_2021'!$O$10/1000000</f>
        <v>220.96376900000001</v>
      </c>
      <c r="EB9" s="47">
        <f>+'AI_Mapa Cons. REC_2021'!$O$10/1000000</f>
        <v>220.96376900000001</v>
      </c>
      <c r="EC9" s="47">
        <f>+'AI_Mapa Cons. REC_2021'!$O$10/1000000</f>
        <v>220.96376900000001</v>
      </c>
      <c r="ED9" s="47">
        <f>+'AI_Mapa Cons. REC_2021'!$O$10/1000000</f>
        <v>220.96376900000001</v>
      </c>
      <c r="EE9" s="47">
        <f>+'AI_Mapa Cons. REC_2021'!$O$10/1000000</f>
        <v>220.96376900000001</v>
      </c>
      <c r="EF9" s="47">
        <f>+'AI_Mapa Cons. REC_2021'!$O$10/1000000</f>
        <v>220.96376900000001</v>
      </c>
      <c r="EG9" s="44">
        <f t="shared" si="3"/>
        <v>38.753730028930086</v>
      </c>
      <c r="EH9" s="44">
        <f t="shared" si="5"/>
        <v>-21.528673147181099</v>
      </c>
      <c r="EI9" s="962">
        <f t="shared" si="4"/>
        <v>-60.621591999999964</v>
      </c>
      <c r="EJ9" s="46"/>
      <c r="EK9" s="46"/>
      <c r="EM9" s="19"/>
      <c r="EN9" s="56"/>
      <c r="EO9" s="57"/>
      <c r="EP9" s="58">
        <v>2021</v>
      </c>
      <c r="EQ9" s="59" t="s">
        <v>112</v>
      </c>
      <c r="ER9" s="60"/>
    </row>
    <row r="10" spans="1:148" s="4" customFormat="1" ht="15" customHeight="1">
      <c r="A10" s="31" t="s">
        <v>44</v>
      </c>
      <c r="B10" s="32">
        <v>15120.693649000001</v>
      </c>
      <c r="C10" s="32">
        <v>1010.994147</v>
      </c>
      <c r="D10" s="32">
        <v>2040.0825280000001</v>
      </c>
      <c r="E10" s="32">
        <v>3026.5394299999998</v>
      </c>
      <c r="F10" s="32">
        <v>3877.578043</v>
      </c>
      <c r="G10" s="32">
        <v>5138.3664829999998</v>
      </c>
      <c r="H10" s="32">
        <v>5940.6236989999998</v>
      </c>
      <c r="I10" s="32">
        <v>7002.1448419999997</v>
      </c>
      <c r="J10" s="32">
        <v>8081.1561490000013</v>
      </c>
      <c r="K10" s="32">
        <v>9072.1829049999997</v>
      </c>
      <c r="L10" s="32">
        <v>10164.123636</v>
      </c>
      <c r="M10" s="32">
        <v>11245.134236</v>
      </c>
      <c r="N10" s="32">
        <v>12511.900664000001</v>
      </c>
      <c r="O10" s="32">
        <v>17705.254723999999</v>
      </c>
      <c r="P10" s="32">
        <v>980.17491599999994</v>
      </c>
      <c r="Q10" s="32">
        <v>2139.4595519999998</v>
      </c>
      <c r="R10" s="32">
        <v>2970.4377520000003</v>
      </c>
      <c r="S10" s="32">
        <v>4007.913239</v>
      </c>
      <c r="T10" s="32">
        <v>5023.0385909999995</v>
      </c>
      <c r="U10" s="32">
        <v>6164.023361999999</v>
      </c>
      <c r="V10" s="32">
        <v>7560.7688839999992</v>
      </c>
      <c r="W10" s="32">
        <v>8571.5684939999992</v>
      </c>
      <c r="X10" s="32">
        <v>9605.6784559999996</v>
      </c>
      <c r="Y10" s="32">
        <v>10941.671289000002</v>
      </c>
      <c r="Z10" s="32">
        <v>11957.220415</v>
      </c>
      <c r="AA10" s="32">
        <v>13135.538549000001</v>
      </c>
      <c r="AB10" s="32">
        <v>16158.246132</v>
      </c>
      <c r="AC10" s="32">
        <v>1167.563948</v>
      </c>
      <c r="AD10" s="32">
        <v>2126.9826600000001</v>
      </c>
      <c r="AE10" s="32">
        <v>3216.6219010000004</v>
      </c>
      <c r="AF10" s="32">
        <v>4210.2137839999996</v>
      </c>
      <c r="AG10" s="32">
        <v>5388.7284580000005</v>
      </c>
      <c r="AH10" s="32">
        <v>6343.9919579999996</v>
      </c>
      <c r="AI10" s="32">
        <v>7324.6829359999992</v>
      </c>
      <c r="AJ10" s="32">
        <v>8235.1213459999999</v>
      </c>
      <c r="AK10" s="32">
        <v>9432.8009270000002</v>
      </c>
      <c r="AL10" s="32">
        <v>10507.551060999998</v>
      </c>
      <c r="AM10" s="32">
        <v>11491.451562</v>
      </c>
      <c r="AN10" s="32">
        <v>12869.81349</v>
      </c>
      <c r="AO10" s="32">
        <v>15838.060963</v>
      </c>
      <c r="AP10" s="32">
        <v>964.47912999999994</v>
      </c>
      <c r="AQ10" s="32">
        <v>2111.6517169999997</v>
      </c>
      <c r="AR10" s="32">
        <v>3397.8672579999993</v>
      </c>
      <c r="AS10" s="32">
        <v>4603</v>
      </c>
      <c r="AT10" s="32">
        <v>5666.1027160000003</v>
      </c>
      <c r="AU10" s="32">
        <v>6935.9980899999991</v>
      </c>
      <c r="AV10" s="32">
        <v>8045.2812039999999</v>
      </c>
      <c r="AW10" s="32">
        <v>9124</v>
      </c>
      <c r="AX10" s="32">
        <v>10201.680858</v>
      </c>
      <c r="AY10" s="32">
        <v>11458.958280000001</v>
      </c>
      <c r="AZ10" s="32">
        <v>12699.697186000001</v>
      </c>
      <c r="BA10" s="32">
        <v>14046.997532999998</v>
      </c>
      <c r="BB10" s="32">
        <v>16455.965848</v>
      </c>
      <c r="BC10" s="32">
        <v>14941.227875000002</v>
      </c>
      <c r="BD10" s="32">
        <v>1143.210591</v>
      </c>
      <c r="BE10" s="32">
        <v>2467.6023490000002</v>
      </c>
      <c r="BF10" s="32">
        <v>3764.4583259999999</v>
      </c>
      <c r="BG10" s="32">
        <v>4959.1876149999998</v>
      </c>
      <c r="BH10" s="32">
        <v>6230.5315070000015</v>
      </c>
      <c r="BI10" s="32">
        <v>7389.32</v>
      </c>
      <c r="BJ10" s="32">
        <v>8474.0366549999999</v>
      </c>
      <c r="BK10" s="32">
        <v>9714.6944629999998</v>
      </c>
      <c r="BL10" s="32">
        <v>11035.732979</v>
      </c>
      <c r="BM10" s="32">
        <v>12216.504180999998</v>
      </c>
      <c r="BN10" s="32">
        <v>13461.084831000002</v>
      </c>
      <c r="BO10" s="32">
        <v>14940.481655</v>
      </c>
      <c r="BP10" s="32">
        <v>17475.356228000001</v>
      </c>
      <c r="BQ10" s="32">
        <v>16876.83882291675</v>
      </c>
      <c r="BR10" s="32">
        <v>1509.430842</v>
      </c>
      <c r="BS10" s="32">
        <v>2948.2626730000006</v>
      </c>
      <c r="BT10" s="32">
        <v>4302.3952400000007</v>
      </c>
      <c r="BU10" s="32">
        <v>6074.6537870000002</v>
      </c>
      <c r="BV10" s="32">
        <v>7649.4610830000001</v>
      </c>
      <c r="BW10" s="32">
        <v>8276.8300170000002</v>
      </c>
      <c r="BX10" s="32">
        <v>10610.531246</v>
      </c>
      <c r="BY10" s="32">
        <v>11401.531527000001</v>
      </c>
      <c r="BZ10" s="32">
        <v>12338.987055</v>
      </c>
      <c r="CA10" s="32">
        <v>19872.864264</v>
      </c>
      <c r="CB10" s="32">
        <v>15269.429403</v>
      </c>
      <c r="CC10" s="32">
        <v>16785.493241</v>
      </c>
      <c r="CD10" s="32">
        <v>20211.482670999998</v>
      </c>
      <c r="CE10" s="32">
        <v>1533.9187919999997</v>
      </c>
      <c r="CF10" s="32">
        <v>3035.0692180000005</v>
      </c>
      <c r="CG10" s="32">
        <v>4576.6463539999995</v>
      </c>
      <c r="CH10" s="32">
        <v>6094.3202169999995</v>
      </c>
      <c r="CI10" s="32">
        <v>7767.0667979999989</v>
      </c>
      <c r="CJ10" s="32">
        <v>9052.9221039999993</v>
      </c>
      <c r="CK10" s="32">
        <v>10608.449864</v>
      </c>
      <c r="CL10" s="32">
        <v>12329.999373000002</v>
      </c>
      <c r="CM10" s="32">
        <v>13804.592499999999</v>
      </c>
      <c r="CN10" s="32">
        <v>15411.960023999998</v>
      </c>
      <c r="CO10" s="32">
        <v>16947.604737000001</v>
      </c>
      <c r="CP10" s="32">
        <v>19707.670559000002</v>
      </c>
      <c r="CQ10" s="32">
        <v>21420.911618999999</v>
      </c>
      <c r="CR10" s="32">
        <v>20836.00356375835</v>
      </c>
      <c r="CS10" s="32">
        <v>1634.7054779999999</v>
      </c>
      <c r="CT10" s="32">
        <v>3280.1112839999996</v>
      </c>
      <c r="CU10" s="32">
        <v>4899.9576879999995</v>
      </c>
      <c r="CV10" s="32">
        <v>6655.2297349999999</v>
      </c>
      <c r="CW10" s="32">
        <v>8377.2922670000007</v>
      </c>
      <c r="CX10" s="32">
        <v>9810.8041159999993</v>
      </c>
      <c r="CY10" s="32">
        <v>11456.289283000002</v>
      </c>
      <c r="CZ10" s="32">
        <v>13169.657562</v>
      </c>
      <c r="DA10" s="32">
        <v>14912.432974000001</v>
      </c>
      <c r="DB10" s="32">
        <v>16696.325004999999</v>
      </c>
      <c r="DC10" s="32">
        <v>18286.248631999995</v>
      </c>
      <c r="DD10" s="32">
        <v>20652.027751000005</v>
      </c>
      <c r="DE10" s="34">
        <v>23758.697399000001</v>
      </c>
      <c r="DF10" s="34">
        <v>15582.322407</v>
      </c>
      <c r="DG10" s="34">
        <v>1796.5170179999998</v>
      </c>
      <c r="DH10" s="34">
        <v>3465.5642289999996</v>
      </c>
      <c r="DI10" s="34">
        <v>5211.2316890000002</v>
      </c>
      <c r="DJ10" s="34">
        <v>6356.3377680000003</v>
      </c>
      <c r="DK10" s="34">
        <v>6971.8452530000004</v>
      </c>
      <c r="DL10" s="34">
        <v>7831.6687580000007</v>
      </c>
      <c r="DM10" s="34">
        <v>8931.6071470000006</v>
      </c>
      <c r="DN10" s="34">
        <v>9939.8423930000008</v>
      </c>
      <c r="DO10" s="34">
        <v>11060.696563</v>
      </c>
      <c r="DP10" s="34">
        <v>12154.582946</v>
      </c>
      <c r="DQ10" s="34">
        <v>13149.991228999999</v>
      </c>
      <c r="DR10" s="34">
        <v>15195.631205</v>
      </c>
      <c r="DS10" s="34">
        <f>+DS11+DS15+DS16+DS18+DS19+DS20</f>
        <v>19277.735281000001</v>
      </c>
      <c r="DT10" s="34">
        <f t="shared" ref="DT10" si="6">+DT11+DT15+DT18+DT20</f>
        <v>16885.878948999998</v>
      </c>
      <c r="DU10" s="34">
        <v>1066.2617620000001</v>
      </c>
      <c r="DV10" s="34">
        <v>2172.7798790000002</v>
      </c>
      <c r="DW10" s="34">
        <v>3465.8506710000001</v>
      </c>
      <c r="DX10" s="34">
        <v>4522.0283090000003</v>
      </c>
      <c r="DY10" s="34">
        <v>5689.8762830000005</v>
      </c>
      <c r="DZ10" s="34">
        <f>+DZ11+DZ14+DZ15+DZ18+DZ20</f>
        <v>6865.0108470000005</v>
      </c>
      <c r="EA10" s="34">
        <f t="shared" ref="EA10:EF10" si="7">+EA11+EA15+EA18+EA20</f>
        <v>8300.8196150000003</v>
      </c>
      <c r="EB10" s="34"/>
      <c r="EC10" s="34"/>
      <c r="ED10" s="34"/>
      <c r="EE10" s="34"/>
      <c r="EF10" s="34">
        <f t="shared" si="7"/>
        <v>7314.7890320000006</v>
      </c>
      <c r="EG10" s="35">
        <f t="shared" si="3"/>
        <v>49.158350833088171</v>
      </c>
      <c r="EH10" s="35">
        <f t="shared" si="5"/>
        <v>-7.0624191326179471</v>
      </c>
      <c r="EI10" s="962">
        <f t="shared" si="4"/>
        <v>-630.78753200000028</v>
      </c>
      <c r="EK10" s="49"/>
      <c r="EM10" s="61" t="s">
        <v>38</v>
      </c>
      <c r="EN10" s="62"/>
      <c r="EO10" s="62"/>
      <c r="EP10" s="63">
        <f>+EP11+EP12</f>
        <v>4793.1304319999999</v>
      </c>
      <c r="EQ10" s="64" t="str">
        <f>+EG2</f>
        <v>Grau Exec.</v>
      </c>
      <c r="ER10" s="65"/>
    </row>
    <row r="11" spans="1:148" ht="15" customHeight="1">
      <c r="A11" s="40" t="s">
        <v>45</v>
      </c>
      <c r="B11" s="41">
        <v>12755.548745</v>
      </c>
      <c r="C11" s="41">
        <v>846.00453500000003</v>
      </c>
      <c r="D11" s="41">
        <v>1740.5738820000001</v>
      </c>
      <c r="E11" s="41">
        <v>2578.1410369999999</v>
      </c>
      <c r="F11" s="41">
        <v>3316.8115600000001</v>
      </c>
      <c r="G11" s="41">
        <v>4347.7128499999999</v>
      </c>
      <c r="H11" s="41">
        <v>5031.997359</v>
      </c>
      <c r="I11" s="41">
        <v>5937.7764909999996</v>
      </c>
      <c r="J11" s="41">
        <v>6820.856240000001</v>
      </c>
      <c r="K11" s="41">
        <v>7636.1968649999999</v>
      </c>
      <c r="L11" s="41">
        <v>8536.5387709999995</v>
      </c>
      <c r="M11" s="41">
        <v>9431.149152</v>
      </c>
      <c r="N11" s="41">
        <v>10404.75231</v>
      </c>
      <c r="O11" s="41">
        <v>14452.730288999999</v>
      </c>
      <c r="P11" s="41">
        <v>809.53105299999993</v>
      </c>
      <c r="Q11" s="41">
        <v>1685.908829</v>
      </c>
      <c r="R11" s="41">
        <v>2398.0089200000002</v>
      </c>
      <c r="S11" s="41">
        <v>3271.97352</v>
      </c>
      <c r="T11" s="41">
        <v>4122.0598220000002</v>
      </c>
      <c r="U11" s="41">
        <v>4999.7349589999994</v>
      </c>
      <c r="V11" s="41">
        <v>6094.3348179999994</v>
      </c>
      <c r="W11" s="41">
        <v>6865.9105089999994</v>
      </c>
      <c r="X11" s="41">
        <v>7725.5365089999996</v>
      </c>
      <c r="Y11" s="41">
        <v>8757.2164540000012</v>
      </c>
      <c r="Z11" s="41">
        <v>9557.5483650000006</v>
      </c>
      <c r="AA11" s="41">
        <v>10522.991936</v>
      </c>
      <c r="AB11" s="41">
        <v>12892.695331999999</v>
      </c>
      <c r="AC11" s="41">
        <v>912.71563700000002</v>
      </c>
      <c r="AD11" s="41">
        <v>1679.37977</v>
      </c>
      <c r="AE11" s="41">
        <v>2537.178054</v>
      </c>
      <c r="AF11" s="41">
        <v>3340.377305</v>
      </c>
      <c r="AG11" s="41">
        <v>4275.7295409999997</v>
      </c>
      <c r="AH11" s="41">
        <v>5028.652419</v>
      </c>
      <c r="AI11" s="41">
        <v>5803.6754490000003</v>
      </c>
      <c r="AJ11" s="41">
        <v>6506.6260000000002</v>
      </c>
      <c r="AK11" s="41">
        <v>7459.3883390000001</v>
      </c>
      <c r="AL11" s="41">
        <v>8304.6883989999988</v>
      </c>
      <c r="AM11" s="41">
        <v>9101.2293100000006</v>
      </c>
      <c r="AN11" s="41">
        <v>10169.577329</v>
      </c>
      <c r="AO11" s="41">
        <v>12369.541157</v>
      </c>
      <c r="AP11" s="41">
        <v>748.25200199999995</v>
      </c>
      <c r="AQ11" s="41">
        <v>1726.492518</v>
      </c>
      <c r="AR11" s="41">
        <v>2762.3363479999998</v>
      </c>
      <c r="AS11" s="41">
        <v>3719</v>
      </c>
      <c r="AT11" s="41">
        <v>4559</v>
      </c>
      <c r="AU11" s="41">
        <v>5585.9908209999994</v>
      </c>
      <c r="AV11" s="41">
        <v>6470.2714930000002</v>
      </c>
      <c r="AW11" s="41">
        <v>7346.3683010000004</v>
      </c>
      <c r="AX11" s="41">
        <v>8208.2006799999999</v>
      </c>
      <c r="AY11" s="41">
        <v>9220.4480780000013</v>
      </c>
      <c r="AZ11" s="41">
        <v>10203.238221</v>
      </c>
      <c r="BA11" s="41">
        <v>11293.129305999999</v>
      </c>
      <c r="BB11" s="41">
        <v>13014.546043000002</v>
      </c>
      <c r="BC11" s="41">
        <v>11985.839663000001</v>
      </c>
      <c r="BD11" s="41">
        <v>897.45147099999997</v>
      </c>
      <c r="BE11" s="41">
        <v>1982.4740649999999</v>
      </c>
      <c r="BF11" s="41">
        <v>3024.3039690000001</v>
      </c>
      <c r="BG11" s="41">
        <v>3983.5915610000002</v>
      </c>
      <c r="BH11" s="41">
        <v>5008.6963130000004</v>
      </c>
      <c r="BI11" s="41">
        <v>5955.5233719999997</v>
      </c>
      <c r="BJ11" s="41">
        <v>6802.4573010000004</v>
      </c>
      <c r="BK11" s="41">
        <v>7801.782706</v>
      </c>
      <c r="BL11" s="41">
        <v>8875.0111589999997</v>
      </c>
      <c r="BM11" s="41">
        <v>9822.0346989999998</v>
      </c>
      <c r="BN11" s="41">
        <v>10807.279489</v>
      </c>
      <c r="BO11" s="41">
        <v>11985.993442999999</v>
      </c>
      <c r="BP11" s="41">
        <v>13783.994936999999</v>
      </c>
      <c r="BQ11" s="41">
        <v>13384.041339916752</v>
      </c>
      <c r="BR11" s="41">
        <v>1164.7222280000001</v>
      </c>
      <c r="BS11" s="41">
        <v>2361.8392210000002</v>
      </c>
      <c r="BT11" s="41">
        <v>3478.8641770000004</v>
      </c>
      <c r="BU11" s="41">
        <v>4870.7343799999999</v>
      </c>
      <c r="BV11" s="41">
        <v>6206.6725210000004</v>
      </c>
      <c r="BW11" s="41">
        <v>6564.9420499999997</v>
      </c>
      <c r="BX11" s="41">
        <v>8517.1656079999993</v>
      </c>
      <c r="BY11" s="41">
        <v>9076.8177680000008</v>
      </c>
      <c r="BZ11" s="41">
        <v>9760.6070990000007</v>
      </c>
      <c r="CA11" s="41">
        <v>16207.984235</v>
      </c>
      <c r="CB11" s="41">
        <v>12103.120747000001</v>
      </c>
      <c r="CC11" s="41">
        <v>13306.236999000001</v>
      </c>
      <c r="CD11" s="41">
        <v>16257.981271000001</v>
      </c>
      <c r="CE11" s="41">
        <v>1189.206385</v>
      </c>
      <c r="CF11" s="41">
        <v>2448.6893920000002</v>
      </c>
      <c r="CG11" s="41">
        <v>3679.9109410000001</v>
      </c>
      <c r="CH11" s="41">
        <v>4889.9119819999996</v>
      </c>
      <c r="CI11" s="41">
        <v>6228.1121619999994</v>
      </c>
      <c r="CJ11" s="41">
        <v>7269.8443569999999</v>
      </c>
      <c r="CK11" s="41">
        <v>8515.9716220000009</v>
      </c>
      <c r="CL11" s="41">
        <v>9915.5177680000015</v>
      </c>
      <c r="CM11" s="41">
        <v>11092.465267</v>
      </c>
      <c r="CN11" s="41">
        <v>12392.761809</v>
      </c>
      <c r="CO11" s="41">
        <v>13630.279416000001</v>
      </c>
      <c r="CP11" s="41">
        <v>16213.059378000002</v>
      </c>
      <c r="CQ11" s="41">
        <v>16785.952812</v>
      </c>
      <c r="CR11" s="41">
        <v>16674.650276315271</v>
      </c>
      <c r="CS11" s="41">
        <v>1325.3508810000001</v>
      </c>
      <c r="CT11" s="41">
        <v>2689.4158349999998</v>
      </c>
      <c r="CU11" s="41">
        <v>3994.6561139999999</v>
      </c>
      <c r="CV11" s="41">
        <v>5429.0725170000005</v>
      </c>
      <c r="CW11" s="41">
        <v>6862.9343769999996</v>
      </c>
      <c r="CX11" s="41">
        <v>8002.0399400000006</v>
      </c>
      <c r="CY11" s="41">
        <v>9289.0281260000011</v>
      </c>
      <c r="CZ11" s="41">
        <v>10645.641398</v>
      </c>
      <c r="DA11" s="41">
        <v>12049.424821000001</v>
      </c>
      <c r="DB11" s="41">
        <v>13477.784619</v>
      </c>
      <c r="DC11" s="41">
        <v>14746.611833999999</v>
      </c>
      <c r="DD11" s="41">
        <v>16727.440663000001</v>
      </c>
      <c r="DE11" s="43">
        <v>19171.352454</v>
      </c>
      <c r="DF11" s="43">
        <v>12894.599468</v>
      </c>
      <c r="DG11" s="43">
        <v>1458.7015379999998</v>
      </c>
      <c r="DH11" s="43">
        <v>2814.4406529999997</v>
      </c>
      <c r="DI11" s="43">
        <v>4267.9097590000001</v>
      </c>
      <c r="DJ11" s="43">
        <v>5229.8904679999996</v>
      </c>
      <c r="DK11" s="43">
        <v>5741.7211900000002</v>
      </c>
      <c r="DL11" s="43">
        <v>6446.932495</v>
      </c>
      <c r="DM11" s="43">
        <v>7369.8951390000002</v>
      </c>
      <c r="DN11" s="43">
        <v>8225.5470409999998</v>
      </c>
      <c r="DO11" s="43">
        <v>9143.8777599999994</v>
      </c>
      <c r="DP11" s="43">
        <v>10046.958619000001</v>
      </c>
      <c r="DQ11" s="43">
        <v>10824.626694999999</v>
      </c>
      <c r="DR11" s="43">
        <f>+DR12+DR13</f>
        <v>12601.529019000001</v>
      </c>
      <c r="DS11" s="43">
        <f>+DS12+DS13</f>
        <v>16027.906876000001</v>
      </c>
      <c r="DT11" s="43">
        <f t="shared" ref="DT11" si="8">+DT12+DT13</f>
        <v>14009.892745000001</v>
      </c>
      <c r="DU11" s="43">
        <v>917.51566000000003</v>
      </c>
      <c r="DV11" s="43">
        <v>1858.1413160000002</v>
      </c>
      <c r="DW11" s="43">
        <v>2921.4075640000001</v>
      </c>
      <c r="DX11" s="43">
        <v>3816.5416679999998</v>
      </c>
      <c r="DY11" s="43">
        <v>4824.7234320000007</v>
      </c>
      <c r="DZ11" s="43">
        <v>5776.9654540000001</v>
      </c>
      <c r="EA11" s="44">
        <f t="shared" ref="EA11:EF11" si="9">+EA12+EA13</f>
        <v>6972.9774200000002</v>
      </c>
      <c r="EB11" s="43"/>
      <c r="EC11" s="43"/>
      <c r="ED11" s="43"/>
      <c r="EE11" s="43"/>
      <c r="EF11" s="43">
        <f t="shared" si="9"/>
        <v>6972.9774200000002</v>
      </c>
      <c r="EG11" s="44">
        <f t="shared" si="3"/>
        <v>49.771811582844485</v>
      </c>
      <c r="EH11" s="44">
        <f t="shared" si="5"/>
        <v>-5.385663045591949</v>
      </c>
      <c r="EI11" s="962">
        <f t="shared" si="4"/>
        <v>-396.91771900000003</v>
      </c>
      <c r="EM11" s="66" t="s">
        <v>40</v>
      </c>
      <c r="EN11" s="57"/>
      <c r="EO11" s="56"/>
      <c r="EP11" s="57">
        <f>+EA6</f>
        <v>3125.769894</v>
      </c>
      <c r="EQ11" s="67">
        <f>+EG6</f>
        <v>51.867695756972608</v>
      </c>
      <c r="ER11" s="65"/>
    </row>
    <row r="12" spans="1:148" ht="15" customHeight="1">
      <c r="A12" s="68" t="s">
        <v>46</v>
      </c>
      <c r="B12" s="41">
        <v>7525.7737595499993</v>
      </c>
      <c r="C12" s="41">
        <v>472.51211599999999</v>
      </c>
      <c r="D12" s="41">
        <v>978.47929199999999</v>
      </c>
      <c r="E12" s="41">
        <v>1593.290704</v>
      </c>
      <c r="F12" s="41">
        <v>2077.8164230000002</v>
      </c>
      <c r="G12" s="41">
        <v>2807.2164170000001</v>
      </c>
      <c r="H12" s="41">
        <v>3215.4984890000001</v>
      </c>
      <c r="I12" s="41">
        <v>3753.6303899999998</v>
      </c>
      <c r="J12" s="41">
        <v>4280.4518770000004</v>
      </c>
      <c r="K12" s="41">
        <v>4858.2813759999999</v>
      </c>
      <c r="L12" s="41">
        <v>5338.6769160000003</v>
      </c>
      <c r="M12" s="41">
        <v>5907.0448829999996</v>
      </c>
      <c r="N12" s="41">
        <v>6514.8032069999999</v>
      </c>
      <c r="O12" s="41">
        <v>7826</v>
      </c>
      <c r="P12" s="41">
        <v>439.84969799999999</v>
      </c>
      <c r="Q12" s="41">
        <v>1003.982052</v>
      </c>
      <c r="R12" s="41">
        <v>1392.3932110000001</v>
      </c>
      <c r="S12" s="41">
        <v>1939.263604</v>
      </c>
      <c r="T12" s="41">
        <v>2454.7833420000002</v>
      </c>
      <c r="U12" s="41">
        <v>3088.6633419999998</v>
      </c>
      <c r="V12" s="41">
        <v>3778.367107</v>
      </c>
      <c r="W12" s="41">
        <v>4300.3908869999996</v>
      </c>
      <c r="X12" s="41">
        <v>4753.2288239999998</v>
      </c>
      <c r="Y12" s="41">
        <v>5499.6431920000005</v>
      </c>
      <c r="Z12" s="41">
        <v>6051.53712</v>
      </c>
      <c r="AA12" s="41">
        <v>6601.6512570000004</v>
      </c>
      <c r="AB12" s="41">
        <v>7062</v>
      </c>
      <c r="AC12" s="41">
        <v>421.40483499999999</v>
      </c>
      <c r="AD12" s="41">
        <v>855.78866700000003</v>
      </c>
      <c r="AE12" s="41">
        <v>1360.4458030000001</v>
      </c>
      <c r="AF12" s="41">
        <v>1807.6397750000001</v>
      </c>
      <c r="AG12" s="41">
        <v>2329.895039</v>
      </c>
      <c r="AH12" s="41">
        <v>2876.3474449999999</v>
      </c>
      <c r="AI12" s="41">
        <v>3396.1754489999998</v>
      </c>
      <c r="AJ12" s="41">
        <v>3848.8233340000002</v>
      </c>
      <c r="AK12" s="41">
        <v>4448.1841640000002</v>
      </c>
      <c r="AL12" s="41">
        <v>4989.7346209999996</v>
      </c>
      <c r="AM12" s="41">
        <v>5526.369901</v>
      </c>
      <c r="AN12" s="41">
        <v>6252.6710569999996</v>
      </c>
      <c r="AO12" s="41">
        <v>7077.6</v>
      </c>
      <c r="AP12" s="41">
        <v>385.252002</v>
      </c>
      <c r="AQ12" s="41">
        <v>916.49251800000002</v>
      </c>
      <c r="AR12" s="41">
        <v>1405.0977499999999</v>
      </c>
      <c r="AS12" s="41">
        <v>1959</v>
      </c>
      <c r="AT12" s="41">
        <v>2465</v>
      </c>
      <c r="AU12" s="41">
        <v>3040.289276</v>
      </c>
      <c r="AV12" s="41">
        <v>3595.7300909999999</v>
      </c>
      <c r="AW12" s="41">
        <v>4100.3683010000004</v>
      </c>
      <c r="AX12" s="41">
        <v>4529.172998</v>
      </c>
      <c r="AY12" s="41">
        <v>5126.4480780000004</v>
      </c>
      <c r="AZ12" s="41">
        <v>5764.9382210000003</v>
      </c>
      <c r="BA12" s="41">
        <v>6358.358166</v>
      </c>
      <c r="BB12" s="41">
        <v>6916.0911594110503</v>
      </c>
      <c r="BC12" s="41">
        <v>6600.8307020000002</v>
      </c>
      <c r="BD12" s="41">
        <v>466.12401599999998</v>
      </c>
      <c r="BE12" s="41">
        <v>996.49046799999996</v>
      </c>
      <c r="BF12" s="41">
        <v>1525.612132</v>
      </c>
      <c r="BG12" s="41">
        <v>2012.291561</v>
      </c>
      <c r="BH12" s="41">
        <v>2566.1741630000001</v>
      </c>
      <c r="BI12" s="41">
        <v>3113.384309</v>
      </c>
      <c r="BJ12" s="41">
        <v>3639.6633849999998</v>
      </c>
      <c r="BK12" s="41">
        <v>4255.8817769999996</v>
      </c>
      <c r="BL12" s="41">
        <v>4810.1572390000001</v>
      </c>
      <c r="BM12" s="41">
        <v>5350.5888910000003</v>
      </c>
      <c r="BN12" s="41">
        <v>5943.070976</v>
      </c>
      <c r="BO12" s="41">
        <v>6600.8307020000002</v>
      </c>
      <c r="BP12" s="41">
        <v>7187.530256</v>
      </c>
      <c r="BQ12" s="41">
        <v>7184.0413399167528</v>
      </c>
      <c r="BR12" s="41">
        <v>605.07189800000003</v>
      </c>
      <c r="BS12" s="41">
        <v>1097.2164290000001</v>
      </c>
      <c r="BT12" s="41">
        <v>1685.0660740000001</v>
      </c>
      <c r="BU12" s="41">
        <v>2302.8959410000002</v>
      </c>
      <c r="BV12" s="41">
        <v>2995.2121619999998</v>
      </c>
      <c r="BW12" s="41">
        <v>3469.423992</v>
      </c>
      <c r="BX12" s="41">
        <v>4330.548992</v>
      </c>
      <c r="BY12" s="41">
        <v>5013.4177680000003</v>
      </c>
      <c r="BZ12" s="41">
        <v>5212.1096989999996</v>
      </c>
      <c r="CA12" s="41">
        <v>7800.7842549999996</v>
      </c>
      <c r="CB12" s="41">
        <v>6529.8703109999997</v>
      </c>
      <c r="CC12" s="41">
        <v>7260.0202829999998</v>
      </c>
      <c r="CD12" s="41">
        <v>7907.5022710000003</v>
      </c>
      <c r="CE12" s="41">
        <v>605.07189800000003</v>
      </c>
      <c r="CF12" s="41">
        <v>1097.2164290000001</v>
      </c>
      <c r="CG12" s="41">
        <v>1698.43219</v>
      </c>
      <c r="CH12" s="41">
        <v>2302.8959410000002</v>
      </c>
      <c r="CI12" s="41">
        <v>2995.2121619999998</v>
      </c>
      <c r="CJ12" s="41">
        <v>3584.3482359999998</v>
      </c>
      <c r="CK12" s="41">
        <v>4330.548992</v>
      </c>
      <c r="CL12" s="41">
        <v>5013.4177680000003</v>
      </c>
      <c r="CM12" s="41">
        <v>5679.3701529999998</v>
      </c>
      <c r="CN12" s="41">
        <v>6358.053809</v>
      </c>
      <c r="CO12" s="41">
        <v>7020.6764160000002</v>
      </c>
      <c r="CP12" s="41">
        <v>7800.6528680000001</v>
      </c>
      <c r="CQ12" s="41">
        <v>8592.9564429999991</v>
      </c>
      <c r="CR12" s="41">
        <v>8481.6539078532405</v>
      </c>
      <c r="CS12" s="41">
        <v>649.88952600000005</v>
      </c>
      <c r="CT12" s="41">
        <v>1275.255917</v>
      </c>
      <c r="CU12" s="41">
        <v>1848.055699</v>
      </c>
      <c r="CV12" s="41">
        <v>2524.2403330000002</v>
      </c>
      <c r="CW12" s="41">
        <v>3228.9022559999999</v>
      </c>
      <c r="CX12" s="41">
        <v>3884.2982790000001</v>
      </c>
      <c r="CY12" s="41">
        <v>4576.1697370000002</v>
      </c>
      <c r="CZ12" s="41">
        <v>5288.1174360000005</v>
      </c>
      <c r="DA12" s="41">
        <v>5939.36301</v>
      </c>
      <c r="DB12" s="41">
        <v>6782.4006989999998</v>
      </c>
      <c r="DC12" s="41">
        <v>7484.8524479999996</v>
      </c>
      <c r="DD12" s="41">
        <v>8259.8317929999994</v>
      </c>
      <c r="DE12" s="54">
        <v>9274.4999989999997</v>
      </c>
      <c r="DF12" s="43">
        <v>6423.5248730000003</v>
      </c>
      <c r="DG12" s="43">
        <v>616.35948199999996</v>
      </c>
      <c r="DH12" s="43">
        <v>1183.462947</v>
      </c>
      <c r="DI12" s="43">
        <v>1928.657643</v>
      </c>
      <c r="DJ12" s="43">
        <v>2368.5395699999999</v>
      </c>
      <c r="DK12" s="43">
        <v>2794.9826779999999</v>
      </c>
      <c r="DL12" s="43">
        <v>3247.914225</v>
      </c>
      <c r="DM12" s="43">
        <v>3811.2104199999999</v>
      </c>
      <c r="DN12" s="43">
        <v>4292.1212159999995</v>
      </c>
      <c r="DO12" s="43">
        <v>4866.9713199999997</v>
      </c>
      <c r="DP12" s="43">
        <v>5424.513199</v>
      </c>
      <c r="DQ12" s="43">
        <v>6008.487153</v>
      </c>
      <c r="DR12" s="43">
        <v>6669.6921050000001</v>
      </c>
      <c r="DS12" s="43">
        <v>7517.7422429999997</v>
      </c>
      <c r="DT12" s="43">
        <v>7424.9550289999997</v>
      </c>
      <c r="DU12" s="43">
        <v>540.91184599999997</v>
      </c>
      <c r="DV12" s="43">
        <v>1073.5121300000001</v>
      </c>
      <c r="DW12" s="43">
        <v>1740.9808619999999</v>
      </c>
      <c r="DX12" s="43">
        <v>2317.9823980000001</v>
      </c>
      <c r="DY12" s="43">
        <v>2954.9700870000001</v>
      </c>
      <c r="DZ12" s="43">
        <v>3593.0332400000002</v>
      </c>
      <c r="EA12" s="43">
        <f>+'AI_Mapa Cons. REC_2021'!$O$22/1000000</f>
        <v>4425.2431370000004</v>
      </c>
      <c r="EB12" s="43"/>
      <c r="EC12" s="43"/>
      <c r="ED12" s="43"/>
      <c r="EE12" s="43"/>
      <c r="EF12" s="43">
        <f>+'AI_Mapa Cons. REC_2021'!$O$22/1000000</f>
        <v>4425.2431370000004</v>
      </c>
      <c r="EG12" s="44">
        <f t="shared" si="3"/>
        <v>59.599595145238162</v>
      </c>
      <c r="EH12" s="44">
        <f t="shared" si="5"/>
        <v>16.111225813661601</v>
      </c>
      <c r="EI12" s="962">
        <f t="shared" si="4"/>
        <v>614.0327170000005</v>
      </c>
      <c r="EK12" s="46"/>
      <c r="EM12" s="69" t="s">
        <v>41</v>
      </c>
      <c r="EN12" s="70"/>
      <c r="EO12" s="71"/>
      <c r="EP12" s="72">
        <f>+EA7</f>
        <v>1667.3605379999999</v>
      </c>
      <c r="EQ12" s="73">
        <f>+EG7</f>
        <v>51.39382769187246</v>
      </c>
      <c r="ER12" s="74"/>
    </row>
    <row r="13" spans="1:148" ht="15" customHeight="1">
      <c r="A13" s="68" t="s">
        <v>47</v>
      </c>
      <c r="B13" s="41">
        <v>5229.7749854499998</v>
      </c>
      <c r="C13" s="41">
        <v>373.49241899999998</v>
      </c>
      <c r="D13" s="41">
        <v>762.09459000000004</v>
      </c>
      <c r="E13" s="41">
        <v>984.85033299999998</v>
      </c>
      <c r="F13" s="41">
        <v>1238.9951370000001</v>
      </c>
      <c r="G13" s="41">
        <v>1540.496433</v>
      </c>
      <c r="H13" s="41">
        <v>1816.4988699999999</v>
      </c>
      <c r="I13" s="41">
        <v>2184.1461009999998</v>
      </c>
      <c r="J13" s="41">
        <v>2540.4043630000001</v>
      </c>
      <c r="K13" s="41">
        <v>2777.915489</v>
      </c>
      <c r="L13" s="41">
        <v>3197.8618550000001</v>
      </c>
      <c r="M13" s="41">
        <v>3524.1042689999999</v>
      </c>
      <c r="N13" s="41">
        <v>3889.9491029999999</v>
      </c>
      <c r="O13" s="41">
        <v>6626.7302889999992</v>
      </c>
      <c r="P13" s="41">
        <v>369.681355</v>
      </c>
      <c r="Q13" s="41">
        <v>681.92677700000002</v>
      </c>
      <c r="R13" s="41">
        <v>1005.615709</v>
      </c>
      <c r="S13" s="41">
        <v>1332.709916</v>
      </c>
      <c r="T13" s="41">
        <v>1667.27648</v>
      </c>
      <c r="U13" s="41">
        <v>1911.0716170000001</v>
      </c>
      <c r="V13" s="41">
        <v>2315.9677109999998</v>
      </c>
      <c r="W13" s="41">
        <v>2565.5196219999998</v>
      </c>
      <c r="X13" s="41">
        <v>2972.3076850000002</v>
      </c>
      <c r="Y13" s="41">
        <v>3257.5732619999999</v>
      </c>
      <c r="Z13" s="41">
        <v>3506.0112450000001</v>
      </c>
      <c r="AA13" s="41">
        <v>3921.3406789999999</v>
      </c>
      <c r="AB13" s="41">
        <v>5830.6953320000002</v>
      </c>
      <c r="AC13" s="41">
        <v>491.31080200000002</v>
      </c>
      <c r="AD13" s="41">
        <v>823.59110299999998</v>
      </c>
      <c r="AE13" s="41">
        <v>1176.7322509999999</v>
      </c>
      <c r="AF13" s="41">
        <v>1532.7375300000001</v>
      </c>
      <c r="AG13" s="41">
        <v>1945.8345019999999</v>
      </c>
      <c r="AH13" s="41">
        <v>2152.3049740000001</v>
      </c>
      <c r="AI13" s="41">
        <v>2407.5</v>
      </c>
      <c r="AJ13" s="41">
        <v>2657.802666</v>
      </c>
      <c r="AK13" s="41">
        <v>3011.2041749999999</v>
      </c>
      <c r="AL13" s="41">
        <v>3314.9537780000001</v>
      </c>
      <c r="AM13" s="41">
        <v>3574.8594090000001</v>
      </c>
      <c r="AN13" s="41">
        <v>3916.9062720000002</v>
      </c>
      <c r="AO13" s="41">
        <v>5291.9411570000002</v>
      </c>
      <c r="AP13" s="41">
        <v>363</v>
      </c>
      <c r="AQ13" s="41">
        <v>810</v>
      </c>
      <c r="AR13" s="41">
        <v>1357.2385979999999</v>
      </c>
      <c r="AS13" s="41">
        <v>1760</v>
      </c>
      <c r="AT13" s="41">
        <v>2094</v>
      </c>
      <c r="AU13" s="41">
        <v>2545.7015449999999</v>
      </c>
      <c r="AV13" s="41">
        <v>2874.5414019999998</v>
      </c>
      <c r="AW13" s="41">
        <v>3246</v>
      </c>
      <c r="AX13" s="41">
        <v>3679.0276819999999</v>
      </c>
      <c r="AY13" s="41">
        <v>4094</v>
      </c>
      <c r="AZ13" s="41">
        <v>4438.3</v>
      </c>
      <c r="BA13" s="41">
        <v>4934.7711399999998</v>
      </c>
      <c r="BB13" s="41">
        <v>6098.4548835889509</v>
      </c>
      <c r="BC13" s="41">
        <v>5385.0089610000005</v>
      </c>
      <c r="BD13" s="41">
        <v>431.32745499999999</v>
      </c>
      <c r="BE13" s="41">
        <v>985.98359700000003</v>
      </c>
      <c r="BF13" s="41">
        <v>1498.6918370000001</v>
      </c>
      <c r="BG13" s="41">
        <v>1971.3</v>
      </c>
      <c r="BH13" s="41">
        <v>2442.5221499999998</v>
      </c>
      <c r="BI13" s="41">
        <v>2842.1390630000001</v>
      </c>
      <c r="BJ13" s="41">
        <v>3162.7939160000001</v>
      </c>
      <c r="BK13" s="41">
        <v>3545.9009289999999</v>
      </c>
      <c r="BL13" s="41">
        <v>4064.85392</v>
      </c>
      <c r="BM13" s="41">
        <v>4471.4458080000004</v>
      </c>
      <c r="BN13" s="41">
        <v>4864.2085129999996</v>
      </c>
      <c r="BO13" s="41">
        <v>5385.1627410000001</v>
      </c>
      <c r="BP13" s="41">
        <v>6596.4646809999995</v>
      </c>
      <c r="BQ13" s="41">
        <v>6200</v>
      </c>
      <c r="BR13" s="41">
        <v>559.65033000000005</v>
      </c>
      <c r="BS13" s="41">
        <v>1264.6227919999999</v>
      </c>
      <c r="BT13" s="41">
        <v>1793.7981030000001</v>
      </c>
      <c r="BU13" s="41">
        <v>2567.8384390000001</v>
      </c>
      <c r="BV13" s="41">
        <v>3211.4603590000002</v>
      </c>
      <c r="BW13" s="41">
        <v>3095.5180580000001</v>
      </c>
      <c r="BX13" s="41">
        <v>4186.6166160000002</v>
      </c>
      <c r="BY13" s="41">
        <v>4063.4</v>
      </c>
      <c r="BZ13" s="41">
        <v>4548.4974000000002</v>
      </c>
      <c r="CA13" s="41">
        <v>8407.1999799999994</v>
      </c>
      <c r="CB13" s="41">
        <v>5573.2504360000003</v>
      </c>
      <c r="CC13" s="41">
        <v>6046.2167159999999</v>
      </c>
      <c r="CD13" s="41">
        <v>8350.4789999999994</v>
      </c>
      <c r="CE13" s="41">
        <v>584.13448700000004</v>
      </c>
      <c r="CF13" s="41">
        <v>1351.4729629999999</v>
      </c>
      <c r="CG13" s="41">
        <v>1981.4787510000001</v>
      </c>
      <c r="CH13" s="41">
        <v>2587.0160409999999</v>
      </c>
      <c r="CI13" s="41">
        <v>3232.9</v>
      </c>
      <c r="CJ13" s="41">
        <v>3685.4961210000001</v>
      </c>
      <c r="CK13" s="41">
        <v>4185.42263</v>
      </c>
      <c r="CL13" s="41">
        <v>4902.1000000000004</v>
      </c>
      <c r="CM13" s="41">
        <v>5413.0951139999997</v>
      </c>
      <c r="CN13" s="41">
        <v>6034.7079999999996</v>
      </c>
      <c r="CO13" s="41">
        <v>6609.6030000000001</v>
      </c>
      <c r="CP13" s="41">
        <v>8412.4065100000007</v>
      </c>
      <c r="CQ13" s="41">
        <v>8192.9963690000004</v>
      </c>
      <c r="CR13" s="41">
        <v>8192.9963684620307</v>
      </c>
      <c r="CS13" s="41">
        <v>675.46135500000003</v>
      </c>
      <c r="CT13" s="41">
        <v>1414.1599180000001</v>
      </c>
      <c r="CU13" s="41">
        <v>2146.6004149999999</v>
      </c>
      <c r="CV13" s="41">
        <v>2904.8321839999999</v>
      </c>
      <c r="CW13" s="41">
        <v>3634.0321210000002</v>
      </c>
      <c r="CX13" s="41">
        <v>4117.741661</v>
      </c>
      <c r="CY13" s="41">
        <v>4712.858389</v>
      </c>
      <c r="CZ13" s="41">
        <v>5357.5239620000002</v>
      </c>
      <c r="DA13" s="41">
        <v>6110.0618109999996</v>
      </c>
      <c r="DB13" s="41">
        <v>6695.3839200000002</v>
      </c>
      <c r="DC13" s="41">
        <v>7261.7593859999997</v>
      </c>
      <c r="DD13" s="41">
        <v>8467.60887</v>
      </c>
      <c r="DE13" s="43">
        <v>9896.8524550000002</v>
      </c>
      <c r="DF13" s="43">
        <v>6471.074595</v>
      </c>
      <c r="DG13" s="43">
        <v>842.34205599999996</v>
      </c>
      <c r="DH13" s="43">
        <v>1630.9777059999999</v>
      </c>
      <c r="DI13" s="43">
        <v>2339.2521160000001</v>
      </c>
      <c r="DJ13" s="43">
        <v>2674.9851159999998</v>
      </c>
      <c r="DK13" s="43">
        <v>2946.7385119999999</v>
      </c>
      <c r="DL13" s="43">
        <v>3199.01827</v>
      </c>
      <c r="DM13" s="43">
        <v>3558.6847189999999</v>
      </c>
      <c r="DN13" s="43">
        <v>3933.4258249999998</v>
      </c>
      <c r="DO13" s="43">
        <v>4276.9064399999997</v>
      </c>
      <c r="DP13" s="43">
        <v>4622.44542</v>
      </c>
      <c r="DQ13" s="43">
        <v>4816.1395419999999</v>
      </c>
      <c r="DR13" s="43">
        <v>5931.8369140000004</v>
      </c>
      <c r="DS13" s="43">
        <v>8510.1646330000003</v>
      </c>
      <c r="DT13" s="43">
        <v>6584.9377160000004</v>
      </c>
      <c r="DU13" s="43">
        <v>376.603814</v>
      </c>
      <c r="DV13" s="43">
        <v>784.629186</v>
      </c>
      <c r="DW13" s="43">
        <v>1180.426702</v>
      </c>
      <c r="DX13" s="43">
        <v>1498.55927</v>
      </c>
      <c r="DY13" s="43">
        <v>1869.7533450000001</v>
      </c>
      <c r="DZ13" s="43">
        <v>2185.6473689999998</v>
      </c>
      <c r="EA13" s="43">
        <f>+'AI_Mapa Cons. REC_2021'!$O$23/1000000</f>
        <v>2547.7342829999998</v>
      </c>
      <c r="EB13" s="43"/>
      <c r="EC13" s="43"/>
      <c r="ED13" s="43"/>
      <c r="EE13" s="43"/>
      <c r="EF13" s="43">
        <f>+'AI_Mapa Cons. REC_2021'!$O$23/1000000</f>
        <v>2547.7342829999998</v>
      </c>
      <c r="EG13" s="44">
        <f t="shared" si="3"/>
        <v>38.690332283774623</v>
      </c>
      <c r="EH13" s="44">
        <f t="shared" si="5"/>
        <v>-28.407979796650263</v>
      </c>
      <c r="EI13" s="962">
        <f t="shared" si="4"/>
        <v>-1010.9504360000001</v>
      </c>
      <c r="EK13" s="46"/>
      <c r="EM13" s="75" t="s">
        <v>48</v>
      </c>
      <c r="EN13" s="76"/>
      <c r="EO13" s="76"/>
      <c r="EP13" s="76"/>
      <c r="EQ13" s="77"/>
      <c r="ER13" s="78"/>
    </row>
    <row r="14" spans="1:148" ht="15" hidden="1" customHeight="1">
      <c r="A14" s="79" t="s">
        <v>49</v>
      </c>
      <c r="B14" s="41">
        <v>15.144904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52.118966</v>
      </c>
      <c r="O14" s="41">
        <v>0</v>
      </c>
      <c r="P14" s="41">
        <v>15.848941</v>
      </c>
      <c r="Q14" s="41">
        <v>16.725359999999998</v>
      </c>
      <c r="R14" s="41">
        <v>17.003765000000001</v>
      </c>
      <c r="S14" s="41">
        <v>17.464509</v>
      </c>
      <c r="T14" s="41">
        <v>21.09713</v>
      </c>
      <c r="U14" s="41">
        <v>21.468647000000001</v>
      </c>
      <c r="V14" s="41">
        <v>24.542816999999999</v>
      </c>
      <c r="W14" s="41">
        <v>26.521055</v>
      </c>
      <c r="X14" s="41">
        <v>38.046836999999996</v>
      </c>
      <c r="Y14" s="41">
        <v>41.864821999999997</v>
      </c>
      <c r="Z14" s="41">
        <v>42.850346999999999</v>
      </c>
      <c r="AA14" s="41">
        <v>44.897703</v>
      </c>
      <c r="AB14" s="41">
        <v>0</v>
      </c>
      <c r="AC14" s="41">
        <v>10.176885</v>
      </c>
      <c r="AD14" s="41">
        <v>10.689568</v>
      </c>
      <c r="AE14" s="41">
        <v>11.064185999999999</v>
      </c>
      <c r="AF14" s="41">
        <v>11.113410999999999</v>
      </c>
      <c r="AG14" s="41">
        <v>15.880761</v>
      </c>
      <c r="AH14" s="41">
        <v>16.745964000000001</v>
      </c>
      <c r="AI14" s="41">
        <v>18.861709000000001</v>
      </c>
      <c r="AJ14" s="41">
        <v>19.964742000000001</v>
      </c>
      <c r="AK14" s="41">
        <v>28.094967</v>
      </c>
      <c r="AL14" s="41">
        <v>33.697240000000001</v>
      </c>
      <c r="AM14" s="41">
        <v>35.147097000000002</v>
      </c>
      <c r="AN14" s="41">
        <v>36.916837000000001</v>
      </c>
      <c r="AO14" s="41">
        <v>0</v>
      </c>
      <c r="AP14" s="41">
        <v>10.986630999999999</v>
      </c>
      <c r="AQ14" s="41">
        <v>12.820587</v>
      </c>
      <c r="AR14" s="41">
        <v>13.027706</v>
      </c>
      <c r="AS14" s="41">
        <v>13.847396</v>
      </c>
      <c r="AT14" s="41">
        <v>14</v>
      </c>
      <c r="AU14" s="41">
        <v>24.468070000000001</v>
      </c>
      <c r="AV14" s="41">
        <v>16.519295</v>
      </c>
      <c r="AW14" s="41">
        <v>20.069268000000001</v>
      </c>
      <c r="AX14" s="41">
        <v>20.363163</v>
      </c>
      <c r="AY14" s="41">
        <v>20</v>
      </c>
      <c r="AZ14" s="41">
        <v>32.416246000000001</v>
      </c>
      <c r="BA14" s="41">
        <v>35.112518000000001</v>
      </c>
      <c r="BB14" s="41">
        <v>0</v>
      </c>
      <c r="BC14" s="41">
        <v>15.798043</v>
      </c>
      <c r="BD14" s="41">
        <v>2.403492</v>
      </c>
      <c r="BE14" s="41">
        <v>3.0535770000000002</v>
      </c>
      <c r="BF14" s="41">
        <v>3.2561650000000002</v>
      </c>
      <c r="BG14" s="41">
        <v>3.7788080000000002</v>
      </c>
      <c r="BH14" s="41">
        <v>4.5138800000000003</v>
      </c>
      <c r="BI14" s="41">
        <v>6.6392790000000002</v>
      </c>
      <c r="BJ14" s="41">
        <v>6.7669550000000003</v>
      </c>
      <c r="BK14" s="41">
        <v>7.3980100000000002</v>
      </c>
      <c r="BL14" s="41">
        <v>12.711944000000001</v>
      </c>
      <c r="BM14" s="41">
        <v>14.958818000000001</v>
      </c>
      <c r="BN14" s="41">
        <v>15.244027000000001</v>
      </c>
      <c r="BO14" s="41">
        <v>15.798043</v>
      </c>
      <c r="BP14" s="41">
        <v>0</v>
      </c>
      <c r="BQ14" s="41">
        <v>0</v>
      </c>
      <c r="BR14" s="41">
        <v>0.27973500000000001</v>
      </c>
      <c r="BS14" s="41">
        <v>0.66557100000000002</v>
      </c>
      <c r="BT14" s="41">
        <v>0.72663900000000003</v>
      </c>
      <c r="BU14" s="41">
        <v>0.94083799999999995</v>
      </c>
      <c r="BV14" s="41">
        <v>1.2142630000000001</v>
      </c>
      <c r="BW14" s="41">
        <v>1.432518</v>
      </c>
      <c r="BX14" s="41">
        <v>2.8660800000000002</v>
      </c>
      <c r="BY14" s="41">
        <v>3.4452020000000001</v>
      </c>
      <c r="BZ14" s="41">
        <v>5.1458779999999997</v>
      </c>
      <c r="CA14" s="41">
        <v>3.9415079999999998</v>
      </c>
      <c r="CB14" s="41">
        <v>6.2990380000000004</v>
      </c>
      <c r="CC14" s="41">
        <v>8.3928429999999992</v>
      </c>
      <c r="CD14" s="41">
        <v>0</v>
      </c>
      <c r="CE14" s="41">
        <v>0.29650799999999999</v>
      </c>
      <c r="CF14" s="41">
        <v>0.62194499999999997</v>
      </c>
      <c r="CG14" s="41">
        <v>0.79266800000000004</v>
      </c>
      <c r="CH14" s="41">
        <v>0.95761099999999999</v>
      </c>
      <c r="CI14" s="41">
        <v>1.196604</v>
      </c>
      <c r="CJ14" s="41">
        <v>1.891856</v>
      </c>
      <c r="CK14" s="41">
        <v>1.9786840000000001</v>
      </c>
      <c r="CL14" s="41">
        <v>2.5130479999999999</v>
      </c>
      <c r="CM14" s="41">
        <v>2.621747</v>
      </c>
      <c r="CN14" s="41">
        <v>2.8183280000000002</v>
      </c>
      <c r="CO14" s="41">
        <v>2.8638870000000001</v>
      </c>
      <c r="CP14" s="41">
        <v>3.9314680000000002</v>
      </c>
      <c r="CQ14" s="41">
        <v>0</v>
      </c>
      <c r="CR14" s="41">
        <v>0</v>
      </c>
      <c r="CS14" s="41">
        <v>0.49833699999999997</v>
      </c>
      <c r="CT14" s="41">
        <v>0.52666199999999996</v>
      </c>
      <c r="CU14" s="41">
        <v>0.55558200000000002</v>
      </c>
      <c r="CV14" s="41">
        <v>0.56534399999999996</v>
      </c>
      <c r="CW14" s="41">
        <v>0.57888600000000001</v>
      </c>
      <c r="CX14" s="41">
        <v>0.71153699999999998</v>
      </c>
      <c r="CY14" s="41">
        <v>1.095343</v>
      </c>
      <c r="CZ14" s="41">
        <v>1.1251230000000001</v>
      </c>
      <c r="DA14" s="41">
        <v>1</v>
      </c>
      <c r="DB14" s="41">
        <v>1.16988</v>
      </c>
      <c r="DC14" s="41">
        <v>1.200726</v>
      </c>
      <c r="DD14" s="41">
        <v>1.61703</v>
      </c>
      <c r="DE14" s="43">
        <v>0</v>
      </c>
      <c r="DF14" s="43">
        <v>0</v>
      </c>
      <c r="DG14" s="43">
        <v>0</v>
      </c>
      <c r="DH14" s="43">
        <v>0</v>
      </c>
      <c r="DI14" s="43">
        <v>1.8451439999999999</v>
      </c>
      <c r="DJ14" s="43">
        <v>0</v>
      </c>
      <c r="DK14" s="43">
        <v>0</v>
      </c>
      <c r="DL14" s="43">
        <v>1.9563470000000001</v>
      </c>
      <c r="DM14" s="43">
        <v>0</v>
      </c>
      <c r="DN14" s="43">
        <v>0</v>
      </c>
      <c r="DO14" s="43">
        <v>2.1314540000000002</v>
      </c>
      <c r="DP14" s="43">
        <v>0</v>
      </c>
      <c r="DQ14" s="43">
        <v>0</v>
      </c>
      <c r="DR14" s="43">
        <v>2</v>
      </c>
      <c r="DS14" s="43"/>
      <c r="DT14" s="43"/>
      <c r="DU14" s="43"/>
      <c r="DV14" s="43">
        <v>0</v>
      </c>
      <c r="DW14" s="43">
        <v>0.19270899999999999</v>
      </c>
      <c r="DX14" s="43"/>
      <c r="DY14" s="43"/>
      <c r="DZ14" s="43">
        <v>0.263876</v>
      </c>
      <c r="EB14" s="43"/>
      <c r="EC14" s="43"/>
      <c r="ED14" s="43"/>
      <c r="EE14" s="43"/>
      <c r="EF14" s="43"/>
      <c r="EG14" s="44" t="e">
        <f t="shared" si="3"/>
        <v>#DIV/0!</v>
      </c>
      <c r="EH14" s="44" t="e">
        <f>+(DZ14/DM14-1)*100</f>
        <v>#DIV/0!</v>
      </c>
      <c r="EI14" s="962">
        <f>+DZ14-DM14</f>
        <v>0.263876</v>
      </c>
      <c r="EM14" s="80"/>
      <c r="EN14" s="80"/>
      <c r="EO14" s="80"/>
      <c r="EP14" s="80"/>
      <c r="EQ14" s="80"/>
      <c r="ER14" s="81"/>
    </row>
    <row r="15" spans="1:148" ht="15" customHeight="1">
      <c r="A15" s="40" t="s">
        <v>50</v>
      </c>
      <c r="B15" s="41">
        <v>1850</v>
      </c>
      <c r="C15" s="41">
        <v>116.60119899999999</v>
      </c>
      <c r="D15" s="41">
        <v>218.83952300000001</v>
      </c>
      <c r="E15" s="41">
        <v>328.109669</v>
      </c>
      <c r="F15" s="41">
        <v>413.917349</v>
      </c>
      <c r="G15" s="41">
        <v>606.58131400000002</v>
      </c>
      <c r="H15" s="41">
        <v>690.37926300000004</v>
      </c>
      <c r="I15" s="41">
        <v>798.96225400000003</v>
      </c>
      <c r="J15" s="41">
        <v>938.99087099999997</v>
      </c>
      <c r="K15" s="41">
        <v>1078.8187700000001</v>
      </c>
      <c r="L15" s="41">
        <v>1195.911241</v>
      </c>
      <c r="M15" s="41">
        <v>1331.5407760000001</v>
      </c>
      <c r="N15" s="41">
        <v>1498.47946</v>
      </c>
      <c r="O15" s="41">
        <v>2080</v>
      </c>
      <c r="P15" s="41">
        <v>101.88106999999999</v>
      </c>
      <c r="Q15" s="41">
        <v>325.92888199999999</v>
      </c>
      <c r="R15" s="41">
        <v>409.45594899999998</v>
      </c>
      <c r="S15" s="41">
        <v>526.18704400000001</v>
      </c>
      <c r="T15" s="41">
        <v>645.05076099999997</v>
      </c>
      <c r="U15" s="41">
        <v>827.92291899999998</v>
      </c>
      <c r="V15" s="41">
        <v>1010.240578</v>
      </c>
      <c r="W15" s="41">
        <v>1150.245523</v>
      </c>
      <c r="X15" s="41">
        <v>1237.372758</v>
      </c>
      <c r="Y15" s="41">
        <v>1412.5527119999999</v>
      </c>
      <c r="Z15" s="41">
        <v>1533.4289940000001</v>
      </c>
      <c r="AA15" s="41">
        <v>1664.2592480000001</v>
      </c>
      <c r="AB15" s="41">
        <v>1872</v>
      </c>
      <c r="AC15" s="41">
        <v>137.55488199999999</v>
      </c>
      <c r="AD15" s="41">
        <v>236.82520500000001</v>
      </c>
      <c r="AE15" s="41">
        <v>363.10416199999997</v>
      </c>
      <c r="AF15" s="41">
        <v>459.33579600000002</v>
      </c>
      <c r="AG15" s="41">
        <v>605.08375799999999</v>
      </c>
      <c r="AH15" s="41">
        <v>721.84234100000003</v>
      </c>
      <c r="AI15" s="41">
        <v>845.53955599999995</v>
      </c>
      <c r="AJ15" s="41">
        <v>958.84050100000002</v>
      </c>
      <c r="AK15" s="41">
        <v>1102.3126239999999</v>
      </c>
      <c r="AL15" s="41">
        <v>1229.90941</v>
      </c>
      <c r="AM15" s="41">
        <v>1324.7717270000001</v>
      </c>
      <c r="AN15" s="41">
        <v>1506.635681</v>
      </c>
      <c r="AO15" s="41">
        <v>1990.7</v>
      </c>
      <c r="AP15" s="41">
        <v>95.614507000000003</v>
      </c>
      <c r="AQ15" s="41">
        <v>208.82686899999999</v>
      </c>
      <c r="AR15" s="41">
        <v>311.32120700000002</v>
      </c>
      <c r="AS15" s="41">
        <v>454.094607</v>
      </c>
      <c r="AT15" s="41">
        <v>577.94930799999997</v>
      </c>
      <c r="AU15" s="41">
        <v>715.67754200000002</v>
      </c>
      <c r="AV15" s="41">
        <v>854.49997900000005</v>
      </c>
      <c r="AW15" s="41">
        <v>957.57732799999997</v>
      </c>
      <c r="AX15" s="41">
        <v>1076.9371659999999</v>
      </c>
      <c r="AY15" s="41">
        <v>1209.9629829999999</v>
      </c>
      <c r="AZ15" s="41">
        <v>1339.2491419999999</v>
      </c>
      <c r="BA15" s="41">
        <v>1478.2118809999999</v>
      </c>
      <c r="BB15" s="41">
        <v>1990.9999989999999</v>
      </c>
      <c r="BC15" s="41">
        <v>1550.3630929999999</v>
      </c>
      <c r="BD15" s="41">
        <v>119.29172800000001</v>
      </c>
      <c r="BE15" s="41">
        <v>233.990441</v>
      </c>
      <c r="BF15" s="41">
        <v>370.638261</v>
      </c>
      <c r="BG15" s="41">
        <v>475.51752099999999</v>
      </c>
      <c r="BH15" s="41">
        <v>607.57200499999999</v>
      </c>
      <c r="BI15" s="41">
        <v>715.50285799999995</v>
      </c>
      <c r="BJ15" s="41">
        <v>847.99646399999995</v>
      </c>
      <c r="BK15" s="41">
        <v>985.60658899999999</v>
      </c>
      <c r="BL15" s="41">
        <v>1121.8386700000001</v>
      </c>
      <c r="BM15" s="41">
        <v>1246.168919</v>
      </c>
      <c r="BN15" s="41">
        <v>1376.4037699999999</v>
      </c>
      <c r="BO15" s="41">
        <v>1550.3630929999999</v>
      </c>
      <c r="BP15" s="41">
        <v>1990.9999989999999</v>
      </c>
      <c r="BQ15" s="41">
        <v>1888</v>
      </c>
      <c r="BR15" s="41">
        <v>157.16740899999999</v>
      </c>
      <c r="BS15" s="41">
        <v>280.65984900000001</v>
      </c>
      <c r="BT15" s="41">
        <v>417.18736799999999</v>
      </c>
      <c r="BU15" s="41">
        <v>565.08142899999996</v>
      </c>
      <c r="BV15" s="41">
        <v>761.52294199999994</v>
      </c>
      <c r="BW15" s="41">
        <v>935.06711900000005</v>
      </c>
      <c r="BX15" s="41">
        <v>1072.0959339999999</v>
      </c>
      <c r="BY15" s="41">
        <v>1265.3721350000001</v>
      </c>
      <c r="BZ15" s="41">
        <v>1432.6770039999999</v>
      </c>
      <c r="CA15" s="41">
        <v>1962.8538960000001</v>
      </c>
      <c r="CB15" s="41">
        <v>1761.8284169999999</v>
      </c>
      <c r="CC15" s="41">
        <v>1937.2721309999999</v>
      </c>
      <c r="CD15" s="41">
        <v>2205.35</v>
      </c>
      <c r="CE15" s="41">
        <v>157.16740899999999</v>
      </c>
      <c r="CF15" s="41">
        <v>280.65984900000001</v>
      </c>
      <c r="CG15" s="41">
        <v>421.71440999999999</v>
      </c>
      <c r="CH15" s="41">
        <v>565.08142899999996</v>
      </c>
      <c r="CI15" s="41">
        <v>761.52294199999994</v>
      </c>
      <c r="CJ15" s="41">
        <v>892.15141600000004</v>
      </c>
      <c r="CK15" s="41">
        <v>1072.0959339999999</v>
      </c>
      <c r="CL15" s="41">
        <v>1265.3721350000001</v>
      </c>
      <c r="CM15" s="41">
        <v>1439.187003</v>
      </c>
      <c r="CN15" s="41">
        <v>1612.654421</v>
      </c>
      <c r="CO15" s="41">
        <v>1760.5760869999999</v>
      </c>
      <c r="CP15" s="41">
        <v>1962.8538960000001</v>
      </c>
      <c r="CQ15" s="41">
        <v>2753.9269049999998</v>
      </c>
      <c r="CR15" s="41">
        <v>2280.3213854430801</v>
      </c>
      <c r="CS15" s="41">
        <v>163.38061999999999</v>
      </c>
      <c r="CT15" s="41">
        <v>326.82737900000001</v>
      </c>
      <c r="CU15" s="41">
        <v>466.25856199999998</v>
      </c>
      <c r="CV15" s="41">
        <v>636.377475</v>
      </c>
      <c r="CW15" s="41">
        <v>796.56171199999994</v>
      </c>
      <c r="CX15" s="41">
        <v>974.18566499999997</v>
      </c>
      <c r="CY15" s="41">
        <v>1170.6345819999999</v>
      </c>
      <c r="CZ15" s="41">
        <v>1381.0747630000001</v>
      </c>
      <c r="DA15" s="41">
        <v>1589.8581569999999</v>
      </c>
      <c r="DB15" s="41">
        <v>1800.179973</v>
      </c>
      <c r="DC15" s="41">
        <v>1967.7632140000001</v>
      </c>
      <c r="DD15" s="41">
        <v>2192.2565909999998</v>
      </c>
      <c r="DE15" s="43">
        <v>2531.9999990000001</v>
      </c>
      <c r="DF15" s="43">
        <v>1617.3432330000001</v>
      </c>
      <c r="DG15" s="43">
        <v>190.51046299999999</v>
      </c>
      <c r="DH15" s="43">
        <v>362.69784900000002</v>
      </c>
      <c r="DI15" s="43">
        <v>531.53434200000004</v>
      </c>
      <c r="DJ15" s="43">
        <v>634.63179500000001</v>
      </c>
      <c r="DK15" s="43">
        <v>703.694884</v>
      </c>
      <c r="DL15" s="43">
        <v>818.15912600000001</v>
      </c>
      <c r="DM15" s="43">
        <v>947.348567</v>
      </c>
      <c r="DN15" s="43">
        <v>1058.7828050000001</v>
      </c>
      <c r="DO15" s="43">
        <v>1207.148817</v>
      </c>
      <c r="DP15" s="43">
        <v>1342.9807619999999</v>
      </c>
      <c r="DQ15" s="43">
        <v>1502.6537430000001</v>
      </c>
      <c r="DR15" s="43">
        <v>1702.201172</v>
      </c>
      <c r="DS15" s="43">
        <v>1954.612983</v>
      </c>
      <c r="DT15" s="43">
        <v>1954.612983</v>
      </c>
      <c r="DU15" s="43">
        <v>106.039361</v>
      </c>
      <c r="DV15" s="43">
        <v>221.99482499999999</v>
      </c>
      <c r="DW15" s="43">
        <v>387.65932199999997</v>
      </c>
      <c r="DX15" s="43">
        <v>501.02196099999998</v>
      </c>
      <c r="DY15" s="43">
        <v>608.056558</v>
      </c>
      <c r="DZ15" s="43">
        <v>776.332854</v>
      </c>
      <c r="EA15" s="43">
        <f>+'AI_Mapa Cons. REC_2021'!$O$27/1000000</f>
        <v>956.72500700000001</v>
      </c>
      <c r="EB15" s="43"/>
      <c r="EC15" s="43"/>
      <c r="ED15" s="43"/>
      <c r="EE15" s="43"/>
      <c r="EF15" s="43"/>
      <c r="EG15" s="44">
        <f t="shared" si="3"/>
        <v>48.947030195798099</v>
      </c>
      <c r="EH15" s="44">
        <f t="shared" si="5"/>
        <v>0.9897560757063939</v>
      </c>
      <c r="EI15" s="962">
        <f t="shared" si="4"/>
        <v>9.3764400000000023</v>
      </c>
      <c r="EM15" s="66" t="s">
        <v>40</v>
      </c>
      <c r="EN15" s="82"/>
      <c r="EO15" s="82"/>
      <c r="EP15" s="83"/>
      <c r="EQ15" s="84"/>
      <c r="ER15" s="60"/>
    </row>
    <row r="16" spans="1:148" s="90" customFormat="1" ht="15" hidden="1" customHeight="1">
      <c r="A16" s="85" t="s">
        <v>51</v>
      </c>
      <c r="B16" s="86">
        <v>0</v>
      </c>
      <c r="C16" s="86">
        <v>0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13.953939999999999</v>
      </c>
      <c r="O16" s="86">
        <v>572.52443500000004</v>
      </c>
      <c r="P16" s="86">
        <v>0.51898999999999995</v>
      </c>
      <c r="Q16" s="86">
        <v>3.54325</v>
      </c>
      <c r="R16" s="86">
        <v>3.58351</v>
      </c>
      <c r="S16" s="86">
        <v>3.7790400000000002</v>
      </c>
      <c r="T16" s="86">
        <v>3.7848600000000001</v>
      </c>
      <c r="U16" s="86">
        <v>45.879826000000001</v>
      </c>
      <c r="V16" s="86">
        <v>113.202349</v>
      </c>
      <c r="W16" s="86">
        <v>163.13872600000002</v>
      </c>
      <c r="X16" s="86">
        <v>183.07772799999998</v>
      </c>
      <c r="Y16" s="86">
        <v>255.23518300000001</v>
      </c>
      <c r="Z16" s="86">
        <v>306.564076</v>
      </c>
      <c r="AA16" s="86">
        <v>332.514565</v>
      </c>
      <c r="AB16" s="86">
        <v>801.55079999999998</v>
      </c>
      <c r="AC16" s="86">
        <v>58.745058</v>
      </c>
      <c r="AD16" s="86">
        <v>119.60206700000001</v>
      </c>
      <c r="AE16" s="86">
        <v>175.38415900000001</v>
      </c>
      <c r="AF16" s="86">
        <v>234.72198299999999</v>
      </c>
      <c r="AG16" s="86">
        <v>281.33499799999998</v>
      </c>
      <c r="AH16" s="86">
        <v>319.06441599999999</v>
      </c>
      <c r="AI16" s="86">
        <v>355.83225299999998</v>
      </c>
      <c r="AJ16" s="86">
        <v>397.25195100000002</v>
      </c>
      <c r="AK16" s="86">
        <v>442.55952600000001</v>
      </c>
      <c r="AL16" s="86">
        <v>485.79063300000001</v>
      </c>
      <c r="AM16" s="86">
        <v>532.99355300000002</v>
      </c>
      <c r="AN16" s="86">
        <v>598.27836100000002</v>
      </c>
      <c r="AO16" s="86">
        <v>795.41980599999999</v>
      </c>
      <c r="AP16" s="86">
        <v>62.426693999999998</v>
      </c>
      <c r="AQ16" s="86">
        <v>80</v>
      </c>
      <c r="AR16" s="86">
        <v>180.52839900000001</v>
      </c>
      <c r="AS16" s="86">
        <v>241.030463</v>
      </c>
      <c r="AT16" s="86">
        <v>290.570877</v>
      </c>
      <c r="AU16" s="86">
        <v>332.42273399999999</v>
      </c>
      <c r="AV16" s="86">
        <v>373.90178400000002</v>
      </c>
      <c r="AW16" s="86">
        <v>423.88066700000002</v>
      </c>
      <c r="AX16" s="86">
        <v>476.27679999999998</v>
      </c>
      <c r="AY16" s="86">
        <v>531</v>
      </c>
      <c r="AZ16" s="86">
        <v>588</v>
      </c>
      <c r="BA16" s="86">
        <v>645.44698500000004</v>
      </c>
      <c r="BB16" s="86">
        <v>795.41980599999999</v>
      </c>
      <c r="BC16" s="86">
        <v>711.40750400000002</v>
      </c>
      <c r="BD16" s="86">
        <v>76.013852</v>
      </c>
      <c r="BE16" s="86">
        <v>150.993268</v>
      </c>
      <c r="BF16" s="86">
        <v>219.62118599999999</v>
      </c>
      <c r="BG16" s="86">
        <v>292.73145799999998</v>
      </c>
      <c r="BH16" s="86">
        <v>351.6</v>
      </c>
      <c r="BI16" s="86">
        <v>396.96567399999998</v>
      </c>
      <c r="BJ16" s="86">
        <v>449.96777300000002</v>
      </c>
      <c r="BK16" s="86">
        <v>493.757767</v>
      </c>
      <c r="BL16" s="86">
        <v>546.53511700000001</v>
      </c>
      <c r="BM16" s="86">
        <v>592.09595300000001</v>
      </c>
      <c r="BN16" s="86">
        <v>647.82039399999996</v>
      </c>
      <c r="BO16" s="86">
        <v>711.40750400000002</v>
      </c>
      <c r="BP16" s="86">
        <v>890.870183</v>
      </c>
      <c r="BQ16" s="86">
        <v>890.870183</v>
      </c>
      <c r="BR16" s="86">
        <v>124.998817</v>
      </c>
      <c r="BS16" s="86">
        <v>199.63638599999999</v>
      </c>
      <c r="BT16" s="86">
        <v>253.28695300000001</v>
      </c>
      <c r="BU16" s="86">
        <v>423.43713600000001</v>
      </c>
      <c r="BV16" s="86">
        <v>400.6</v>
      </c>
      <c r="BW16" s="86">
        <v>451.51957099999998</v>
      </c>
      <c r="BX16" s="86">
        <v>619.39193599999999</v>
      </c>
      <c r="BY16" s="86">
        <v>588.9</v>
      </c>
      <c r="BZ16" s="86">
        <v>648.90065600000003</v>
      </c>
      <c r="CA16" s="86">
        <v>981.33668499999999</v>
      </c>
      <c r="CB16" s="86">
        <v>778.91831300000001</v>
      </c>
      <c r="CC16" s="86">
        <v>849.41650900000002</v>
      </c>
      <c r="CD16" s="86">
        <v>1001.1514</v>
      </c>
      <c r="CE16" s="86">
        <v>124.985837</v>
      </c>
      <c r="CF16" s="86">
        <v>199.63638599999999</v>
      </c>
      <c r="CG16" s="86">
        <v>317.22833500000002</v>
      </c>
      <c r="CH16" s="86">
        <v>424</v>
      </c>
      <c r="CI16" s="86">
        <v>496.78373299999998</v>
      </c>
      <c r="CJ16" s="86">
        <v>557.19251599999996</v>
      </c>
      <c r="CK16" s="86">
        <v>619.39193599999999</v>
      </c>
      <c r="CL16" s="86">
        <v>679.6</v>
      </c>
      <c r="CM16" s="86">
        <v>747.765129</v>
      </c>
      <c r="CN16" s="86">
        <v>818.34100000000001</v>
      </c>
      <c r="CO16" s="86">
        <v>908.46699999999998</v>
      </c>
      <c r="CP16" s="86">
        <v>984.19399999999996</v>
      </c>
      <c r="CQ16" s="86">
        <v>1118.0319039999999</v>
      </c>
      <c r="CR16" s="86">
        <v>1118.0319039999999</v>
      </c>
      <c r="CS16" s="86">
        <v>90.502635999999995</v>
      </c>
      <c r="CT16" s="86">
        <v>149.410833</v>
      </c>
      <c r="CU16" s="86">
        <v>279.81938500000001</v>
      </c>
      <c r="CV16" s="86">
        <v>371.88514099999998</v>
      </c>
      <c r="CW16" s="86">
        <v>444.94397300000003</v>
      </c>
      <c r="CX16" s="86">
        <v>504.09865400000001</v>
      </c>
      <c r="CY16" s="86">
        <v>590.48747500000002</v>
      </c>
      <c r="CZ16" s="86">
        <v>672.17873999999995</v>
      </c>
      <c r="DA16" s="86">
        <v>738.94694400000003</v>
      </c>
      <c r="DB16" s="86">
        <v>809.16509900000005</v>
      </c>
      <c r="DC16" s="86">
        <v>896.03406199999995</v>
      </c>
      <c r="DD16" s="86">
        <v>991.92458699999997</v>
      </c>
      <c r="DE16" s="43">
        <v>1258.344947</v>
      </c>
      <c r="DF16" s="87">
        <v>513.44500000000005</v>
      </c>
      <c r="DG16" s="87">
        <v>89.094193000000004</v>
      </c>
      <c r="DH16" s="87">
        <v>179.33984599999999</v>
      </c>
      <c r="DI16" s="87">
        <v>244.30329599999999</v>
      </c>
      <c r="DJ16" s="87">
        <v>283.74484699999999</v>
      </c>
      <c r="DK16" s="87">
        <v>287.06463300000001</v>
      </c>
      <c r="DL16" s="87">
        <v>287.87892599999998</v>
      </c>
      <c r="DM16" s="87">
        <v>289.53492799999998</v>
      </c>
      <c r="DN16" s="87">
        <v>291.32523400000002</v>
      </c>
      <c r="DO16" s="87">
        <v>291.98951899999997</v>
      </c>
      <c r="DP16" s="87">
        <v>294.28579400000001</v>
      </c>
      <c r="DQ16" s="87">
        <v>295.57942000000003</v>
      </c>
      <c r="DR16" s="87">
        <v>296.64229999999998</v>
      </c>
      <c r="DS16" s="43"/>
      <c r="DT16" s="43"/>
      <c r="DU16" s="88"/>
      <c r="DV16" s="88">
        <v>0</v>
      </c>
      <c r="DW16" s="88">
        <v>0</v>
      </c>
      <c r="DX16" s="88"/>
      <c r="DY16" s="88"/>
      <c r="DZ16" s="88"/>
      <c r="EA16" s="88"/>
      <c r="EB16" s="88"/>
      <c r="EC16" s="88"/>
      <c r="ED16" s="88"/>
      <c r="EE16" s="88"/>
      <c r="EF16" s="88"/>
      <c r="EG16" s="89" t="e">
        <f t="shared" si="3"/>
        <v>#DIV/0!</v>
      </c>
      <c r="EH16" s="89">
        <f t="shared" si="5"/>
        <v>-100</v>
      </c>
      <c r="EI16" s="962">
        <f t="shared" si="4"/>
        <v>-289.53492799999998</v>
      </c>
      <c r="EN16" s="80"/>
      <c r="EO16" s="80"/>
      <c r="EP16" s="80"/>
      <c r="EQ16" s="80"/>
      <c r="ER16" s="80"/>
    </row>
    <row r="17" spans="1:148" s="82" customFormat="1" ht="15" hidden="1" customHeight="1">
      <c r="A17" s="91" t="s">
        <v>52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13.953939999999999</v>
      </c>
      <c r="O17" s="92">
        <v>21.199435000000001</v>
      </c>
      <c r="P17" s="92">
        <v>0.51898999999999995</v>
      </c>
      <c r="Q17" s="92">
        <v>3.54325</v>
      </c>
      <c r="R17" s="92">
        <v>3.58351</v>
      </c>
      <c r="S17" s="92">
        <v>3.7790400000000002</v>
      </c>
      <c r="T17" s="92">
        <v>3.7848600000000001</v>
      </c>
      <c r="U17" s="92">
        <v>3.9571200000000002</v>
      </c>
      <c r="V17" s="92">
        <v>4.0674599999999996</v>
      </c>
      <c r="W17" s="92">
        <v>4.0794600000000001</v>
      </c>
      <c r="X17" s="92">
        <v>3.58351</v>
      </c>
      <c r="Y17" s="92">
        <v>4.0794600000000001</v>
      </c>
      <c r="Z17" s="92">
        <v>4.0794600000000001</v>
      </c>
      <c r="AA17" s="92">
        <v>3.58351</v>
      </c>
      <c r="AB17" s="92">
        <v>0</v>
      </c>
      <c r="AC17" s="92">
        <v>0</v>
      </c>
      <c r="AD17" s="92">
        <v>0</v>
      </c>
      <c r="AE17" s="92">
        <v>0</v>
      </c>
      <c r="AF17" s="92">
        <v>0</v>
      </c>
      <c r="AG17" s="92">
        <v>0</v>
      </c>
      <c r="AH17" s="92">
        <v>0</v>
      </c>
      <c r="AI17" s="92">
        <v>0</v>
      </c>
      <c r="AJ17" s="92">
        <v>0</v>
      </c>
      <c r="AK17" s="92">
        <v>0</v>
      </c>
      <c r="AL17" s="92">
        <v>0</v>
      </c>
      <c r="AM17" s="92">
        <v>0</v>
      </c>
      <c r="AN17" s="92">
        <v>0</v>
      </c>
      <c r="AO17" s="92">
        <v>0</v>
      </c>
      <c r="AP17" s="92">
        <v>0</v>
      </c>
      <c r="AQ17" s="92">
        <v>0</v>
      </c>
      <c r="AR17" s="92">
        <v>0</v>
      </c>
      <c r="AS17" s="92">
        <v>0</v>
      </c>
      <c r="AT17" s="92">
        <v>0</v>
      </c>
      <c r="AU17" s="92">
        <v>0</v>
      </c>
      <c r="AV17" s="92">
        <v>0</v>
      </c>
      <c r="AW17" s="92">
        <v>0</v>
      </c>
      <c r="AX17" s="92">
        <v>0</v>
      </c>
      <c r="AY17" s="92">
        <v>0</v>
      </c>
      <c r="AZ17" s="92">
        <v>0</v>
      </c>
      <c r="BA17" s="92">
        <v>0</v>
      </c>
      <c r="BB17" s="92">
        <v>0</v>
      </c>
      <c r="BC17" s="92">
        <v>0</v>
      </c>
      <c r="BD17" s="92">
        <v>0</v>
      </c>
      <c r="BE17" s="92">
        <v>0</v>
      </c>
      <c r="BF17" s="92">
        <v>0</v>
      </c>
      <c r="BG17" s="92">
        <v>0</v>
      </c>
      <c r="BH17" s="92">
        <v>0</v>
      </c>
      <c r="BI17" s="92">
        <v>0</v>
      </c>
      <c r="BJ17" s="92">
        <v>0</v>
      </c>
      <c r="BK17" s="92">
        <v>0</v>
      </c>
      <c r="BL17" s="92">
        <v>0</v>
      </c>
      <c r="BM17" s="92">
        <v>0</v>
      </c>
      <c r="BN17" s="92">
        <v>0</v>
      </c>
      <c r="BO17" s="92">
        <v>0</v>
      </c>
      <c r="BP17" s="92">
        <v>0</v>
      </c>
      <c r="BQ17" s="92">
        <v>0</v>
      </c>
      <c r="BR17" s="92">
        <v>0</v>
      </c>
      <c r="BS17" s="92">
        <v>0</v>
      </c>
      <c r="BT17" s="92">
        <v>0</v>
      </c>
      <c r="BU17" s="92">
        <v>0</v>
      </c>
      <c r="BV17" s="92">
        <v>0</v>
      </c>
      <c r="BW17" s="92">
        <v>451.51957099999998</v>
      </c>
      <c r="BX17" s="92">
        <v>0</v>
      </c>
      <c r="BY17" s="92">
        <v>0</v>
      </c>
      <c r="BZ17" s="92">
        <v>0</v>
      </c>
      <c r="CA17" s="92">
        <v>0</v>
      </c>
      <c r="CB17" s="92">
        <v>0</v>
      </c>
      <c r="CC17" s="92">
        <v>849.41650900000002</v>
      </c>
      <c r="CD17" s="92">
        <v>4</v>
      </c>
      <c r="CE17" s="92">
        <v>0</v>
      </c>
      <c r="CF17" s="92">
        <v>0</v>
      </c>
      <c r="CG17" s="92">
        <v>0</v>
      </c>
      <c r="CH17" s="92">
        <v>0</v>
      </c>
      <c r="CI17" s="92">
        <v>0</v>
      </c>
      <c r="CJ17" s="92">
        <v>0</v>
      </c>
      <c r="CK17" s="92">
        <v>0</v>
      </c>
      <c r="CL17" s="92">
        <v>0</v>
      </c>
      <c r="CM17" s="92">
        <v>0</v>
      </c>
      <c r="CN17" s="92">
        <v>0</v>
      </c>
      <c r="CO17" s="92">
        <v>0</v>
      </c>
      <c r="CP17" s="92">
        <v>0</v>
      </c>
      <c r="CQ17" s="92"/>
      <c r="CR17" s="92"/>
      <c r="CS17" s="92">
        <v>0</v>
      </c>
      <c r="CT17" s="92">
        <v>0</v>
      </c>
      <c r="CU17" s="92">
        <v>0</v>
      </c>
      <c r="CV17" s="92">
        <v>0</v>
      </c>
      <c r="CW17" s="92">
        <v>0</v>
      </c>
      <c r="CX17" s="92"/>
      <c r="CY17" s="92">
        <v>0</v>
      </c>
      <c r="CZ17" s="92">
        <v>0</v>
      </c>
      <c r="DA17" s="92">
        <v>0</v>
      </c>
      <c r="DB17" s="92">
        <v>0</v>
      </c>
      <c r="DC17" s="92">
        <v>0</v>
      </c>
      <c r="DD17" s="92">
        <v>0</v>
      </c>
      <c r="DE17" s="43">
        <v>0</v>
      </c>
      <c r="DF17" s="47"/>
      <c r="DG17" s="47">
        <v>0</v>
      </c>
      <c r="DH17" s="47">
        <v>0</v>
      </c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3"/>
      <c r="DT17" s="43"/>
      <c r="DU17" s="43"/>
      <c r="DV17" s="43">
        <v>2172.7798790000002</v>
      </c>
      <c r="DW17" s="43">
        <v>0</v>
      </c>
      <c r="DX17" s="43"/>
      <c r="DY17" s="43"/>
      <c r="DZ17" s="43"/>
      <c r="EA17" s="43"/>
      <c r="EB17" s="43"/>
      <c r="EC17" s="43"/>
      <c r="ED17" s="43"/>
      <c r="EE17" s="43"/>
      <c r="EF17" s="43"/>
      <c r="EG17" s="44" t="e">
        <f t="shared" si="3"/>
        <v>#DIV/0!</v>
      </c>
      <c r="EH17" s="44" t="e">
        <f t="shared" si="5"/>
        <v>#DIV/0!</v>
      </c>
      <c r="EI17" s="962">
        <f t="shared" si="4"/>
        <v>0</v>
      </c>
      <c r="EN17" s="66"/>
      <c r="EQ17" s="83"/>
      <c r="ER17" s="84">
        <f>+EH5</f>
        <v>-18.713064177190642</v>
      </c>
    </row>
    <row r="18" spans="1:148" s="82" customFormat="1" ht="15" customHeight="1">
      <c r="A18" s="91" t="s">
        <v>53</v>
      </c>
      <c r="B18" s="92"/>
      <c r="C18" s="92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551.32500000000005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  <c r="U18" s="92">
        <v>41.922705999999998</v>
      </c>
      <c r="V18" s="92">
        <v>109.134889</v>
      </c>
      <c r="W18" s="92">
        <v>159.05926600000001</v>
      </c>
      <c r="X18" s="92">
        <v>179.49421799999999</v>
      </c>
      <c r="Y18" s="92">
        <v>251.15572299999999</v>
      </c>
      <c r="Z18" s="92">
        <v>302.48461600000002</v>
      </c>
      <c r="AA18" s="92">
        <v>328.93105500000001</v>
      </c>
      <c r="AB18" s="92">
        <v>801.55079999999998</v>
      </c>
      <c r="AC18" s="92">
        <v>58.745058</v>
      </c>
      <c r="AD18" s="92">
        <v>119.60206700000001</v>
      </c>
      <c r="AE18" s="92">
        <v>175.38415900000001</v>
      </c>
      <c r="AF18" s="92">
        <v>234.72198299999999</v>
      </c>
      <c r="AG18" s="92">
        <v>281.33499799999998</v>
      </c>
      <c r="AH18" s="92">
        <v>319.06441599999999</v>
      </c>
      <c r="AI18" s="92">
        <v>355.83225299999998</v>
      </c>
      <c r="AJ18" s="92">
        <v>397.25195100000002</v>
      </c>
      <c r="AK18" s="92">
        <v>442.55952600000001</v>
      </c>
      <c r="AL18" s="92">
        <v>485.79063300000001</v>
      </c>
      <c r="AM18" s="92">
        <v>532.99355300000002</v>
      </c>
      <c r="AN18" s="92">
        <v>598.27836100000002</v>
      </c>
      <c r="AO18" s="92">
        <v>795.41980599999999</v>
      </c>
      <c r="AP18" s="92">
        <v>62.426693999999998</v>
      </c>
      <c r="AQ18" s="92">
        <v>80</v>
      </c>
      <c r="AR18" s="92">
        <v>180.52839900000001</v>
      </c>
      <c r="AS18" s="92">
        <v>241.030463</v>
      </c>
      <c r="AT18" s="92">
        <v>290.570877</v>
      </c>
      <c r="AU18" s="92">
        <v>332.42273399999999</v>
      </c>
      <c r="AV18" s="92">
        <v>373.90178400000002</v>
      </c>
      <c r="AW18" s="92">
        <v>423.88066700000002</v>
      </c>
      <c r="AX18" s="92">
        <v>476.27679999999998</v>
      </c>
      <c r="AY18" s="92">
        <v>531</v>
      </c>
      <c r="AZ18" s="92">
        <v>588</v>
      </c>
      <c r="BA18" s="92">
        <v>645.44698500000004</v>
      </c>
      <c r="BB18" s="92">
        <v>795.41980599999999</v>
      </c>
      <c r="BC18" s="92">
        <v>711.40750400000002</v>
      </c>
      <c r="BD18" s="92">
        <v>76.013852</v>
      </c>
      <c r="BE18" s="92">
        <v>150.993268</v>
      </c>
      <c r="BF18" s="92">
        <v>219.62118599999999</v>
      </c>
      <c r="BG18" s="92">
        <v>292.73145799999998</v>
      </c>
      <c r="BH18" s="92">
        <v>351.6</v>
      </c>
      <c r="BI18" s="92">
        <v>396.96567399999998</v>
      </c>
      <c r="BJ18" s="92">
        <v>449.96777300000002</v>
      </c>
      <c r="BK18" s="92">
        <v>492.757767</v>
      </c>
      <c r="BL18" s="92">
        <v>546.53511700000001</v>
      </c>
      <c r="BM18" s="92">
        <v>592.09595300000001</v>
      </c>
      <c r="BN18" s="92">
        <v>647.82039399999996</v>
      </c>
      <c r="BO18" s="92">
        <v>711.40750400000002</v>
      </c>
      <c r="BP18" s="92">
        <v>890.870183</v>
      </c>
      <c r="BQ18" s="92">
        <v>890.870183</v>
      </c>
      <c r="BR18" s="92">
        <v>124.998817</v>
      </c>
      <c r="BS18" s="92">
        <v>199.63638599999999</v>
      </c>
      <c r="BT18" s="92">
        <v>253.28695300000001</v>
      </c>
      <c r="BU18" s="92">
        <v>423.43713600000001</v>
      </c>
      <c r="BV18" s="92">
        <v>400.6</v>
      </c>
      <c r="BW18" s="92">
        <v>451.51957099999998</v>
      </c>
      <c r="BX18" s="92">
        <v>619.39193599999999</v>
      </c>
      <c r="BY18" s="92">
        <v>588.9</v>
      </c>
      <c r="BZ18" s="92">
        <v>648.90065600000003</v>
      </c>
      <c r="CA18" s="92">
        <v>981.33668499999999</v>
      </c>
      <c r="CB18" s="92">
        <v>780.9</v>
      </c>
      <c r="CC18" s="92">
        <v>849.41650900000002</v>
      </c>
      <c r="CD18" s="92">
        <v>997.15139999999997</v>
      </c>
      <c r="CE18" s="92">
        <v>124.985837</v>
      </c>
      <c r="CF18" s="92">
        <v>199.63638599999999</v>
      </c>
      <c r="CG18" s="92">
        <v>317.22833500000002</v>
      </c>
      <c r="CH18" s="92">
        <v>424</v>
      </c>
      <c r="CI18" s="92">
        <v>496.78373299999998</v>
      </c>
      <c r="CJ18" s="92">
        <v>557.19251599999996</v>
      </c>
      <c r="CK18" s="92">
        <v>619.39193599999999</v>
      </c>
      <c r="CL18" s="92">
        <v>679.6</v>
      </c>
      <c r="CM18" s="92">
        <v>747.765129</v>
      </c>
      <c r="CN18" s="92">
        <v>818.34100000000001</v>
      </c>
      <c r="CO18" s="92">
        <v>908.46699999999998</v>
      </c>
      <c r="CP18" s="92">
        <v>811.07787699999994</v>
      </c>
      <c r="CQ18" s="92">
        <v>1118.0319039999999</v>
      </c>
      <c r="CR18" s="92">
        <v>1118.0319039999999</v>
      </c>
      <c r="CS18" s="92">
        <v>90.502635999999995</v>
      </c>
      <c r="CT18" s="92">
        <v>149.410833</v>
      </c>
      <c r="CU18" s="92">
        <v>279.81938500000001</v>
      </c>
      <c r="CV18" s="92">
        <v>371.88514099999998</v>
      </c>
      <c r="CW18" s="92">
        <v>446.39147300000002</v>
      </c>
      <c r="CX18" s="92">
        <v>504.09865400000001</v>
      </c>
      <c r="CY18" s="92">
        <v>590.48747500000002</v>
      </c>
      <c r="CZ18" s="92">
        <v>672.17873999999995</v>
      </c>
      <c r="DA18" s="92">
        <v>738.94694400000003</v>
      </c>
      <c r="DB18" s="92">
        <v>809.16509900000005</v>
      </c>
      <c r="DC18" s="92">
        <v>896.03406199999995</v>
      </c>
      <c r="DD18" s="92">
        <v>991.92458699999997</v>
      </c>
      <c r="DE18" s="43">
        <v>1258.344947</v>
      </c>
      <c r="DF18" s="47">
        <v>513.44500000000005</v>
      </c>
      <c r="DG18" s="47">
        <v>89.094193000000004</v>
      </c>
      <c r="DH18" s="47">
        <v>179.33984599999999</v>
      </c>
      <c r="DI18" s="47">
        <v>244.30329599999999</v>
      </c>
      <c r="DJ18" s="47">
        <v>283.74484699999999</v>
      </c>
      <c r="DK18" s="47">
        <v>287.06463300000001</v>
      </c>
      <c r="DL18" s="47">
        <v>287.87892599999998</v>
      </c>
      <c r="DM18" s="47">
        <v>289.53492799999998</v>
      </c>
      <c r="DN18" s="47">
        <v>291.32523400000002</v>
      </c>
      <c r="DO18" s="47">
        <v>291.98951899999997</v>
      </c>
      <c r="DP18" s="47">
        <v>294.28579400000001</v>
      </c>
      <c r="DQ18" s="47">
        <v>295.57942000000003</v>
      </c>
      <c r="DR18" s="47">
        <v>296.64229999999998</v>
      </c>
      <c r="DS18" s="43">
        <v>612.89999799999998</v>
      </c>
      <c r="DT18" s="43">
        <v>247.72727</v>
      </c>
      <c r="DU18" s="44">
        <v>2.2803610000000001</v>
      </c>
      <c r="DV18" s="44">
        <v>5.9549440000000002</v>
      </c>
      <c r="DW18" s="44">
        <v>9.3736960000000007</v>
      </c>
      <c r="DX18" s="44">
        <v>13.240824999999999</v>
      </c>
      <c r="DY18" s="43">
        <v>18.336694999999999</v>
      </c>
      <c r="DZ18" s="43">
        <v>23.097104999999999</v>
      </c>
      <c r="EA18" s="43">
        <f>+'AI_Mapa Cons. REC_2021'!$O$31/1000000</f>
        <v>29.305575999999999</v>
      </c>
      <c r="EB18" s="44">
        <f>+'AI_Mapa Cons. REC_2021'!T31/1000000</f>
        <v>0</v>
      </c>
      <c r="EC18" s="44">
        <f>+'AI_Mapa Cons. REC_2021'!U31/1000000</f>
        <v>0</v>
      </c>
      <c r="ED18" s="44">
        <f>+'AI_Mapa Cons. REC_2021'!V31/1000000</f>
        <v>0</v>
      </c>
      <c r="EE18" s="44">
        <f>+'AI_Mapa Cons. REC_2021'!W31/1000000</f>
        <v>0</v>
      </c>
      <c r="EF18" s="44">
        <f>+'AI_Mapa Cons. REC_2021'!X31/1000000</f>
        <v>0</v>
      </c>
      <c r="EG18" s="44">
        <f t="shared" si="3"/>
        <v>11.829773928401179</v>
      </c>
      <c r="EH18" s="44">
        <f t="shared" si="5"/>
        <v>-89.878396985665233</v>
      </c>
      <c r="EI18" s="962">
        <f t="shared" si="4"/>
        <v>-260.22935200000001</v>
      </c>
    </row>
    <row r="19" spans="1:148" s="96" customFormat="1" ht="15" hidden="1" customHeight="1">
      <c r="A19" s="93" t="s">
        <v>54</v>
      </c>
      <c r="B19" s="94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  <c r="T19" s="94">
        <v>0</v>
      </c>
      <c r="U19" s="94">
        <v>0</v>
      </c>
      <c r="V19" s="94">
        <v>0</v>
      </c>
      <c r="W19" s="94">
        <v>0</v>
      </c>
      <c r="X19" s="94">
        <v>0</v>
      </c>
      <c r="Y19" s="94">
        <v>0</v>
      </c>
      <c r="Z19" s="94">
        <v>0</v>
      </c>
      <c r="AA19" s="94">
        <v>0</v>
      </c>
      <c r="AB19" s="94">
        <v>0</v>
      </c>
      <c r="AC19" s="94">
        <v>0</v>
      </c>
      <c r="AD19" s="94">
        <v>0</v>
      </c>
      <c r="AE19" s="94">
        <v>0</v>
      </c>
      <c r="AF19" s="94">
        <v>0</v>
      </c>
      <c r="AG19" s="94">
        <v>0</v>
      </c>
      <c r="AH19" s="94">
        <v>0</v>
      </c>
      <c r="AI19" s="94">
        <v>0</v>
      </c>
      <c r="AJ19" s="94">
        <v>0</v>
      </c>
      <c r="AK19" s="94">
        <v>0</v>
      </c>
      <c r="AL19" s="94">
        <v>0</v>
      </c>
      <c r="AM19" s="94">
        <v>0</v>
      </c>
      <c r="AN19" s="94">
        <v>0</v>
      </c>
      <c r="AO19" s="94">
        <v>0</v>
      </c>
      <c r="AP19" s="94">
        <v>0</v>
      </c>
      <c r="AQ19" s="94">
        <v>0</v>
      </c>
      <c r="AR19" s="94">
        <v>0</v>
      </c>
      <c r="AS19" s="94">
        <v>0</v>
      </c>
      <c r="AT19" s="94">
        <v>0</v>
      </c>
      <c r="AU19" s="94"/>
      <c r="AV19" s="94">
        <v>0</v>
      </c>
      <c r="AW19" s="94">
        <v>0</v>
      </c>
      <c r="AX19" s="94">
        <v>0</v>
      </c>
      <c r="AY19" s="94">
        <v>0</v>
      </c>
      <c r="AZ19" s="94">
        <v>0</v>
      </c>
      <c r="BA19" s="94">
        <v>0</v>
      </c>
      <c r="BB19" s="94"/>
      <c r="BC19" s="94"/>
      <c r="BD19" s="94">
        <v>0</v>
      </c>
      <c r="BE19" s="94">
        <v>0</v>
      </c>
      <c r="BF19" s="94">
        <v>0</v>
      </c>
      <c r="BG19" s="94">
        <v>0</v>
      </c>
      <c r="BH19" s="94">
        <v>0</v>
      </c>
      <c r="BI19" s="94">
        <v>0</v>
      </c>
      <c r="BJ19" s="94">
        <v>0</v>
      </c>
      <c r="BK19" s="94">
        <v>1</v>
      </c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>
        <v>0</v>
      </c>
      <c r="CB19" s="94"/>
      <c r="CC19" s="94"/>
      <c r="CD19" s="94">
        <v>0</v>
      </c>
      <c r="CE19" s="94"/>
      <c r="CF19" s="94"/>
      <c r="CG19" s="94">
        <v>156.94887600000001</v>
      </c>
      <c r="CH19" s="94"/>
      <c r="CI19" s="94"/>
      <c r="CJ19" s="94"/>
      <c r="CK19" s="94"/>
      <c r="CL19" s="94"/>
      <c r="CM19" s="94"/>
      <c r="CN19" s="94"/>
      <c r="CO19" s="94"/>
      <c r="CP19" s="94"/>
      <c r="CQ19" s="94">
        <v>0</v>
      </c>
      <c r="CR19" s="94"/>
      <c r="CS19" s="94">
        <v>0</v>
      </c>
      <c r="CT19" s="94">
        <v>0</v>
      </c>
      <c r="CU19" s="94">
        <v>0</v>
      </c>
      <c r="CV19" s="94">
        <v>0</v>
      </c>
      <c r="CW19" s="94">
        <v>0</v>
      </c>
      <c r="CX19" s="94"/>
      <c r="CY19" s="94">
        <v>0</v>
      </c>
      <c r="CZ19" s="94">
        <v>0</v>
      </c>
      <c r="DA19" s="94">
        <v>0</v>
      </c>
      <c r="DB19" s="94">
        <v>0</v>
      </c>
      <c r="DC19" s="94">
        <v>0</v>
      </c>
      <c r="DD19" s="94">
        <v>0</v>
      </c>
      <c r="DE19" s="88">
        <v>0</v>
      </c>
      <c r="DF19" s="88"/>
      <c r="DG19" s="88">
        <v>0</v>
      </c>
      <c r="DH19" s="88">
        <v>0</v>
      </c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>
        <v>1858.141316</v>
      </c>
      <c r="DW19" s="88">
        <v>0</v>
      </c>
      <c r="DX19" s="88"/>
      <c r="DY19" s="88"/>
      <c r="DZ19" s="88"/>
      <c r="EA19" s="88"/>
      <c r="EB19" s="88"/>
      <c r="EC19" s="88"/>
      <c r="ED19" s="88"/>
      <c r="EE19" s="88"/>
      <c r="EF19" s="88"/>
      <c r="EG19" s="89" t="e">
        <f t="shared" si="3"/>
        <v>#DIV/0!</v>
      </c>
      <c r="EH19" s="89" t="e">
        <f t="shared" si="5"/>
        <v>#DIV/0!</v>
      </c>
      <c r="EI19" s="962">
        <f t="shared" si="4"/>
        <v>0</v>
      </c>
      <c r="EJ19" s="95"/>
    </row>
    <row r="20" spans="1:148" ht="15" customHeight="1">
      <c r="A20" s="40" t="s">
        <v>55</v>
      </c>
      <c r="B20" s="41">
        <v>500</v>
      </c>
      <c r="C20" s="41">
        <v>48.388413</v>
      </c>
      <c r="D20" s="41">
        <v>80.669122999999999</v>
      </c>
      <c r="E20" s="41">
        <v>120.288724</v>
      </c>
      <c r="F20" s="41">
        <v>146.84913399999999</v>
      </c>
      <c r="G20" s="41">
        <v>184.07231899999999</v>
      </c>
      <c r="H20" s="41">
        <v>218.24707699999999</v>
      </c>
      <c r="I20" s="41">
        <v>265.40609699999999</v>
      </c>
      <c r="J20" s="41">
        <v>321.30903799999999</v>
      </c>
      <c r="K20" s="41">
        <v>357.16726999999997</v>
      </c>
      <c r="L20" s="41">
        <v>431.67362400000002</v>
      </c>
      <c r="M20" s="41">
        <v>482.44430799999998</v>
      </c>
      <c r="N20" s="41">
        <v>542.59598800000003</v>
      </c>
      <c r="O20" s="41">
        <v>600</v>
      </c>
      <c r="P20" s="41">
        <v>52.394862000000003</v>
      </c>
      <c r="Q20" s="41">
        <v>107.35323099999999</v>
      </c>
      <c r="R20" s="41">
        <v>142.38560799999999</v>
      </c>
      <c r="S20" s="41">
        <v>188.50912600000001</v>
      </c>
      <c r="T20" s="41">
        <v>231.046018</v>
      </c>
      <c r="U20" s="41">
        <v>269.01701100000002</v>
      </c>
      <c r="V20" s="41">
        <v>318.44832200000002</v>
      </c>
      <c r="W20" s="41">
        <v>365.752681</v>
      </c>
      <c r="X20" s="41">
        <v>421.64462400000002</v>
      </c>
      <c r="Y20" s="41">
        <v>474.80211800000001</v>
      </c>
      <c r="Z20" s="41">
        <v>516.82863299999997</v>
      </c>
      <c r="AA20" s="41">
        <v>570.87509699999998</v>
      </c>
      <c r="AB20" s="41">
        <v>592</v>
      </c>
      <c r="AC20" s="41">
        <v>48.371485999999997</v>
      </c>
      <c r="AD20" s="41">
        <v>80.486050000000006</v>
      </c>
      <c r="AE20" s="41">
        <v>129.89134000000001</v>
      </c>
      <c r="AF20" s="41">
        <v>164.665289</v>
      </c>
      <c r="AG20" s="41">
        <v>210.6994</v>
      </c>
      <c r="AH20" s="41">
        <v>257.68681800000002</v>
      </c>
      <c r="AI20" s="41">
        <v>300.77396900000002</v>
      </c>
      <c r="AJ20" s="41">
        <v>352.438152</v>
      </c>
      <c r="AK20" s="41">
        <v>400.445471</v>
      </c>
      <c r="AL20" s="41">
        <v>453.46537899999998</v>
      </c>
      <c r="AM20" s="41">
        <v>497.30987499999998</v>
      </c>
      <c r="AN20" s="41">
        <v>558.40528200000006</v>
      </c>
      <c r="AO20" s="41">
        <v>682.4</v>
      </c>
      <c r="AP20" s="41">
        <v>47.199295999999997</v>
      </c>
      <c r="AQ20" s="41">
        <v>83.511742999999996</v>
      </c>
      <c r="AR20" s="41">
        <v>130.65359799999999</v>
      </c>
      <c r="AS20" s="41">
        <v>173.773168</v>
      </c>
      <c r="AT20" s="41">
        <v>224.58253099999999</v>
      </c>
      <c r="AU20" s="41">
        <v>277.43892299999999</v>
      </c>
      <c r="AV20" s="41">
        <v>330.08865300000002</v>
      </c>
      <c r="AW20" s="41">
        <v>375.11125299999998</v>
      </c>
      <c r="AX20" s="41">
        <v>419.90304900000001</v>
      </c>
      <c r="AY20" s="41">
        <v>477.54721899999998</v>
      </c>
      <c r="AZ20" s="41">
        <v>536.79357700000003</v>
      </c>
      <c r="BA20" s="41">
        <v>595.09684300000004</v>
      </c>
      <c r="BB20" s="41">
        <v>655</v>
      </c>
      <c r="BC20" s="41">
        <v>677.81957199999999</v>
      </c>
      <c r="BD20" s="41">
        <v>48.050047999999997</v>
      </c>
      <c r="BE20" s="41">
        <v>97.090997999999999</v>
      </c>
      <c r="BF20" s="41">
        <v>146.638745</v>
      </c>
      <c r="BG20" s="41">
        <v>203.56826699999999</v>
      </c>
      <c r="BH20" s="41">
        <v>258.14930900000002</v>
      </c>
      <c r="BI20" s="41">
        <v>314.68881699999997</v>
      </c>
      <c r="BJ20" s="41">
        <v>366.848162</v>
      </c>
      <c r="BK20" s="41">
        <v>426.14939099999998</v>
      </c>
      <c r="BL20" s="41">
        <v>479.63608900000003</v>
      </c>
      <c r="BM20" s="41">
        <v>541.24579200000005</v>
      </c>
      <c r="BN20" s="41">
        <v>614.33715099999995</v>
      </c>
      <c r="BO20" s="41">
        <v>677.81957199999999</v>
      </c>
      <c r="BP20" s="41">
        <v>740</v>
      </c>
      <c r="BQ20" s="41">
        <v>713.92729999999995</v>
      </c>
      <c r="BR20" s="41">
        <v>62.262653</v>
      </c>
      <c r="BS20" s="41">
        <v>105.461646</v>
      </c>
      <c r="BT20" s="41">
        <v>152.33010300000001</v>
      </c>
      <c r="BU20" s="41">
        <v>214.36919499999999</v>
      </c>
      <c r="BV20" s="41">
        <v>279.45135699999997</v>
      </c>
      <c r="BW20" s="41">
        <v>323.86875900000001</v>
      </c>
      <c r="BX20" s="41">
        <v>399.01168799999999</v>
      </c>
      <c r="BY20" s="41">
        <v>466.996422</v>
      </c>
      <c r="BZ20" s="41">
        <v>491.65641799999997</v>
      </c>
      <c r="CA20" s="41">
        <v>716.74793999999997</v>
      </c>
      <c r="CB20" s="41">
        <v>619.26288799999998</v>
      </c>
      <c r="CC20" s="41">
        <v>684.17475899999999</v>
      </c>
      <c r="CD20" s="41">
        <v>747</v>
      </c>
      <c r="CE20" s="41">
        <v>62.262653</v>
      </c>
      <c r="CF20" s="41">
        <v>105.461646</v>
      </c>
      <c r="CG20" s="41">
        <v>157</v>
      </c>
      <c r="CH20" s="41">
        <v>214.36919499999999</v>
      </c>
      <c r="CI20" s="41">
        <v>279.45135699999997</v>
      </c>
      <c r="CJ20" s="41">
        <v>331.84195899999997</v>
      </c>
      <c r="CK20" s="41">
        <v>399.01168799999999</v>
      </c>
      <c r="CL20" s="41">
        <v>466.996422</v>
      </c>
      <c r="CM20" s="41">
        <v>522.55335400000001</v>
      </c>
      <c r="CN20" s="41">
        <v>585.38446599999997</v>
      </c>
      <c r="CO20" s="41">
        <v>645.41834700000004</v>
      </c>
      <c r="CP20" s="41">
        <v>716.74793999999997</v>
      </c>
      <c r="CQ20" s="41">
        <v>762.99999800000001</v>
      </c>
      <c r="CR20" s="41">
        <v>762.99999800000001</v>
      </c>
      <c r="CS20" s="41">
        <v>54.973004000000003</v>
      </c>
      <c r="CT20" s="41">
        <v>113.930575</v>
      </c>
      <c r="CU20" s="41">
        <v>158.66804500000001</v>
      </c>
      <c r="CV20" s="41">
        <v>217.32925800000001</v>
      </c>
      <c r="CW20" s="41">
        <v>272.27331900000001</v>
      </c>
      <c r="CX20" s="41">
        <v>329.76832000000002</v>
      </c>
      <c r="CY20" s="41">
        <v>405.04375700000003</v>
      </c>
      <c r="CZ20" s="41">
        <v>469.63753800000001</v>
      </c>
      <c r="DA20" s="41">
        <v>533.20305199999996</v>
      </c>
      <c r="DB20" s="41">
        <v>608.02543400000002</v>
      </c>
      <c r="DC20" s="41">
        <v>674.63879599999996</v>
      </c>
      <c r="DD20" s="41">
        <v>738.68086000000005</v>
      </c>
      <c r="DE20" s="54">
        <v>796.999999</v>
      </c>
      <c r="DF20" s="43">
        <v>556.93470600000001</v>
      </c>
      <c r="DG20" s="43">
        <v>58.210824000000002</v>
      </c>
      <c r="DH20" s="43">
        <v>109.085881</v>
      </c>
      <c r="DI20" s="43">
        <v>165.63914800000001</v>
      </c>
      <c r="DJ20" s="43">
        <v>208.07065800000001</v>
      </c>
      <c r="DK20" s="43">
        <v>239.36454599999999</v>
      </c>
      <c r="DL20" s="43">
        <v>276.74186400000002</v>
      </c>
      <c r="DM20" s="43">
        <v>324.82851299999999</v>
      </c>
      <c r="DN20" s="43">
        <v>364.18731300000002</v>
      </c>
      <c r="DO20" s="43">
        <v>415.549013</v>
      </c>
      <c r="DP20" s="43">
        <v>470.35777100000001</v>
      </c>
      <c r="DQ20" s="43">
        <v>527.13137099999994</v>
      </c>
      <c r="DR20" s="43">
        <v>592.76460799999995</v>
      </c>
      <c r="DS20" s="54">
        <v>682.31542400000001</v>
      </c>
      <c r="DT20" s="54">
        <v>673.64595099999997</v>
      </c>
      <c r="DU20" s="43">
        <v>40.426380000000002</v>
      </c>
      <c r="DV20" s="43">
        <v>86.688794000000001</v>
      </c>
      <c r="DW20" s="43">
        <v>147.21737999999999</v>
      </c>
      <c r="DX20" s="43">
        <v>191.22385499999999</v>
      </c>
      <c r="DY20" s="43">
        <v>238.75959800000001</v>
      </c>
      <c r="DZ20" s="43">
        <v>288.35155800000001</v>
      </c>
      <c r="EA20" s="43">
        <f>+'AI_Mapa Cons. REC_2021'!$O$35/1000000</f>
        <v>341.81161200000003</v>
      </c>
      <c r="EB20" s="43">
        <f>+'AI_Mapa Cons. REC_2021'!$O$35/1000000</f>
        <v>341.81161200000003</v>
      </c>
      <c r="EC20" s="43">
        <f>+'AI_Mapa Cons. REC_2021'!$O$35/1000000</f>
        <v>341.81161200000003</v>
      </c>
      <c r="ED20" s="43">
        <f>+'AI_Mapa Cons. REC_2021'!$O$35/1000000</f>
        <v>341.81161200000003</v>
      </c>
      <c r="EE20" s="43">
        <f>+'AI_Mapa Cons. REC_2021'!$O$35/1000000</f>
        <v>341.81161200000003</v>
      </c>
      <c r="EF20" s="43">
        <f>+'AI_Mapa Cons. REC_2021'!$O$35/1000000</f>
        <v>341.81161200000003</v>
      </c>
      <c r="EG20" s="44">
        <f t="shared" si="3"/>
        <v>50.740542786992869</v>
      </c>
      <c r="EH20" s="44">
        <f t="shared" si="5"/>
        <v>5.2283276622332897</v>
      </c>
      <c r="EI20" s="962">
        <f t="shared" si="4"/>
        <v>16.983099000000038</v>
      </c>
    </row>
    <row r="21" spans="1:148" s="4" customFormat="1" ht="15" customHeight="1">
      <c r="A21" s="31" t="s">
        <v>56</v>
      </c>
      <c r="B21" s="32">
        <v>6227.3252259999999</v>
      </c>
      <c r="C21" s="32">
        <v>466.24417199999999</v>
      </c>
      <c r="D21" s="32">
        <v>986.22722599999997</v>
      </c>
      <c r="E21" s="32">
        <v>1476.4151830000001</v>
      </c>
      <c r="F21" s="32">
        <v>1913.8314459999999</v>
      </c>
      <c r="G21" s="32">
        <v>2372.536994</v>
      </c>
      <c r="H21" s="32">
        <v>2801.3108079999997</v>
      </c>
      <c r="I21" s="32">
        <v>3309.4212939999998</v>
      </c>
      <c r="J21" s="32">
        <v>3816.1500730000002</v>
      </c>
      <c r="K21" s="32">
        <v>4249.3143740000005</v>
      </c>
      <c r="L21" s="32">
        <v>4718.0834839999998</v>
      </c>
      <c r="M21" s="32">
        <v>5211.5403850000002</v>
      </c>
      <c r="N21" s="32">
        <v>5777.7355200000002</v>
      </c>
      <c r="O21" s="32">
        <v>6749</v>
      </c>
      <c r="P21" s="32">
        <v>475.15277099999997</v>
      </c>
      <c r="Q21" s="32">
        <v>859.90841499999999</v>
      </c>
      <c r="R21" s="32">
        <v>1267.0754760000002</v>
      </c>
      <c r="S21" s="32">
        <v>1743.2237439999999</v>
      </c>
      <c r="T21" s="32">
        <v>2210.8673469999999</v>
      </c>
      <c r="U21" s="32">
        <v>2612.8447189999997</v>
      </c>
      <c r="V21" s="32">
        <v>3151.3043090000001</v>
      </c>
      <c r="W21" s="32">
        <v>3640.7119309999998</v>
      </c>
      <c r="X21" s="32">
        <v>4142.0941459999995</v>
      </c>
      <c r="Y21" s="32">
        <v>4717.5462719999996</v>
      </c>
      <c r="Z21" s="32">
        <v>5177.7252120000003</v>
      </c>
      <c r="AA21" s="32">
        <v>5699.7462940000005</v>
      </c>
      <c r="AB21" s="32">
        <v>6129.0000010000003</v>
      </c>
      <c r="AC21" s="32">
        <v>409.81028600000002</v>
      </c>
      <c r="AD21" s="32">
        <v>779.64924999999994</v>
      </c>
      <c r="AE21" s="32">
        <v>1208.358696</v>
      </c>
      <c r="AF21" s="32">
        <v>1636.014021</v>
      </c>
      <c r="AG21" s="32">
        <v>2133.2751619999999</v>
      </c>
      <c r="AH21" s="32">
        <v>2586.6027939999999</v>
      </c>
      <c r="AI21" s="32">
        <v>3061.6436399999998</v>
      </c>
      <c r="AJ21" s="32">
        <v>3494.677248</v>
      </c>
      <c r="AK21" s="32">
        <v>4028.9848110000003</v>
      </c>
      <c r="AL21" s="32">
        <v>4549.6843710000003</v>
      </c>
      <c r="AM21" s="32">
        <v>5064.1734270000006</v>
      </c>
      <c r="AN21" s="32">
        <v>5754.4377620000005</v>
      </c>
      <c r="AO21" s="32">
        <v>6668.7</v>
      </c>
      <c r="AP21" s="32">
        <v>443.89074700000003</v>
      </c>
      <c r="AQ21" s="32">
        <v>834.29587700000002</v>
      </c>
      <c r="AR21" s="32">
        <v>1302.6847789999999</v>
      </c>
      <c r="AS21" s="32">
        <v>1794.316131</v>
      </c>
      <c r="AT21" s="32">
        <v>2304.8212640000002</v>
      </c>
      <c r="AU21" s="32">
        <v>2830.9926689999998</v>
      </c>
      <c r="AV21" s="32">
        <v>3356.3728660000002</v>
      </c>
      <c r="AW21" s="32">
        <v>3814.6575910000001</v>
      </c>
      <c r="AX21" s="32">
        <v>4240.6653809999998</v>
      </c>
      <c r="AY21" s="32">
        <v>4842.0752859999993</v>
      </c>
      <c r="AZ21" s="32">
        <v>5462.4249129999998</v>
      </c>
      <c r="BA21" s="32">
        <v>6081.559354</v>
      </c>
      <c r="BB21" s="32">
        <v>7153.9999989999997</v>
      </c>
      <c r="BC21" s="32">
        <v>6812.6878530000004</v>
      </c>
      <c r="BD21" s="32">
        <v>503.15180899999996</v>
      </c>
      <c r="BE21" s="32">
        <v>1047.7249650000001</v>
      </c>
      <c r="BF21" s="32">
        <v>1562.0044679999999</v>
      </c>
      <c r="BG21" s="32">
        <v>2054.882345</v>
      </c>
      <c r="BH21" s="32">
        <v>2623.5667320000002</v>
      </c>
      <c r="BI21" s="32">
        <v>3187.4121019999998</v>
      </c>
      <c r="BJ21" s="32">
        <v>3750.024602</v>
      </c>
      <c r="BK21" s="32">
        <v>4355.708971</v>
      </c>
      <c r="BL21" s="32">
        <v>4912.0805399999999</v>
      </c>
      <c r="BM21" s="32">
        <v>5486.6027459999996</v>
      </c>
      <c r="BN21" s="32">
        <v>6114.5750619999999</v>
      </c>
      <c r="BO21" s="32">
        <v>6812.6878530000004</v>
      </c>
      <c r="BP21" s="32">
        <v>7637.0979470000002</v>
      </c>
      <c r="BQ21" s="32">
        <v>7356.9999980000002</v>
      </c>
      <c r="BR21" s="32">
        <v>636.62484700000005</v>
      </c>
      <c r="BS21" s="32">
        <v>1126.696733</v>
      </c>
      <c r="BT21" s="32">
        <v>1670.7451979999998</v>
      </c>
      <c r="BU21" s="32">
        <v>2302.9377689999997</v>
      </c>
      <c r="BV21" s="32">
        <v>3001.0945139999999</v>
      </c>
      <c r="BW21" s="32">
        <v>3488.1631630000002</v>
      </c>
      <c r="BX21" s="32">
        <v>4296.2673109999996</v>
      </c>
      <c r="BY21" s="32">
        <v>4931.0228870000001</v>
      </c>
      <c r="BZ21" s="32">
        <v>5175.6618929999995</v>
      </c>
      <c r="CA21" s="32">
        <v>7733.0565860000006</v>
      </c>
      <c r="CB21" s="32">
        <v>6478.7312339999999</v>
      </c>
      <c r="CC21" s="32">
        <v>7223.6277090000003</v>
      </c>
      <c r="CD21" s="32">
        <v>8268.5599980000006</v>
      </c>
      <c r="CE21" s="32">
        <v>636.62484700000005</v>
      </c>
      <c r="CF21" s="32">
        <v>1126.696733</v>
      </c>
      <c r="CG21" s="32">
        <v>1685.8424460000001</v>
      </c>
      <c r="CH21" s="32">
        <v>2302.9377689999997</v>
      </c>
      <c r="CI21" s="32">
        <v>3001.0945139999999</v>
      </c>
      <c r="CJ21" s="32">
        <v>3562.3057549999999</v>
      </c>
      <c r="CK21" s="32">
        <v>4296.2673109999996</v>
      </c>
      <c r="CL21" s="32">
        <v>4931.0228870000001</v>
      </c>
      <c r="CM21" s="32">
        <v>5571.1341590000002</v>
      </c>
      <c r="CN21" s="32">
        <v>6238.1600239999998</v>
      </c>
      <c r="CO21" s="32">
        <v>6921.3647860000001</v>
      </c>
      <c r="CP21" s="32">
        <v>7733.0565860000006</v>
      </c>
      <c r="CQ21" s="32">
        <v>8471.999996999999</v>
      </c>
      <c r="CR21" s="32">
        <v>8290.5152989999988</v>
      </c>
      <c r="CS21" s="32">
        <v>611.25849499999993</v>
      </c>
      <c r="CT21" s="32">
        <v>1204.092952</v>
      </c>
      <c r="CU21" s="32">
        <v>1735.124834</v>
      </c>
      <c r="CV21" s="32">
        <v>2373.6753020000001</v>
      </c>
      <c r="CW21" s="32">
        <v>3022.8836249999999</v>
      </c>
      <c r="CX21" s="32">
        <v>3663.3072790000001</v>
      </c>
      <c r="CY21" s="32">
        <v>4367.9068150000003</v>
      </c>
      <c r="CZ21" s="32">
        <v>5034.9100529999996</v>
      </c>
      <c r="DA21" s="32">
        <v>5654.8808159999999</v>
      </c>
      <c r="DB21" s="32">
        <v>6516.2762119999998</v>
      </c>
      <c r="DC21" s="32">
        <v>7219.5997040000002</v>
      </c>
      <c r="DD21" s="32">
        <v>8011.018118</v>
      </c>
      <c r="DE21" s="34">
        <v>8971.9999989999997</v>
      </c>
      <c r="DF21" s="34">
        <v>6239.5663770000001</v>
      </c>
      <c r="DG21" s="34">
        <v>596.53036099999997</v>
      </c>
      <c r="DH21" s="34">
        <v>1163.038675</v>
      </c>
      <c r="DI21" s="34">
        <v>1863.6241729999999</v>
      </c>
      <c r="DJ21" s="34">
        <v>2352.6937419999999</v>
      </c>
      <c r="DK21" s="34">
        <v>2782.9731000000002</v>
      </c>
      <c r="DL21" s="34">
        <v>3236.2391680000001</v>
      </c>
      <c r="DM21" s="34">
        <v>3776.6274130000002</v>
      </c>
      <c r="DN21" s="34">
        <v>4212.2822879999994</v>
      </c>
      <c r="DO21" s="34">
        <v>4758.4216310000002</v>
      </c>
      <c r="DP21" s="34">
        <v>5281.6152700000002</v>
      </c>
      <c r="DQ21" s="34">
        <v>5874.1979220000003</v>
      </c>
      <c r="DR21" s="34">
        <v>6593.0936259999999</v>
      </c>
      <c r="DS21" s="34">
        <f>+DS22+DS23</f>
        <v>8852.545861999999</v>
      </c>
      <c r="DT21" s="34">
        <f t="shared" ref="DT21" si="10">+DT22+DT23</f>
        <v>7471.0000009999994</v>
      </c>
      <c r="DU21" s="34">
        <v>539.37163999999996</v>
      </c>
      <c r="DV21" s="34">
        <v>1054.6796549999999</v>
      </c>
      <c r="DW21" s="34">
        <v>1674.617986</v>
      </c>
      <c r="DX21" s="34">
        <v>2199.729069</v>
      </c>
      <c r="DY21" s="34">
        <v>2760.4400070000002</v>
      </c>
      <c r="DZ21" s="34">
        <v>3374.0977400000002</v>
      </c>
      <c r="EA21" s="34">
        <f t="shared" ref="EA21:EF21" si="11">+EA22+EA23</f>
        <v>4099.9899990000004</v>
      </c>
      <c r="EB21" s="34">
        <f t="shared" si="11"/>
        <v>0</v>
      </c>
      <c r="EC21" s="34">
        <f t="shared" si="11"/>
        <v>0</v>
      </c>
      <c r="ED21" s="34">
        <f t="shared" si="11"/>
        <v>0</v>
      </c>
      <c r="EE21" s="34">
        <f t="shared" si="11"/>
        <v>3920.7480930000002</v>
      </c>
      <c r="EF21" s="34">
        <f t="shared" si="11"/>
        <v>3920.7480930000002</v>
      </c>
      <c r="EG21" s="35">
        <f t="shared" si="3"/>
        <v>54.878731072831123</v>
      </c>
      <c r="EH21" s="35">
        <f t="shared" si="5"/>
        <v>8.562205127434952</v>
      </c>
      <c r="EI21" s="962">
        <f t="shared" si="4"/>
        <v>323.36258600000019</v>
      </c>
    </row>
    <row r="22" spans="1:148" ht="15" customHeight="1">
      <c r="A22" s="40" t="s">
        <v>57</v>
      </c>
      <c r="B22" s="41">
        <v>5927.3252259999999</v>
      </c>
      <c r="C22" s="41">
        <v>445.411202</v>
      </c>
      <c r="D22" s="41">
        <v>944.396657</v>
      </c>
      <c r="E22" s="41">
        <v>1410.4131500000001</v>
      </c>
      <c r="F22" s="41">
        <v>1827.91292</v>
      </c>
      <c r="G22" s="41">
        <v>2260.1026360000001</v>
      </c>
      <c r="H22" s="41">
        <v>2671.7540349999999</v>
      </c>
      <c r="I22" s="41">
        <v>3158.9779819999999</v>
      </c>
      <c r="J22" s="41">
        <v>3643.3686290000001</v>
      </c>
      <c r="K22" s="41">
        <v>4055.3273730000001</v>
      </c>
      <c r="L22" s="41">
        <v>4502.2326849999999</v>
      </c>
      <c r="M22" s="41">
        <v>4973.421918</v>
      </c>
      <c r="N22" s="41">
        <v>5515.6452049999998</v>
      </c>
      <c r="O22" s="41">
        <v>6424</v>
      </c>
      <c r="P22" s="41">
        <v>454.83567499999998</v>
      </c>
      <c r="Q22" s="41">
        <v>819.35028699999998</v>
      </c>
      <c r="R22" s="41">
        <v>1209.1464820000001</v>
      </c>
      <c r="S22" s="41">
        <v>1663.8416279999999</v>
      </c>
      <c r="T22" s="41">
        <v>2109.7992599999998</v>
      </c>
      <c r="U22" s="41">
        <v>2487.9904139999999</v>
      </c>
      <c r="V22" s="41">
        <v>3000.5761889999999</v>
      </c>
      <c r="W22" s="41">
        <v>3468.9332199999999</v>
      </c>
      <c r="X22" s="41">
        <v>3950.7182109999999</v>
      </c>
      <c r="Y22" s="41">
        <v>4495.8055969999996</v>
      </c>
      <c r="Z22" s="41">
        <v>4932.9995980000003</v>
      </c>
      <c r="AA22" s="41">
        <v>5434.1718570000003</v>
      </c>
      <c r="AB22" s="41">
        <v>5862</v>
      </c>
      <c r="AC22" s="41">
        <v>390.947587</v>
      </c>
      <c r="AD22" s="41">
        <v>742.68562799999995</v>
      </c>
      <c r="AE22" s="41">
        <v>1151.125256</v>
      </c>
      <c r="AF22" s="41">
        <v>1560.5002919999999</v>
      </c>
      <c r="AG22" s="41">
        <v>2036.5738679999999</v>
      </c>
      <c r="AH22" s="41">
        <v>2469.3485409999998</v>
      </c>
      <c r="AI22" s="41">
        <v>2923.8098709999999</v>
      </c>
      <c r="AJ22" s="41">
        <v>3338.8123970000001</v>
      </c>
      <c r="AK22" s="41">
        <v>3847.8717660000002</v>
      </c>
      <c r="AL22" s="41">
        <v>4343.8695660000003</v>
      </c>
      <c r="AM22" s="41">
        <v>4835.2004420000003</v>
      </c>
      <c r="AN22" s="41">
        <v>5496.7290160000002</v>
      </c>
      <c r="AO22" s="41">
        <v>6351.2</v>
      </c>
      <c r="AP22" s="41">
        <v>426.30492600000002</v>
      </c>
      <c r="AQ22" s="41">
        <v>796.12931900000001</v>
      </c>
      <c r="AR22" s="41">
        <v>1244.9686859999999</v>
      </c>
      <c r="AS22" s="41">
        <v>1714.380983</v>
      </c>
      <c r="AT22" s="41">
        <v>2204</v>
      </c>
      <c r="AU22" s="41">
        <v>2707.3189769999999</v>
      </c>
      <c r="AV22" s="41">
        <v>3211.882513</v>
      </c>
      <c r="AW22" s="41">
        <v>3650.296018</v>
      </c>
      <c r="AX22" s="41">
        <v>4060.5394759999999</v>
      </c>
      <c r="AY22" s="41">
        <v>4635.8255259999996</v>
      </c>
      <c r="AZ22" s="41">
        <v>5231.203458</v>
      </c>
      <c r="BA22" s="41">
        <v>5827.4772139999995</v>
      </c>
      <c r="BB22" s="41">
        <v>6899</v>
      </c>
      <c r="BC22" s="41">
        <v>6522.960341</v>
      </c>
      <c r="BD22" s="41">
        <v>484.15769699999998</v>
      </c>
      <c r="BE22" s="41">
        <v>1003.490615</v>
      </c>
      <c r="BF22" s="41">
        <v>1497.37718</v>
      </c>
      <c r="BG22" s="41">
        <v>1970.6082719999999</v>
      </c>
      <c r="BH22" s="41">
        <v>2516.700327</v>
      </c>
      <c r="BI22" s="41">
        <v>3056.9604589999999</v>
      </c>
      <c r="BJ22" s="41">
        <v>3595.9832780000002</v>
      </c>
      <c r="BK22" s="41">
        <v>4173.8298489999997</v>
      </c>
      <c r="BL22" s="41">
        <v>4702.9457780000002</v>
      </c>
      <c r="BM22" s="41">
        <v>5249.2767899999999</v>
      </c>
      <c r="BN22" s="41">
        <v>5852.2866739999999</v>
      </c>
      <c r="BO22" s="41">
        <v>6522.960341</v>
      </c>
      <c r="BP22" s="41">
        <v>7380.097949</v>
      </c>
      <c r="BQ22" s="41">
        <v>7100</v>
      </c>
      <c r="BR22" s="41">
        <v>611.42835700000001</v>
      </c>
      <c r="BS22" s="41">
        <v>1080.8942669999999</v>
      </c>
      <c r="BT22" s="41">
        <v>1584.5624789999999</v>
      </c>
      <c r="BU22" s="41">
        <v>2206.4482819999998</v>
      </c>
      <c r="BV22" s="41">
        <v>2874.8245879999999</v>
      </c>
      <c r="BW22" s="41">
        <v>3326.4697270000001</v>
      </c>
      <c r="BX22" s="41">
        <v>4113.8411059999999</v>
      </c>
      <c r="BY22" s="41">
        <v>4719.5900670000001</v>
      </c>
      <c r="BZ22" s="41">
        <v>4942.0421329999999</v>
      </c>
      <c r="CA22" s="41">
        <v>7409.4580130000004</v>
      </c>
      <c r="CB22" s="41">
        <v>6192.3697259999999</v>
      </c>
      <c r="CC22" s="41">
        <v>6906.4592130000001</v>
      </c>
      <c r="CD22" s="41">
        <v>7973.0000010000003</v>
      </c>
      <c r="CE22" s="41">
        <v>611.42835700000001</v>
      </c>
      <c r="CF22" s="41">
        <v>1080.8942669999999</v>
      </c>
      <c r="CG22" s="41">
        <v>1615.39013</v>
      </c>
      <c r="CH22" s="41">
        <v>2206.4482819999998</v>
      </c>
      <c r="CI22" s="41">
        <v>2874.8245879999999</v>
      </c>
      <c r="CJ22" s="41">
        <v>3411.239521</v>
      </c>
      <c r="CK22" s="41">
        <v>4113.8411059999999</v>
      </c>
      <c r="CL22" s="41">
        <v>4719.5900670000001</v>
      </c>
      <c r="CM22" s="41">
        <v>5332.4579460000004</v>
      </c>
      <c r="CN22" s="41">
        <v>5971.2185410000002</v>
      </c>
      <c r="CO22" s="41">
        <v>6627.3501539999997</v>
      </c>
      <c r="CP22" s="41">
        <v>7409.4580130000004</v>
      </c>
      <c r="CQ22" s="41">
        <v>8096.9999989999997</v>
      </c>
      <c r="CR22" s="41">
        <v>7946.9999989999997</v>
      </c>
      <c r="CS22" s="41">
        <v>584.60672899999997</v>
      </c>
      <c r="CT22" s="41">
        <v>1151.519812</v>
      </c>
      <c r="CU22" s="41">
        <v>1657.788683</v>
      </c>
      <c r="CV22" s="41">
        <v>2270.0267690000001</v>
      </c>
      <c r="CW22" s="41">
        <v>2889.3070539999999</v>
      </c>
      <c r="CX22" s="41">
        <v>3501.8155280000001</v>
      </c>
      <c r="CY22" s="41">
        <v>4177.0696360000002</v>
      </c>
      <c r="CZ22" s="41">
        <v>4815.1949839999997</v>
      </c>
      <c r="DA22" s="41">
        <v>5407.5191269999996</v>
      </c>
      <c r="DB22" s="41">
        <v>6236.3306069999999</v>
      </c>
      <c r="DC22" s="41">
        <v>6912.585701</v>
      </c>
      <c r="DD22" s="41">
        <v>7671.723062</v>
      </c>
      <c r="DE22" s="43">
        <v>8610.9999979999993</v>
      </c>
      <c r="DF22" s="43">
        <v>5966.1631319999997</v>
      </c>
      <c r="DG22" s="43">
        <v>569.78795100000002</v>
      </c>
      <c r="DH22" s="43">
        <v>1113.3033049999999</v>
      </c>
      <c r="DI22" s="43">
        <v>1783.5655529999999</v>
      </c>
      <c r="DJ22" s="43">
        <v>2251.1379320000001</v>
      </c>
      <c r="DK22" s="43">
        <v>2661.5869510000002</v>
      </c>
      <c r="DL22" s="43">
        <v>3091.1467539999999</v>
      </c>
      <c r="DM22" s="43">
        <v>3606.1330440000002</v>
      </c>
      <c r="DN22" s="43">
        <v>4020.1456629999998</v>
      </c>
      <c r="DO22" s="43">
        <v>4540.2832189999999</v>
      </c>
      <c r="DP22" s="43">
        <v>5039.1026650000003</v>
      </c>
      <c r="DQ22" s="43">
        <v>5605.3871760000002</v>
      </c>
      <c r="DR22" s="43">
        <v>6296.0488930000001</v>
      </c>
      <c r="DS22" s="43">
        <v>8543.7341529999994</v>
      </c>
      <c r="DT22" s="43">
        <v>7153.5845799999997</v>
      </c>
      <c r="DU22" s="43">
        <v>516.64607799999999</v>
      </c>
      <c r="DV22" s="43">
        <v>1009.512297</v>
      </c>
      <c r="DW22" s="43">
        <v>1602.618457</v>
      </c>
      <c r="DX22" s="43">
        <v>2104.055891</v>
      </c>
      <c r="DY22" s="43">
        <v>2637.5705849999999</v>
      </c>
      <c r="DZ22" s="43">
        <v>3225.6848660000001</v>
      </c>
      <c r="EA22" s="43">
        <f>+'AI_Mapa Cons. REC_2021'!$O$38/1000000</f>
        <v>3920.7480930000002</v>
      </c>
      <c r="EB22" s="43"/>
      <c r="EC22" s="43"/>
      <c r="ED22" s="43"/>
      <c r="EE22" s="43">
        <f>+'AI_Mapa Cons. REC_2021'!$O$38/1000000</f>
        <v>3920.7480930000002</v>
      </c>
      <c r="EF22" s="43">
        <f>+'AI_Mapa Cons. REC_2021'!$O$38/1000000</f>
        <v>3920.7480930000002</v>
      </c>
      <c r="EG22" s="44">
        <f t="shared" si="3"/>
        <v>54.808160148992044</v>
      </c>
      <c r="EH22" s="44">
        <f t="shared" si="5"/>
        <v>8.7244437507225889</v>
      </c>
      <c r="EI22" s="962">
        <f t="shared" si="4"/>
        <v>314.615049</v>
      </c>
    </row>
    <row r="23" spans="1:148" ht="15" customHeight="1">
      <c r="A23" s="40" t="s">
        <v>58</v>
      </c>
      <c r="B23" s="41">
        <v>300</v>
      </c>
      <c r="C23" s="41">
        <v>20.83297</v>
      </c>
      <c r="D23" s="41">
        <v>41.830568999999997</v>
      </c>
      <c r="E23" s="41">
        <v>66.002032999999997</v>
      </c>
      <c r="F23" s="41">
        <v>85.918526</v>
      </c>
      <c r="G23" s="41">
        <v>112.434358</v>
      </c>
      <c r="H23" s="41">
        <v>129.55677299999999</v>
      </c>
      <c r="I23" s="41">
        <v>150.44331199999999</v>
      </c>
      <c r="J23" s="41">
        <v>172.78144399999999</v>
      </c>
      <c r="K23" s="41">
        <v>193.98700099999999</v>
      </c>
      <c r="L23" s="41">
        <v>215.85079899999999</v>
      </c>
      <c r="M23" s="41">
        <v>238.11846700000001</v>
      </c>
      <c r="N23" s="41">
        <v>262.09031499999998</v>
      </c>
      <c r="O23" s="41">
        <v>325</v>
      </c>
      <c r="P23" s="41">
        <v>20.317095999999999</v>
      </c>
      <c r="Q23" s="41">
        <v>40.558128000000004</v>
      </c>
      <c r="R23" s="41">
        <v>57.928994000000003</v>
      </c>
      <c r="S23" s="41">
        <v>79.382115999999996</v>
      </c>
      <c r="T23" s="41">
        <v>101.06808700000001</v>
      </c>
      <c r="U23" s="41">
        <v>124.854305</v>
      </c>
      <c r="V23" s="41">
        <v>150.72811999999999</v>
      </c>
      <c r="W23" s="41">
        <v>171.77871099999999</v>
      </c>
      <c r="X23" s="41">
        <v>191.375935</v>
      </c>
      <c r="Y23" s="41">
        <v>221.74067500000001</v>
      </c>
      <c r="Z23" s="41">
        <v>244.72561400000001</v>
      </c>
      <c r="AA23" s="41">
        <v>265.57443699999999</v>
      </c>
      <c r="AB23" s="41">
        <v>267.000001</v>
      </c>
      <c r="AC23" s="41">
        <v>18.862698999999999</v>
      </c>
      <c r="AD23" s="41">
        <v>36.963622000000001</v>
      </c>
      <c r="AE23" s="41">
        <v>57.233440000000002</v>
      </c>
      <c r="AF23" s="41">
        <v>75.513728999999998</v>
      </c>
      <c r="AG23" s="41">
        <v>96.701294000000004</v>
      </c>
      <c r="AH23" s="41">
        <v>117.25425300000001</v>
      </c>
      <c r="AI23" s="41">
        <v>137.83376899999999</v>
      </c>
      <c r="AJ23" s="41">
        <v>155.86485099999999</v>
      </c>
      <c r="AK23" s="41">
        <v>181.113045</v>
      </c>
      <c r="AL23" s="41">
        <v>205.81480500000001</v>
      </c>
      <c r="AM23" s="41">
        <v>228.97298499999999</v>
      </c>
      <c r="AN23" s="41">
        <v>257.70874600000002</v>
      </c>
      <c r="AO23" s="41">
        <v>317.5</v>
      </c>
      <c r="AP23" s="41">
        <v>17.585820999999999</v>
      </c>
      <c r="AQ23" s="41">
        <v>38.166558000000002</v>
      </c>
      <c r="AR23" s="41">
        <v>57.716093000000001</v>
      </c>
      <c r="AS23" s="41">
        <v>79.935147999999998</v>
      </c>
      <c r="AT23" s="41">
        <v>100.821264</v>
      </c>
      <c r="AU23" s="41">
        <v>123.673692</v>
      </c>
      <c r="AV23" s="41">
        <v>144.490353</v>
      </c>
      <c r="AW23" s="41">
        <v>164.36157299999999</v>
      </c>
      <c r="AX23" s="41">
        <v>180.12590499999999</v>
      </c>
      <c r="AY23" s="41">
        <v>206.24976000000001</v>
      </c>
      <c r="AZ23" s="41">
        <v>231.22145499999999</v>
      </c>
      <c r="BA23" s="41">
        <v>254.08214000000001</v>
      </c>
      <c r="BB23" s="41">
        <v>254.999999</v>
      </c>
      <c r="BC23" s="41">
        <v>289.72751199999999</v>
      </c>
      <c r="BD23" s="41">
        <v>18.994112000000001</v>
      </c>
      <c r="BE23" s="41">
        <v>44.234349999999999</v>
      </c>
      <c r="BF23" s="41">
        <v>64.627287999999993</v>
      </c>
      <c r="BG23" s="41">
        <v>84.274073000000001</v>
      </c>
      <c r="BH23" s="41">
        <v>106.866405</v>
      </c>
      <c r="BI23" s="41">
        <v>130.45164299999999</v>
      </c>
      <c r="BJ23" s="41">
        <v>154.041324</v>
      </c>
      <c r="BK23" s="41">
        <v>181.879122</v>
      </c>
      <c r="BL23" s="41">
        <v>209.13476199999999</v>
      </c>
      <c r="BM23" s="41">
        <v>237.32595599999999</v>
      </c>
      <c r="BN23" s="41">
        <v>262.288388</v>
      </c>
      <c r="BO23" s="41">
        <v>289.72751199999999</v>
      </c>
      <c r="BP23" s="41">
        <v>256.99999800000001</v>
      </c>
      <c r="BQ23" s="41">
        <v>256.99999800000001</v>
      </c>
      <c r="BR23" s="41">
        <v>25.196490000000001</v>
      </c>
      <c r="BS23" s="41">
        <v>45.802466000000003</v>
      </c>
      <c r="BT23" s="41">
        <v>86.182719000000006</v>
      </c>
      <c r="BU23" s="41">
        <v>96.489486999999997</v>
      </c>
      <c r="BV23" s="41">
        <v>126.269926</v>
      </c>
      <c r="BW23" s="41">
        <v>161.69343599999999</v>
      </c>
      <c r="BX23" s="41">
        <v>182.42620500000001</v>
      </c>
      <c r="BY23" s="41">
        <v>211.43281999999999</v>
      </c>
      <c r="BZ23" s="41">
        <v>233.61976000000001</v>
      </c>
      <c r="CA23" s="41">
        <v>323.59857299999999</v>
      </c>
      <c r="CB23" s="41">
        <v>286.36150800000001</v>
      </c>
      <c r="CC23" s="41">
        <v>317.168496</v>
      </c>
      <c r="CD23" s="41">
        <v>295.55999700000001</v>
      </c>
      <c r="CE23" s="41">
        <v>25.196490000000001</v>
      </c>
      <c r="CF23" s="41">
        <v>45.802466000000003</v>
      </c>
      <c r="CG23" s="41">
        <v>70.452315999999996</v>
      </c>
      <c r="CH23" s="41">
        <v>96.489486999999997</v>
      </c>
      <c r="CI23" s="41">
        <v>126.269926</v>
      </c>
      <c r="CJ23" s="41">
        <v>151.06623400000001</v>
      </c>
      <c r="CK23" s="41">
        <v>182.42620500000001</v>
      </c>
      <c r="CL23" s="41">
        <v>211.43281999999999</v>
      </c>
      <c r="CM23" s="41">
        <v>238.67621299999999</v>
      </c>
      <c r="CN23" s="41">
        <v>266.94148300000001</v>
      </c>
      <c r="CO23" s="41">
        <v>294.01463200000001</v>
      </c>
      <c r="CP23" s="41">
        <v>323.59857299999999</v>
      </c>
      <c r="CQ23" s="41">
        <v>374.99999800000001</v>
      </c>
      <c r="CR23" s="41">
        <v>343.51530000000002</v>
      </c>
      <c r="CS23" s="41">
        <v>26.651765999999999</v>
      </c>
      <c r="CT23" s="41">
        <v>52.573140000000002</v>
      </c>
      <c r="CU23" s="41">
        <v>77.336151000000001</v>
      </c>
      <c r="CV23" s="41">
        <v>103.648533</v>
      </c>
      <c r="CW23" s="41">
        <v>133.576571</v>
      </c>
      <c r="CX23" s="41">
        <v>161.49175099999999</v>
      </c>
      <c r="CY23" s="41">
        <v>190.83717899999999</v>
      </c>
      <c r="CZ23" s="41">
        <v>219.715069</v>
      </c>
      <c r="DA23" s="41">
        <v>247.36168900000001</v>
      </c>
      <c r="DB23" s="41">
        <v>279.945605</v>
      </c>
      <c r="DC23" s="41">
        <v>307.014003</v>
      </c>
      <c r="DD23" s="41">
        <v>339.29505599999999</v>
      </c>
      <c r="DE23" s="43">
        <v>361.000001</v>
      </c>
      <c r="DF23" s="43">
        <v>273.40324500000003</v>
      </c>
      <c r="DG23" s="43">
        <v>26.74241</v>
      </c>
      <c r="DH23" s="43">
        <v>49.735370000000003</v>
      </c>
      <c r="DI23" s="43">
        <v>80.058620000000005</v>
      </c>
      <c r="DJ23" s="43">
        <v>101.55580999999999</v>
      </c>
      <c r="DK23" s="43">
        <v>121.386149</v>
      </c>
      <c r="DL23" s="43">
        <v>145.09241399999999</v>
      </c>
      <c r="DM23" s="43">
        <v>170.49436900000001</v>
      </c>
      <c r="DN23" s="43">
        <v>192.13662500000001</v>
      </c>
      <c r="DO23" s="43">
        <v>218.13841199999999</v>
      </c>
      <c r="DP23" s="43">
        <v>242.51260500000001</v>
      </c>
      <c r="DQ23" s="43">
        <v>268.81074599999999</v>
      </c>
      <c r="DR23" s="43">
        <v>297.04473300000001</v>
      </c>
      <c r="DS23" s="43">
        <v>308.81170900000001</v>
      </c>
      <c r="DT23" s="43">
        <v>317.41542099999998</v>
      </c>
      <c r="DU23" s="43">
        <v>22.725562</v>
      </c>
      <c r="DV23" s="43">
        <v>45.167358</v>
      </c>
      <c r="DW23" s="43">
        <v>71.999528999999995</v>
      </c>
      <c r="DX23" s="43">
        <v>95.673177999999993</v>
      </c>
      <c r="DY23" s="43">
        <v>122.869422</v>
      </c>
      <c r="DZ23" s="43">
        <v>148.41287399999999</v>
      </c>
      <c r="EA23" s="43">
        <f>+'AI_Mapa Cons. REC_2021'!$O$39/1000000</f>
        <v>179.241906</v>
      </c>
      <c r="EB23" s="43">
        <f>+'AI_Mapa Cons. REC_2021'!T39/1000000</f>
        <v>0</v>
      </c>
      <c r="EC23" s="43">
        <f>+'AI_Mapa Cons. REC_2021'!U39/1000000</f>
        <v>0</v>
      </c>
      <c r="ED23" s="43">
        <f>+'AI_Mapa Cons. REC_2021'!V39/1000000</f>
        <v>0</v>
      </c>
      <c r="EE23" s="43">
        <f>+'AI_Mapa Cons. REC_2021'!W39/1000000</f>
        <v>0</v>
      </c>
      <c r="EF23" s="43">
        <f>+'AI_Mapa Cons. REC_2021'!X39/1000000</f>
        <v>0</v>
      </c>
      <c r="EG23" s="44">
        <f t="shared" si="3"/>
        <v>56.469186479758335</v>
      </c>
      <c r="EH23" s="44">
        <f t="shared" si="5"/>
        <v>5.1306896827777226</v>
      </c>
      <c r="EI23" s="962">
        <f t="shared" si="4"/>
        <v>8.7475369999999941</v>
      </c>
    </row>
    <row r="24" spans="1:148" ht="15" customHeight="1">
      <c r="A24" s="31" t="s">
        <v>59</v>
      </c>
      <c r="B24" s="41">
        <v>1046.4343329999999</v>
      </c>
      <c r="C24" s="41">
        <v>61.384765999999999</v>
      </c>
      <c r="D24" s="41">
        <v>104.69523</v>
      </c>
      <c r="E24" s="41">
        <v>170.28390200000001</v>
      </c>
      <c r="F24" s="41">
        <v>239.46081100000001</v>
      </c>
      <c r="G24" s="41">
        <v>303.94062500000001</v>
      </c>
      <c r="H24" s="41">
        <v>363.71309100000002</v>
      </c>
      <c r="I24" s="41">
        <v>432.25949200000002</v>
      </c>
      <c r="J24" s="41">
        <v>490.31297000000001</v>
      </c>
      <c r="K24" s="41">
        <v>524.22682099999997</v>
      </c>
      <c r="L24" s="41">
        <v>571.13977799999998</v>
      </c>
      <c r="M24" s="41">
        <v>611.74654899999996</v>
      </c>
      <c r="N24" s="41">
        <v>667.63121899999999</v>
      </c>
      <c r="O24" s="41">
        <v>1042.0410380000001</v>
      </c>
      <c r="P24" s="41">
        <v>56.166398999999998</v>
      </c>
      <c r="Q24" s="41">
        <v>111.650862</v>
      </c>
      <c r="R24" s="41">
        <v>163.249134</v>
      </c>
      <c r="S24" s="41">
        <v>216.52780100000001</v>
      </c>
      <c r="T24" s="41">
        <v>269.21088099999997</v>
      </c>
      <c r="U24" s="41">
        <v>309</v>
      </c>
      <c r="V24" s="41">
        <v>395.87620299999998</v>
      </c>
      <c r="W24" s="41">
        <v>459.58658600000001</v>
      </c>
      <c r="X24" s="41">
        <v>506.86763500000001</v>
      </c>
      <c r="Y24" s="41">
        <v>555.95841700000005</v>
      </c>
      <c r="Z24" s="41">
        <v>617.36234200000001</v>
      </c>
      <c r="AA24" s="41">
        <v>667.98580700000002</v>
      </c>
      <c r="AB24" s="41">
        <v>832.31510500000002</v>
      </c>
      <c r="AC24" s="41">
        <v>77.841824000000003</v>
      </c>
      <c r="AD24" s="41">
        <v>131.684234</v>
      </c>
      <c r="AE24" s="41">
        <v>190.34549899999999</v>
      </c>
      <c r="AF24" s="41">
        <v>244.22948500000001</v>
      </c>
      <c r="AG24" s="41">
        <v>295.649677</v>
      </c>
      <c r="AH24" s="41">
        <v>343.12124599999999</v>
      </c>
      <c r="AI24" s="41">
        <v>403.45</v>
      </c>
      <c r="AJ24" s="41">
        <v>452.84827799999999</v>
      </c>
      <c r="AK24" s="41">
        <v>500.02757100000002</v>
      </c>
      <c r="AL24" s="41">
        <v>545.72359400000005</v>
      </c>
      <c r="AM24" s="41">
        <v>609.90253099999995</v>
      </c>
      <c r="AN24" s="41">
        <v>688.403233</v>
      </c>
      <c r="AO24" s="41">
        <v>875.60570000000007</v>
      </c>
      <c r="AP24" s="41">
        <v>69</v>
      </c>
      <c r="AQ24" s="41">
        <v>117</v>
      </c>
      <c r="AR24" s="41">
        <v>173.92954900000001</v>
      </c>
      <c r="AS24" s="41">
        <v>201.41728000000001</v>
      </c>
      <c r="AT24" s="41">
        <v>256</v>
      </c>
      <c r="AU24" s="41">
        <v>520.32815400000004</v>
      </c>
      <c r="AV24" s="41">
        <v>358.49073199999998</v>
      </c>
      <c r="AW24" s="41">
        <v>388</v>
      </c>
      <c r="AX24" s="41">
        <v>420.87883499999998</v>
      </c>
      <c r="AY24" s="41">
        <v>452.07503199999996</v>
      </c>
      <c r="AZ24" s="41">
        <v>510.612776</v>
      </c>
      <c r="BA24" s="41">
        <v>718.61548400000004</v>
      </c>
      <c r="BB24" s="41">
        <v>824.184214</v>
      </c>
      <c r="BC24" s="41">
        <v>472.13866100000001</v>
      </c>
      <c r="BD24" s="41">
        <v>42.671140000000001</v>
      </c>
      <c r="BE24" s="41">
        <v>83.263867000000005</v>
      </c>
      <c r="BF24" s="41">
        <v>113.457076</v>
      </c>
      <c r="BG24" s="41">
        <v>140.13431</v>
      </c>
      <c r="BH24" s="41">
        <v>182.7</v>
      </c>
      <c r="BI24" s="41">
        <v>281.63760300000001</v>
      </c>
      <c r="BJ24" s="41">
        <v>276.258692</v>
      </c>
      <c r="BK24" s="41">
        <v>314.80787400000003</v>
      </c>
      <c r="BL24" s="41">
        <v>355.13093199999997</v>
      </c>
      <c r="BM24" s="41">
        <v>396.87074699999999</v>
      </c>
      <c r="BN24" s="41">
        <v>429.19259499999998</v>
      </c>
      <c r="BO24" s="41">
        <v>472.13866100000001</v>
      </c>
      <c r="BP24" s="41">
        <v>705.08756600000004</v>
      </c>
      <c r="BQ24" s="41">
        <v>610</v>
      </c>
      <c r="BR24" s="41">
        <v>52.495358000000003</v>
      </c>
      <c r="BS24" s="41">
        <v>110.30614799999999</v>
      </c>
      <c r="BT24" s="41">
        <v>136.26116000000002</v>
      </c>
      <c r="BU24" s="41">
        <v>255.07414900000001</v>
      </c>
      <c r="BV24" s="41">
        <v>311.36072899999999</v>
      </c>
      <c r="BW24" s="41">
        <v>241.24151999999998</v>
      </c>
      <c r="BX24" s="41">
        <v>431.20541600000001</v>
      </c>
      <c r="BY24" s="41">
        <v>365.17983400000003</v>
      </c>
      <c r="BZ24" s="41">
        <v>404.25224800000001</v>
      </c>
      <c r="CA24" s="41">
        <v>783.852036</v>
      </c>
      <c r="CB24" s="41">
        <v>470.92334900000003</v>
      </c>
      <c r="CC24" s="41">
        <v>540.99807599999997</v>
      </c>
      <c r="CD24" s="41">
        <v>651.43633</v>
      </c>
      <c r="CE24" s="41">
        <v>50.007748999999997</v>
      </c>
      <c r="CF24" s="41">
        <v>110.291353</v>
      </c>
      <c r="CG24" s="41">
        <v>195.604141</v>
      </c>
      <c r="CH24" s="41">
        <v>253.74465499999999</v>
      </c>
      <c r="CI24" s="41">
        <v>310.033028</v>
      </c>
      <c r="CJ24" s="41">
        <v>366.54377299999999</v>
      </c>
      <c r="CK24" s="41">
        <v>431.19667499999997</v>
      </c>
      <c r="CL24" s="41">
        <v>500.07983400000001</v>
      </c>
      <c r="CM24" s="41">
        <v>551.56688699999995</v>
      </c>
      <c r="CN24" s="41">
        <v>612.97787099999994</v>
      </c>
      <c r="CO24" s="41">
        <v>655.73059599999999</v>
      </c>
      <c r="CP24" s="41">
        <v>781.89968899999997</v>
      </c>
      <c r="CQ24" s="41">
        <v>770.22366599999998</v>
      </c>
      <c r="CR24" s="41">
        <v>829.81101309999997</v>
      </c>
      <c r="CS24" s="41">
        <v>88.195935000000006</v>
      </c>
      <c r="CT24" s="41">
        <v>126.76168199999999</v>
      </c>
      <c r="CU24" s="41">
        <v>183.048655</v>
      </c>
      <c r="CV24" s="41">
        <v>231.75288699999999</v>
      </c>
      <c r="CW24" s="41">
        <v>282.17974199999998</v>
      </c>
      <c r="CX24" s="41">
        <v>363.89679500000005</v>
      </c>
      <c r="CY24" s="41">
        <v>420.31036899999998</v>
      </c>
      <c r="CZ24" s="41">
        <v>480.416312</v>
      </c>
      <c r="DA24" s="41">
        <v>521.64517599999999</v>
      </c>
      <c r="DB24" s="41">
        <v>600.29006600000002</v>
      </c>
      <c r="DC24" s="41">
        <v>663.84385599999996</v>
      </c>
      <c r="DD24" s="41">
        <v>671.85881600000005</v>
      </c>
      <c r="DE24" s="43">
        <v>886.76733999999999</v>
      </c>
      <c r="DF24" s="34">
        <v>571.64874800000007</v>
      </c>
      <c r="DG24" s="34">
        <v>66.081242000000003</v>
      </c>
      <c r="DH24" s="34">
        <v>157.60932300000002</v>
      </c>
      <c r="DI24" s="34">
        <v>181.08146500000001</v>
      </c>
      <c r="DJ24" s="34">
        <v>243.44150000000002</v>
      </c>
      <c r="DK24" s="34">
        <v>270.97884299999998</v>
      </c>
      <c r="DL24" s="34">
        <v>268.36552399999999</v>
      </c>
      <c r="DM24" s="34">
        <v>373.27130299999999</v>
      </c>
      <c r="DN24" s="34">
        <v>412.58886000000001</v>
      </c>
      <c r="DO24" s="34">
        <v>448.84109000000001</v>
      </c>
      <c r="DP24" s="34">
        <v>576.70208300000002</v>
      </c>
      <c r="DQ24" s="34">
        <v>623.43895199999997</v>
      </c>
      <c r="DR24" s="34">
        <f>+DR25+DR26</f>
        <v>668.93491499999993</v>
      </c>
      <c r="DS24" s="34">
        <f>+DS25+DS26</f>
        <v>641.70000000000005</v>
      </c>
      <c r="DT24" s="34">
        <f t="shared" ref="DT24" si="12">+DT25+DT26</f>
        <v>697.05237399999999</v>
      </c>
      <c r="DU24" s="34">
        <v>65.141897</v>
      </c>
      <c r="DV24" s="34">
        <v>107.108785</v>
      </c>
      <c r="DW24" s="34">
        <v>159.372749</v>
      </c>
      <c r="DX24" s="34">
        <v>220.119416</v>
      </c>
      <c r="DY24" s="34">
        <v>270.43036499999999</v>
      </c>
      <c r="DZ24" s="34">
        <f>+DZ25+DZ26+DZ27</f>
        <v>312.49243099999995</v>
      </c>
      <c r="EA24" s="34">
        <f t="shared" ref="EA24:EF24" si="13">+EA25+EA26</f>
        <v>379.79206800000003</v>
      </c>
      <c r="EB24" s="34">
        <f t="shared" si="13"/>
        <v>0</v>
      </c>
      <c r="EC24" s="34">
        <f t="shared" si="13"/>
        <v>0</v>
      </c>
      <c r="ED24" s="34">
        <f t="shared" si="13"/>
        <v>0</v>
      </c>
      <c r="EE24" s="34">
        <f t="shared" si="13"/>
        <v>0</v>
      </c>
      <c r="EF24" s="34">
        <f t="shared" si="13"/>
        <v>0</v>
      </c>
      <c r="EG24" s="35">
        <f t="shared" si="3"/>
        <v>54.485442151295224</v>
      </c>
      <c r="EH24" s="35">
        <f t="shared" si="5"/>
        <v>1.7469237382012226</v>
      </c>
      <c r="EI24" s="962">
        <f t="shared" si="4"/>
        <v>6.5207650000000399</v>
      </c>
    </row>
    <row r="25" spans="1:148" ht="15" customHeight="1">
      <c r="A25" s="40" t="s">
        <v>60</v>
      </c>
      <c r="B25" s="41">
        <v>1046.4343329999999</v>
      </c>
      <c r="C25" s="41">
        <v>61.384765999999999</v>
      </c>
      <c r="D25" s="41">
        <v>104.69523</v>
      </c>
      <c r="E25" s="41">
        <v>170.28390200000001</v>
      </c>
      <c r="F25" s="41">
        <v>239.46081100000001</v>
      </c>
      <c r="G25" s="41">
        <v>303.94062500000001</v>
      </c>
      <c r="H25" s="41">
        <v>363.71309100000002</v>
      </c>
      <c r="I25" s="41">
        <v>432.25949200000002</v>
      </c>
      <c r="J25" s="41">
        <v>490.31297000000001</v>
      </c>
      <c r="K25" s="41">
        <v>524.22682099999997</v>
      </c>
      <c r="L25" s="41">
        <v>571.13977799999998</v>
      </c>
      <c r="M25" s="41">
        <v>611.74654899999996</v>
      </c>
      <c r="N25" s="41">
        <v>667.63121899999999</v>
      </c>
      <c r="O25" s="41">
        <v>878.47359600000004</v>
      </c>
      <c r="P25" s="41">
        <v>56.166398999999998</v>
      </c>
      <c r="Q25" s="41">
        <v>111.650862</v>
      </c>
      <c r="R25" s="41">
        <v>163.249134</v>
      </c>
      <c r="S25" s="41">
        <v>216.52780100000001</v>
      </c>
      <c r="T25" s="41">
        <v>269.21088099999997</v>
      </c>
      <c r="U25" s="41">
        <v>309</v>
      </c>
      <c r="V25" s="41">
        <v>395.87620299999998</v>
      </c>
      <c r="W25" s="41">
        <v>459.58658600000001</v>
      </c>
      <c r="X25" s="41">
        <v>506.86763500000001</v>
      </c>
      <c r="Y25" s="41">
        <v>555.95841700000005</v>
      </c>
      <c r="Z25" s="41">
        <v>617.36234200000001</v>
      </c>
      <c r="AA25" s="41">
        <v>667.98580700000002</v>
      </c>
      <c r="AB25" s="41">
        <v>695.162105</v>
      </c>
      <c r="AC25" s="41">
        <v>77.841824000000003</v>
      </c>
      <c r="AD25" s="41">
        <v>131.684234</v>
      </c>
      <c r="AE25" s="41">
        <v>190.34549899999999</v>
      </c>
      <c r="AF25" s="41">
        <v>244.22948500000001</v>
      </c>
      <c r="AG25" s="41">
        <v>295.649677</v>
      </c>
      <c r="AH25" s="41">
        <v>343.12124599999999</v>
      </c>
      <c r="AI25" s="41">
        <v>403.45</v>
      </c>
      <c r="AJ25" s="41">
        <v>452.84827799999999</v>
      </c>
      <c r="AK25" s="41">
        <v>498.12377500000002</v>
      </c>
      <c r="AL25" s="41">
        <v>545.72359400000005</v>
      </c>
      <c r="AM25" s="41">
        <v>609.90253099999995</v>
      </c>
      <c r="AN25" s="41">
        <v>667.53812500000004</v>
      </c>
      <c r="AO25" s="41">
        <v>738.45270000000005</v>
      </c>
      <c r="AP25" s="41">
        <v>69</v>
      </c>
      <c r="AQ25" s="41">
        <v>117</v>
      </c>
      <c r="AR25" s="41">
        <v>173.92954900000001</v>
      </c>
      <c r="AS25" s="41">
        <v>201</v>
      </c>
      <c r="AT25" s="41">
        <v>255</v>
      </c>
      <c r="AU25" s="41">
        <v>520.32815400000004</v>
      </c>
      <c r="AV25" s="41">
        <v>356.820762</v>
      </c>
      <c r="AW25" s="41">
        <v>385</v>
      </c>
      <c r="AX25" s="41">
        <v>420.87883499999998</v>
      </c>
      <c r="AY25" s="41">
        <v>448.98865699999999</v>
      </c>
      <c r="AZ25" s="41">
        <v>507.34481299999999</v>
      </c>
      <c r="BA25" s="41">
        <v>582.02125000000001</v>
      </c>
      <c r="BB25" s="41">
        <v>687.03121399999998</v>
      </c>
      <c r="BC25" s="41">
        <v>472.13866100000001</v>
      </c>
      <c r="BD25" s="41">
        <v>42.671140000000001</v>
      </c>
      <c r="BE25" s="41">
        <v>83.263867000000005</v>
      </c>
      <c r="BF25" s="41">
        <v>113.457076</v>
      </c>
      <c r="BG25" s="41">
        <v>140.1</v>
      </c>
      <c r="BH25" s="41">
        <v>182.7</v>
      </c>
      <c r="BI25" s="41">
        <v>281.63760300000001</v>
      </c>
      <c r="BJ25" s="41">
        <v>276.258692</v>
      </c>
      <c r="BK25" s="41">
        <v>314.80787400000003</v>
      </c>
      <c r="BL25" s="41">
        <v>355.13093199999997</v>
      </c>
      <c r="BM25" s="41">
        <v>394.28348099999999</v>
      </c>
      <c r="BN25" s="41">
        <v>426.60532899999998</v>
      </c>
      <c r="BO25" s="41">
        <v>472.13866100000001</v>
      </c>
      <c r="BP25" s="41">
        <v>567.93456400000002</v>
      </c>
      <c r="BQ25" s="41">
        <v>591</v>
      </c>
      <c r="BR25" s="41">
        <v>52.495358000000003</v>
      </c>
      <c r="BS25" s="41">
        <v>108.686898</v>
      </c>
      <c r="BT25" s="41">
        <v>132.61929900000001</v>
      </c>
      <c r="BU25" s="41">
        <v>242.62309300000001</v>
      </c>
      <c r="BV25" s="41">
        <v>294.90827400000001</v>
      </c>
      <c r="BW25" s="41">
        <v>235.80475799999999</v>
      </c>
      <c r="BX25" s="41">
        <v>410.66184800000002</v>
      </c>
      <c r="BY25" s="41">
        <v>336.3</v>
      </c>
      <c r="BZ25" s="41">
        <v>391.00597800000003</v>
      </c>
      <c r="CA25" s="41">
        <v>744.59594900000002</v>
      </c>
      <c r="CB25" s="41">
        <v>449.9</v>
      </c>
      <c r="CC25" s="41">
        <v>509.243562</v>
      </c>
      <c r="CD25" s="41">
        <v>627.53633000000002</v>
      </c>
      <c r="CE25" s="41">
        <v>50.007748999999997</v>
      </c>
      <c r="CF25" s="41">
        <v>108.67210300000001</v>
      </c>
      <c r="CG25" s="41">
        <v>191.039546</v>
      </c>
      <c r="CH25" s="41">
        <v>242.62129999999999</v>
      </c>
      <c r="CI25" s="41">
        <v>294.90827400000001</v>
      </c>
      <c r="CJ25" s="41">
        <v>347.29969499999999</v>
      </c>
      <c r="CK25" s="41">
        <v>410.65310699999998</v>
      </c>
      <c r="CL25" s="41">
        <v>471.2</v>
      </c>
      <c r="CM25" s="41">
        <v>519.34321299999999</v>
      </c>
      <c r="CN25" s="41">
        <v>580.75419699999998</v>
      </c>
      <c r="CO25" s="41">
        <v>619.34504000000004</v>
      </c>
      <c r="CP25" s="41">
        <v>742.11015099999997</v>
      </c>
      <c r="CQ25" s="41">
        <v>726.22366599999998</v>
      </c>
      <c r="CR25" s="41">
        <v>778.77809999999999</v>
      </c>
      <c r="CS25" s="41">
        <v>88.195935000000006</v>
      </c>
      <c r="CT25" s="41">
        <v>126.76168199999999</v>
      </c>
      <c r="CU25" s="41">
        <v>178.27461199999999</v>
      </c>
      <c r="CV25" s="41">
        <v>218.94338099999999</v>
      </c>
      <c r="CW25" s="41">
        <v>269.37023599999998</v>
      </c>
      <c r="CX25" s="41">
        <v>343.64356000000004</v>
      </c>
      <c r="CY25" s="41">
        <v>397.85359799999998</v>
      </c>
      <c r="CZ25" s="41">
        <v>453.92242099999999</v>
      </c>
      <c r="DA25" s="41">
        <v>488.77475300000003</v>
      </c>
      <c r="DB25" s="41">
        <v>565.57470999999998</v>
      </c>
      <c r="DC25" s="41">
        <v>627.25717799999995</v>
      </c>
      <c r="DD25" s="41">
        <v>633.899225</v>
      </c>
      <c r="DE25" s="43">
        <v>821.42479800000001</v>
      </c>
      <c r="DF25" s="43">
        <v>533.79529000000002</v>
      </c>
      <c r="DG25" s="43">
        <v>62.169637999999999</v>
      </c>
      <c r="DH25" s="43">
        <v>149.50112200000001</v>
      </c>
      <c r="DI25" s="43">
        <v>163.158424</v>
      </c>
      <c r="DJ25" s="43">
        <v>225.51845900000001</v>
      </c>
      <c r="DK25" s="43">
        <v>251.72810100000001</v>
      </c>
      <c r="DL25" s="43">
        <v>249.11478199999999</v>
      </c>
      <c r="DM25" s="43">
        <v>354.02056099999999</v>
      </c>
      <c r="DN25" s="43">
        <v>393.33811800000001</v>
      </c>
      <c r="DO25" s="43">
        <v>426.93494600000002</v>
      </c>
      <c r="DP25" s="43">
        <v>548.15743499999996</v>
      </c>
      <c r="DQ25" s="43">
        <v>593.56660299999999</v>
      </c>
      <c r="DR25" s="43">
        <v>639.06256599999995</v>
      </c>
      <c r="DS25" s="43">
        <v>602.70000000000005</v>
      </c>
      <c r="DT25" s="43">
        <v>664</v>
      </c>
      <c r="DU25" s="43">
        <v>65.141897</v>
      </c>
      <c r="DV25" s="43">
        <v>107.108785</v>
      </c>
      <c r="DW25" s="43">
        <v>154.06194500000001</v>
      </c>
      <c r="DX25" s="43">
        <v>214.80861200000001</v>
      </c>
      <c r="DY25" s="43">
        <v>261.83676600000001</v>
      </c>
      <c r="DZ25" s="43">
        <v>303.03673199999997</v>
      </c>
      <c r="EA25" s="43">
        <f>+'AI_Mapa Cons. REC_2021'!$O$42/1000000</f>
        <v>365.88766500000003</v>
      </c>
      <c r="EB25" s="43"/>
      <c r="EC25" s="43"/>
      <c r="ED25" s="43"/>
      <c r="EE25" s="43"/>
      <c r="EF25" s="43"/>
      <c r="EG25" s="44">
        <f t="shared" si="3"/>
        <v>55.103564006024101</v>
      </c>
      <c r="EH25" s="44">
        <f t="shared" si="5"/>
        <v>3.3520945694450965</v>
      </c>
      <c r="EI25" s="962">
        <f t="shared" si="4"/>
        <v>11.86710400000004</v>
      </c>
    </row>
    <row r="26" spans="1:148" ht="15" customHeight="1">
      <c r="A26" s="40" t="s">
        <v>61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163.567442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137.15299999999999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137.15299999999999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137.15299999999999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137.15300199999999</v>
      </c>
      <c r="BQ26" s="41">
        <v>19</v>
      </c>
      <c r="BR26" s="41">
        <v>0</v>
      </c>
      <c r="BS26" s="41">
        <v>1.6192500000000001</v>
      </c>
      <c r="BT26" s="41">
        <v>3.641861</v>
      </c>
      <c r="BU26" s="41">
        <v>12.451055999999999</v>
      </c>
      <c r="BV26" s="41">
        <v>16.452455</v>
      </c>
      <c r="BW26" s="41">
        <v>5.4367619999999999</v>
      </c>
      <c r="BX26" s="41">
        <v>20.543568</v>
      </c>
      <c r="BY26" s="41">
        <v>28.879833999999999</v>
      </c>
      <c r="BZ26" s="41">
        <v>13.246270000000001</v>
      </c>
      <c r="CA26" s="41">
        <v>39.256087000000001</v>
      </c>
      <c r="CB26" s="41">
        <v>20.932770999999999</v>
      </c>
      <c r="CC26" s="41">
        <v>31.754514</v>
      </c>
      <c r="CD26" s="41">
        <v>23.9</v>
      </c>
      <c r="CE26" s="41">
        <v>0</v>
      </c>
      <c r="CF26" s="41">
        <v>1.6192500000000001</v>
      </c>
      <c r="CG26" s="41">
        <v>4.5645949999999997</v>
      </c>
      <c r="CH26" s="41">
        <v>11.123355</v>
      </c>
      <c r="CI26" s="41">
        <v>15.124753999999999</v>
      </c>
      <c r="CJ26" s="41">
        <v>19.244077999999998</v>
      </c>
      <c r="CK26" s="41">
        <v>20.543568</v>
      </c>
      <c r="CL26" s="41">
        <v>28.879833999999999</v>
      </c>
      <c r="CM26" s="41">
        <v>32.223674000000003</v>
      </c>
      <c r="CN26" s="41">
        <v>32.223674000000003</v>
      </c>
      <c r="CO26" s="41">
        <v>36.385556000000001</v>
      </c>
      <c r="CP26" s="41">
        <v>39.789538</v>
      </c>
      <c r="CQ26" s="41">
        <v>44</v>
      </c>
      <c r="CR26" s="41">
        <v>51.032913100000002</v>
      </c>
      <c r="CS26" s="41">
        <v>0</v>
      </c>
      <c r="CT26" s="41">
        <v>0</v>
      </c>
      <c r="CU26" s="41">
        <v>4.7740429999999998</v>
      </c>
      <c r="CV26" s="41">
        <v>12.809506000000001</v>
      </c>
      <c r="CW26" s="41">
        <v>12.809506000000001</v>
      </c>
      <c r="CX26" s="41">
        <v>20.253235</v>
      </c>
      <c r="CY26" s="41">
        <v>22.456771</v>
      </c>
      <c r="CZ26" s="41">
        <v>26.493891000000001</v>
      </c>
      <c r="DA26" s="41">
        <v>32.870423000000002</v>
      </c>
      <c r="DB26" s="41">
        <v>34.715356</v>
      </c>
      <c r="DC26" s="41">
        <v>36.586677999999999</v>
      </c>
      <c r="DD26" s="41">
        <v>37.959591000000003</v>
      </c>
      <c r="DE26" s="43">
        <v>65.342541999999995</v>
      </c>
      <c r="DF26" s="43">
        <v>37.853458000000003</v>
      </c>
      <c r="DG26" s="43">
        <v>3.9116040000000001</v>
      </c>
      <c r="DH26" s="43">
        <v>8.1082009999999993</v>
      </c>
      <c r="DI26" s="43">
        <v>17.923041000000001</v>
      </c>
      <c r="DJ26" s="43">
        <v>17.923041000000001</v>
      </c>
      <c r="DK26" s="43">
        <v>19.250741999999999</v>
      </c>
      <c r="DL26" s="47">
        <v>19.250741999999999</v>
      </c>
      <c r="DM26" s="43">
        <v>19.250741999999999</v>
      </c>
      <c r="DN26" s="43">
        <v>19.250741999999999</v>
      </c>
      <c r="DO26" s="43">
        <v>21.906144000000001</v>
      </c>
      <c r="DP26" s="43">
        <v>28.544647999999999</v>
      </c>
      <c r="DQ26" s="43">
        <v>29.872349</v>
      </c>
      <c r="DR26" s="43">
        <v>29.872349</v>
      </c>
      <c r="DS26" s="43">
        <v>39</v>
      </c>
      <c r="DT26" s="43">
        <v>33.052374</v>
      </c>
      <c r="DU26" s="43">
        <v>0</v>
      </c>
      <c r="DV26" s="43">
        <v>0</v>
      </c>
      <c r="DW26" s="43">
        <v>5.3108040000000001</v>
      </c>
      <c r="DX26" s="43">
        <v>5.3108040000000001</v>
      </c>
      <c r="DY26" s="43">
        <v>8.5935989999999993</v>
      </c>
      <c r="DZ26" s="43">
        <v>8.5935989999999993</v>
      </c>
      <c r="EA26" s="43">
        <f>+'AI_Mapa Cons. REC_2021'!$O$44/1000000</f>
        <v>13.904403</v>
      </c>
      <c r="EB26" s="43"/>
      <c r="EC26" s="43"/>
      <c r="ED26" s="43"/>
      <c r="EE26" s="43"/>
      <c r="EF26" s="43"/>
      <c r="EG26" s="44">
        <f t="shared" si="3"/>
        <v>42.067789139745301</v>
      </c>
      <c r="EH26" s="44">
        <f t="shared" si="5"/>
        <v>-27.772119121434379</v>
      </c>
      <c r="EI26" s="962">
        <f t="shared" si="4"/>
        <v>-5.3463389999999986</v>
      </c>
    </row>
    <row r="27" spans="1:148" s="99" customFormat="1" ht="15" hidden="1" customHeight="1">
      <c r="A27" s="91" t="s">
        <v>62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>
        <v>0</v>
      </c>
      <c r="AB27" s="97">
        <v>0</v>
      </c>
      <c r="AC27" s="97">
        <v>0</v>
      </c>
      <c r="AD27" s="97">
        <v>0</v>
      </c>
      <c r="AE27" s="97">
        <v>0</v>
      </c>
      <c r="AF27" s="97">
        <v>0</v>
      </c>
      <c r="AG27" s="97">
        <v>0</v>
      </c>
      <c r="AH27" s="97"/>
      <c r="AI27" s="97">
        <v>0</v>
      </c>
      <c r="AJ27" s="97">
        <v>0</v>
      </c>
      <c r="AK27" s="97">
        <v>1.903796</v>
      </c>
      <c r="AL27" s="97">
        <v>0</v>
      </c>
      <c r="AM27" s="97">
        <v>0</v>
      </c>
      <c r="AN27" s="97">
        <v>20.865107999999925</v>
      </c>
      <c r="AO27" s="97">
        <v>0</v>
      </c>
      <c r="AP27" s="97">
        <v>0</v>
      </c>
      <c r="AQ27" s="97">
        <v>0.21024300000000001</v>
      </c>
      <c r="AR27" s="97">
        <v>0</v>
      </c>
      <c r="AS27" s="97">
        <v>0.41727999999999998</v>
      </c>
      <c r="AT27" s="97">
        <v>0.42555599999999999</v>
      </c>
      <c r="AU27" s="97">
        <v>0</v>
      </c>
      <c r="AV27" s="97">
        <v>1.66997</v>
      </c>
      <c r="AW27" s="97">
        <v>3</v>
      </c>
      <c r="AX27" s="97">
        <v>0</v>
      </c>
      <c r="AY27" s="97">
        <v>3.0863749999999999</v>
      </c>
      <c r="AZ27" s="97">
        <v>3.267963</v>
      </c>
      <c r="BA27" s="97">
        <v>136.594234</v>
      </c>
      <c r="BB27" s="97">
        <v>0</v>
      </c>
      <c r="BC27" s="97">
        <v>15.798043</v>
      </c>
      <c r="BD27" s="97">
        <v>0</v>
      </c>
      <c r="BE27" s="97">
        <v>0</v>
      </c>
      <c r="BF27" s="97">
        <v>0</v>
      </c>
      <c r="BG27" s="97">
        <v>3.431E-2</v>
      </c>
      <c r="BH27" s="97">
        <v>0</v>
      </c>
      <c r="BI27" s="97">
        <v>0</v>
      </c>
      <c r="BJ27" s="97">
        <v>0</v>
      </c>
      <c r="BK27" s="97">
        <v>0</v>
      </c>
      <c r="BL27" s="97">
        <v>0</v>
      </c>
      <c r="BM27" s="97">
        <v>2.5872660000000001</v>
      </c>
      <c r="BN27" s="97">
        <v>2.5872660000000001</v>
      </c>
      <c r="BO27" s="97">
        <v>0</v>
      </c>
      <c r="BP27" s="97">
        <v>0</v>
      </c>
      <c r="BQ27" s="97">
        <v>0</v>
      </c>
      <c r="BR27" s="97">
        <v>0</v>
      </c>
      <c r="BS27" s="97">
        <v>0</v>
      </c>
      <c r="BT27" s="97">
        <v>0</v>
      </c>
      <c r="BU27" s="97">
        <v>0</v>
      </c>
      <c r="BV27" s="97">
        <v>0</v>
      </c>
      <c r="BW27" s="97">
        <v>0</v>
      </c>
      <c r="BX27" s="97">
        <v>0</v>
      </c>
      <c r="BY27" s="97">
        <v>0</v>
      </c>
      <c r="BZ27" s="97">
        <v>0</v>
      </c>
      <c r="CA27" s="97">
        <v>0</v>
      </c>
      <c r="CB27" s="97">
        <v>0</v>
      </c>
      <c r="CC27" s="97">
        <v>4.6760999999999997E-2</v>
      </c>
      <c r="CD27" s="97">
        <v>0</v>
      </c>
      <c r="CE27" s="97">
        <v>0</v>
      </c>
      <c r="CF27" s="97">
        <v>0</v>
      </c>
      <c r="CG27" s="97">
        <v>0</v>
      </c>
      <c r="CH27" s="97">
        <v>0</v>
      </c>
      <c r="CI27" s="97">
        <v>0</v>
      </c>
      <c r="CJ27" s="97">
        <v>0</v>
      </c>
      <c r="CK27" s="97">
        <v>0</v>
      </c>
      <c r="CL27" s="97">
        <v>0</v>
      </c>
      <c r="CM27" s="97">
        <v>0</v>
      </c>
      <c r="CN27" s="97">
        <v>0</v>
      </c>
      <c r="CO27" s="97">
        <v>0</v>
      </c>
      <c r="CP27" s="97">
        <v>0</v>
      </c>
      <c r="CQ27" s="97">
        <v>0</v>
      </c>
      <c r="CR27" s="97"/>
      <c r="CS27" s="97">
        <v>0</v>
      </c>
      <c r="CT27" s="97">
        <v>0</v>
      </c>
      <c r="CU27" s="97">
        <v>0</v>
      </c>
      <c r="CV27" s="97">
        <v>0</v>
      </c>
      <c r="CW27" s="97">
        <v>0</v>
      </c>
      <c r="CX27" s="97"/>
      <c r="CY27" s="97">
        <v>0</v>
      </c>
      <c r="CZ27" s="97">
        <v>0</v>
      </c>
      <c r="DA27" s="97">
        <v>0</v>
      </c>
      <c r="DB27" s="97">
        <v>0</v>
      </c>
      <c r="DC27" s="97">
        <v>0</v>
      </c>
      <c r="DD27" s="97">
        <v>0</v>
      </c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>
        <v>0.86209999999999998</v>
      </c>
      <c r="EA27" s="47"/>
      <c r="EB27" s="47"/>
      <c r="EC27" s="47"/>
      <c r="ED27" s="47"/>
      <c r="EE27" s="47"/>
      <c r="EF27" s="47"/>
      <c r="EG27" s="98" t="e">
        <f t="shared" si="3"/>
        <v>#DIV/0!</v>
      </c>
      <c r="EH27" s="98" t="e">
        <f t="shared" si="5"/>
        <v>#DIV/0!</v>
      </c>
      <c r="EI27" s="962">
        <f t="shared" si="4"/>
        <v>0</v>
      </c>
    </row>
    <row r="28" spans="1:148" s="4" customFormat="1" ht="15" customHeight="1">
      <c r="A28" s="100" t="s">
        <v>63</v>
      </c>
      <c r="B28" s="101">
        <v>12.122224000000001</v>
      </c>
      <c r="C28" s="101">
        <v>0.92625599999999997</v>
      </c>
      <c r="D28" s="101">
        <v>1.9114640000000001</v>
      </c>
      <c r="E28" s="101">
        <v>5.5578660000000006</v>
      </c>
      <c r="F28" s="101">
        <v>7.9196470000000003</v>
      </c>
      <c r="G28" s="101">
        <v>8.2940740000000002</v>
      </c>
      <c r="H28" s="101">
        <v>8.7789719999999996</v>
      </c>
      <c r="I28" s="101">
        <v>9.374981</v>
      </c>
      <c r="J28" s="101">
        <v>9.6992520000000013</v>
      </c>
      <c r="K28" s="101">
        <v>10.216154</v>
      </c>
      <c r="L28" s="101">
        <v>10.584709</v>
      </c>
      <c r="M28" s="101">
        <v>11.872005</v>
      </c>
      <c r="N28" s="101">
        <v>41.316127000000002</v>
      </c>
      <c r="O28" s="101">
        <v>5.5038660000000004</v>
      </c>
      <c r="P28" s="101">
        <v>13.729844</v>
      </c>
      <c r="Q28" s="101">
        <v>29.38439</v>
      </c>
      <c r="R28" s="101">
        <v>8.9141159999999999</v>
      </c>
      <c r="S28" s="101">
        <v>31.154131</v>
      </c>
      <c r="T28" s="101">
        <v>31.225343000000002</v>
      </c>
      <c r="U28" s="101">
        <v>14.45632</v>
      </c>
      <c r="V28" s="101">
        <v>31.611706999999999</v>
      </c>
      <c r="W28" s="101">
        <v>31.845299000000001</v>
      </c>
      <c r="X28" s="101">
        <v>25.954129999999999</v>
      </c>
      <c r="Y28" s="101">
        <v>35.404899</v>
      </c>
      <c r="Z28" s="101">
        <v>35.747872999999998</v>
      </c>
      <c r="AA28" s="101">
        <v>43.095255000000002</v>
      </c>
      <c r="AB28" s="101">
        <v>17</v>
      </c>
      <c r="AC28" s="101">
        <v>0.49978900000000004</v>
      </c>
      <c r="AD28" s="101">
        <v>5.2424519999999992</v>
      </c>
      <c r="AE28" s="101">
        <v>10.152248999999999</v>
      </c>
      <c r="AF28" s="101">
        <v>14.952885999999999</v>
      </c>
      <c r="AG28" s="101">
        <v>26.811285000000002</v>
      </c>
      <c r="AH28" s="101">
        <v>29.805126999999999</v>
      </c>
      <c r="AI28" s="101">
        <v>33.945025999999999</v>
      </c>
      <c r="AJ28" s="101">
        <v>37.039356999999995</v>
      </c>
      <c r="AK28" s="101">
        <v>42.261320999999995</v>
      </c>
      <c r="AL28" s="101">
        <v>47.232168000000001</v>
      </c>
      <c r="AM28" s="101">
        <v>50.206979000000004</v>
      </c>
      <c r="AN28" s="101">
        <v>55.651572000000002</v>
      </c>
      <c r="AO28" s="101">
        <v>217.757769</v>
      </c>
      <c r="AP28" s="101">
        <v>1.421087</v>
      </c>
      <c r="AQ28" s="101">
        <v>4.7863179999999996</v>
      </c>
      <c r="AR28" s="101">
        <v>11.840176</v>
      </c>
      <c r="AS28" s="101">
        <v>15.047529000000001</v>
      </c>
      <c r="AT28" s="101">
        <v>19.998235999999999</v>
      </c>
      <c r="AU28" s="101">
        <v>24.165067999999998</v>
      </c>
      <c r="AV28" s="101">
        <v>24.426257999999997</v>
      </c>
      <c r="AW28" s="101">
        <v>31.598361999999998</v>
      </c>
      <c r="AX28" s="101">
        <v>32.324736999999999</v>
      </c>
      <c r="AY28" s="101">
        <v>36</v>
      </c>
      <c r="AZ28" s="101">
        <v>41</v>
      </c>
      <c r="BA28" s="101">
        <v>45.717044000000001</v>
      </c>
      <c r="BB28" s="101">
        <v>207.829061</v>
      </c>
      <c r="BC28" s="101">
        <v>55.687233999999997</v>
      </c>
      <c r="BD28" s="101">
        <v>5.574E-3</v>
      </c>
      <c r="BE28" s="101">
        <v>1.6147999999999999E-2</v>
      </c>
      <c r="BF28" s="101">
        <v>13.242265</v>
      </c>
      <c r="BG28" s="101">
        <v>17.675999000000001</v>
      </c>
      <c r="BH28" s="101">
        <v>21.870797</v>
      </c>
      <c r="BI28" s="101">
        <v>26.201630999999999</v>
      </c>
      <c r="BJ28" s="101">
        <v>31.735164999999999</v>
      </c>
      <c r="BK28" s="101">
        <v>35.684129999999996</v>
      </c>
      <c r="BL28" s="101">
        <v>41.168172000000006</v>
      </c>
      <c r="BM28" s="101">
        <v>45.240681000000002</v>
      </c>
      <c r="BN28" s="101">
        <v>50.357404000000002</v>
      </c>
      <c r="BO28" s="101">
        <v>55.687233999999997</v>
      </c>
      <c r="BP28" s="101">
        <v>58.696885000000002</v>
      </c>
      <c r="BQ28" s="101">
        <v>58.696885000000002</v>
      </c>
      <c r="BR28" s="101">
        <v>6.4921829999999998</v>
      </c>
      <c r="BS28" s="101">
        <v>11.739678</v>
      </c>
      <c r="BT28" s="101">
        <v>14.520068</v>
      </c>
      <c r="BU28" s="101">
        <v>22.642235000000003</v>
      </c>
      <c r="BV28" s="101">
        <v>27.287537</v>
      </c>
      <c r="BW28" s="101">
        <v>29.538716999999998</v>
      </c>
      <c r="BX28" s="101">
        <v>37.790216999999998</v>
      </c>
      <c r="BY28" s="101">
        <v>43.276229000000001</v>
      </c>
      <c r="BZ28" s="101">
        <v>44.522432999999999</v>
      </c>
      <c r="CA28" s="101">
        <v>75.407770000000014</v>
      </c>
      <c r="CB28" s="101">
        <v>55.134661999999999</v>
      </c>
      <c r="CC28" s="101">
        <v>60.370308000000001</v>
      </c>
      <c r="CD28" s="101">
        <v>65.7</v>
      </c>
      <c r="CE28" s="101">
        <v>6.4921829999999998</v>
      </c>
      <c r="CF28" s="101">
        <v>11.629291</v>
      </c>
      <c r="CG28" s="101">
        <v>17.188296999999999</v>
      </c>
      <c r="CH28" s="101">
        <v>22.638016000000004</v>
      </c>
      <c r="CI28" s="101">
        <v>27.241900999999999</v>
      </c>
      <c r="CJ28" s="101">
        <v>32.693719000000002</v>
      </c>
      <c r="CK28" s="101">
        <v>37.790216999999998</v>
      </c>
      <c r="CL28" s="101">
        <v>43.276229000000001</v>
      </c>
      <c r="CM28" s="101">
        <v>48.337817999999999</v>
      </c>
      <c r="CN28" s="101">
        <v>53.597143000000003</v>
      </c>
      <c r="CO28" s="101">
        <v>59.664084000000003</v>
      </c>
      <c r="CP28" s="101">
        <v>77.785463000000007</v>
      </c>
      <c r="CQ28" s="101">
        <v>60.684184000000002</v>
      </c>
      <c r="CR28" s="101">
        <v>60.684184000000002</v>
      </c>
      <c r="CS28" s="101">
        <v>0.44956099999999999</v>
      </c>
      <c r="CT28" s="101">
        <v>6.8130260000000007</v>
      </c>
      <c r="CU28" s="101">
        <v>14.209961999999999</v>
      </c>
      <c r="CV28" s="101">
        <v>20.042317000000001</v>
      </c>
      <c r="CW28" s="101">
        <v>26.080022</v>
      </c>
      <c r="CX28" s="101">
        <v>32.199627</v>
      </c>
      <c r="CY28" s="101">
        <v>38.343144000000002</v>
      </c>
      <c r="CZ28" s="101">
        <v>44.460679999999996</v>
      </c>
      <c r="DA28" s="101">
        <v>45.671961000000003</v>
      </c>
      <c r="DB28" s="101">
        <v>51.957479999999997</v>
      </c>
      <c r="DC28" s="101">
        <v>58.027964000000004</v>
      </c>
      <c r="DD28" s="101">
        <v>76.586356999999992</v>
      </c>
      <c r="DE28" s="25">
        <v>69.542689999999993</v>
      </c>
      <c r="DF28" s="25">
        <v>69.542689999999993</v>
      </c>
      <c r="DG28" s="25">
        <v>0.18621499999999999</v>
      </c>
      <c r="DH28" s="25">
        <v>5.7557299999999998</v>
      </c>
      <c r="DI28" s="25">
        <v>7.8733719999999998</v>
      </c>
      <c r="DJ28" s="25">
        <v>15.353952</v>
      </c>
      <c r="DK28" s="25">
        <v>21.229727</v>
      </c>
      <c r="DL28" s="25">
        <v>27.562844000000002</v>
      </c>
      <c r="DM28" s="25">
        <v>28.960763</v>
      </c>
      <c r="DN28" s="25">
        <v>35.310355000000001</v>
      </c>
      <c r="DO28" s="25">
        <v>41.760501000000005</v>
      </c>
      <c r="DP28" s="25">
        <v>47.780982000000002</v>
      </c>
      <c r="DQ28" s="25">
        <v>54.077676999999994</v>
      </c>
      <c r="DR28" s="25">
        <v>56.744630000000001</v>
      </c>
      <c r="DS28" s="25">
        <f>+DS29+DS30+DS31</f>
        <v>71.343545000000006</v>
      </c>
      <c r="DT28" s="25">
        <f>+DT29+DT30+DT31</f>
        <v>70.893545000000003</v>
      </c>
      <c r="DU28" s="25">
        <v>0.13495599999999999</v>
      </c>
      <c r="DV28" s="25">
        <v>5.950368000000001</v>
      </c>
      <c r="DW28" s="25">
        <v>12.448777999999999</v>
      </c>
      <c r="DX28" s="25">
        <v>19.030644000000002</v>
      </c>
      <c r="DY28" s="25">
        <v>25.899438</v>
      </c>
      <c r="DZ28" s="25">
        <f>+DZ29+DZ30+DZ31</f>
        <v>29.035825000000003</v>
      </c>
      <c r="EA28" s="25">
        <f>+EA29+EA30+EA31</f>
        <v>32.221981999999997</v>
      </c>
      <c r="EB28" s="25"/>
      <c r="EC28" s="25"/>
      <c r="ED28" s="25"/>
      <c r="EE28" s="25"/>
      <c r="EF28" s="25"/>
      <c r="EG28" s="102">
        <f t="shared" si="3"/>
        <v>45.451221264220877</v>
      </c>
      <c r="EH28" s="102">
        <f t="shared" si="5"/>
        <v>11.26081864624906</v>
      </c>
      <c r="EI28" s="962">
        <f t="shared" si="4"/>
        <v>3.261218999999997</v>
      </c>
      <c r="EK28" s="4">
        <v>1000000</v>
      </c>
    </row>
    <row r="29" spans="1:148" s="82" customFormat="1" ht="15" customHeight="1">
      <c r="A29" s="79" t="s">
        <v>64</v>
      </c>
      <c r="B29" s="92">
        <v>10.732238000000001</v>
      </c>
      <c r="C29" s="92">
        <v>0.83073200000000003</v>
      </c>
      <c r="D29" s="92">
        <v>1.6572150000000001</v>
      </c>
      <c r="E29" s="92">
        <v>2.5277470000000002</v>
      </c>
      <c r="F29" s="92">
        <v>3.7340200000000001</v>
      </c>
      <c r="G29" s="92">
        <v>4.0278770000000002</v>
      </c>
      <c r="H29" s="92">
        <v>4.4706729999999997</v>
      </c>
      <c r="I29" s="92">
        <v>5.0105839999999997</v>
      </c>
      <c r="J29" s="92">
        <v>5.2891630000000003</v>
      </c>
      <c r="K29" s="92">
        <v>5.661581</v>
      </c>
      <c r="L29" s="92">
        <v>5.7950759999999999</v>
      </c>
      <c r="M29" s="92">
        <v>6.9742179999999996</v>
      </c>
      <c r="N29" s="92">
        <v>7.754289</v>
      </c>
      <c r="O29" s="92">
        <v>2.5038659999999999</v>
      </c>
      <c r="P29" s="92">
        <v>8.8999999999999995E-4</v>
      </c>
      <c r="Q29" s="92">
        <v>0.13153899999999999</v>
      </c>
      <c r="R29" s="92">
        <v>0.34491500000000003</v>
      </c>
      <c r="S29" s="92">
        <v>0.56578300000000004</v>
      </c>
      <c r="T29" s="92">
        <v>0.56667299999999998</v>
      </c>
      <c r="U29" s="92">
        <v>0.72354700000000005</v>
      </c>
      <c r="V29" s="92">
        <v>0.81154599999999999</v>
      </c>
      <c r="W29" s="92">
        <v>0.96483399999999997</v>
      </c>
      <c r="X29" s="92">
        <v>0.96839399999999998</v>
      </c>
      <c r="Y29" s="92">
        <v>1.0931139999999999</v>
      </c>
      <c r="Z29" s="92">
        <v>1.3183210000000001</v>
      </c>
      <c r="AA29" s="92">
        <v>5.1567400000000001</v>
      </c>
      <c r="AB29" s="92">
        <v>6</v>
      </c>
      <c r="AC29" s="92">
        <v>0.214058</v>
      </c>
      <c r="AD29" s="92">
        <v>0.56828599999999996</v>
      </c>
      <c r="AE29" s="92">
        <v>0.85431500000000005</v>
      </c>
      <c r="AF29" s="92">
        <v>1.438326</v>
      </c>
      <c r="AG29" s="92">
        <v>3.2750159999999999</v>
      </c>
      <c r="AH29" s="92">
        <v>3.6475979999999999</v>
      </c>
      <c r="AI29" s="92">
        <v>4.5027869999999997</v>
      </c>
      <c r="AJ29" s="92">
        <v>4.8672110000000002</v>
      </c>
      <c r="AK29" s="92">
        <v>5.2779389999999999</v>
      </c>
      <c r="AL29" s="92">
        <v>5.4797120000000001</v>
      </c>
      <c r="AM29" s="92">
        <v>5.7702840000000002</v>
      </c>
      <c r="AN29" s="92">
        <v>7.1147970000000003</v>
      </c>
      <c r="AO29" s="92">
        <v>17.393768999999999</v>
      </c>
      <c r="AP29" s="92">
        <v>1.141829</v>
      </c>
      <c r="AQ29" s="92">
        <v>1.75864</v>
      </c>
      <c r="AR29" s="92">
        <v>2.478192</v>
      </c>
      <c r="AS29" s="92">
        <v>3.0475289999999999</v>
      </c>
      <c r="AT29" s="92">
        <v>4.5234389999999998</v>
      </c>
      <c r="AU29" s="92">
        <v>4.805472</v>
      </c>
      <c r="AV29" s="92">
        <v>5.3962979999999998</v>
      </c>
      <c r="AW29" s="92">
        <v>5.4283060000000001</v>
      </c>
      <c r="AX29" s="92">
        <v>5.4283060000000001</v>
      </c>
      <c r="AY29" s="92">
        <v>5</v>
      </c>
      <c r="AZ29" s="92">
        <v>5</v>
      </c>
      <c r="BA29" s="92">
        <v>5.4650610000000004</v>
      </c>
      <c r="BB29" s="92">
        <v>7.4650610000000004</v>
      </c>
      <c r="BC29" s="92">
        <v>8.6081000000000005E-2</v>
      </c>
      <c r="BD29" s="92">
        <v>5.574E-3</v>
      </c>
      <c r="BE29" s="92">
        <v>1.6147999999999999E-2</v>
      </c>
      <c r="BF29" s="92">
        <v>2.5399999999999999E-2</v>
      </c>
      <c r="BG29" s="92">
        <v>3.431E-2</v>
      </c>
      <c r="BH29" s="92">
        <v>4.1165E-2</v>
      </c>
      <c r="BI29" s="92">
        <v>4.7223000000000001E-2</v>
      </c>
      <c r="BJ29" s="92">
        <v>5.2121000000000001E-2</v>
      </c>
      <c r="BK29" s="92">
        <v>5.0835999999999999E-2</v>
      </c>
      <c r="BL29" s="92">
        <v>6.0439E-2</v>
      </c>
      <c r="BM29" s="92">
        <v>7.9271999999999995E-2</v>
      </c>
      <c r="BN29" s="92">
        <v>8.3560999999999996E-2</v>
      </c>
      <c r="BO29" s="92">
        <v>8.6081000000000005E-2</v>
      </c>
      <c r="BP29" s="92">
        <v>8.696885</v>
      </c>
      <c r="BQ29" s="92">
        <v>8.696885</v>
      </c>
      <c r="BR29" s="92">
        <v>2.5200000000000001E-3</v>
      </c>
      <c r="BS29" s="92">
        <v>5.0400000000000002E-3</v>
      </c>
      <c r="BT29" s="92">
        <v>7.5599999999999999E-3</v>
      </c>
      <c r="BU29" s="92">
        <v>5.0400000000000002E-3</v>
      </c>
      <c r="BV29" s="92">
        <v>5.0400000000000002E-3</v>
      </c>
      <c r="BW29" s="92">
        <v>1.512E-2</v>
      </c>
      <c r="BX29" s="92">
        <v>5.0400000000000002E-3</v>
      </c>
      <c r="BY29" s="92">
        <v>5.0400000000000002E-3</v>
      </c>
      <c r="BZ29" s="92">
        <v>2.2679999999999999E-2</v>
      </c>
      <c r="CA29" s="92">
        <v>5.8399999999999997E-3</v>
      </c>
      <c r="CB29" s="92">
        <v>2.7720000000000002E-2</v>
      </c>
      <c r="CC29" s="92">
        <v>3.024E-2</v>
      </c>
      <c r="CD29" s="92">
        <v>4.7</v>
      </c>
      <c r="CE29" s="92">
        <v>2.5200000000000001E-3</v>
      </c>
      <c r="CF29" s="92">
        <v>5.0400000000000002E-3</v>
      </c>
      <c r="CG29" s="92">
        <v>5.0400000000000002E-3</v>
      </c>
      <c r="CH29" s="92">
        <v>5.0400000000000002E-3</v>
      </c>
      <c r="CI29" s="92">
        <v>5.0400000000000002E-3</v>
      </c>
      <c r="CJ29" s="92">
        <v>5.0400000000000002E-3</v>
      </c>
      <c r="CK29" s="92">
        <v>5.0400000000000002E-3</v>
      </c>
      <c r="CL29" s="92">
        <v>5.0400000000000002E-3</v>
      </c>
      <c r="CM29" s="92">
        <v>5.0400000000000002E-3</v>
      </c>
      <c r="CN29" s="92">
        <v>5.0400000000000002E-3</v>
      </c>
      <c r="CO29" s="92">
        <v>5.0400000000000002E-3</v>
      </c>
      <c r="CP29" s="92">
        <v>5.8399999999999997E-3</v>
      </c>
      <c r="CQ29" s="92">
        <v>3.0391000000000001E-2</v>
      </c>
      <c r="CR29" s="92">
        <v>3.0391000000000001E-2</v>
      </c>
      <c r="CS29" s="92">
        <v>0</v>
      </c>
      <c r="CT29" s="92">
        <v>0</v>
      </c>
      <c r="CU29" s="92">
        <v>0</v>
      </c>
      <c r="CV29" s="92">
        <v>0</v>
      </c>
      <c r="CW29" s="92">
        <v>0</v>
      </c>
      <c r="CX29" s="92">
        <v>0</v>
      </c>
      <c r="CY29" s="92">
        <v>0</v>
      </c>
      <c r="CZ29" s="92">
        <v>0</v>
      </c>
      <c r="DA29" s="92">
        <v>0</v>
      </c>
      <c r="DB29" s="92">
        <v>0</v>
      </c>
      <c r="DC29" s="92">
        <v>0</v>
      </c>
      <c r="DD29" s="92">
        <v>0</v>
      </c>
      <c r="DE29" s="43">
        <v>3.0391000000000001E-2</v>
      </c>
      <c r="DF29" s="43">
        <v>3.0391000000000001E-2</v>
      </c>
      <c r="DG29" s="43">
        <v>0</v>
      </c>
      <c r="DH29" s="43">
        <v>0</v>
      </c>
      <c r="DI29" s="43">
        <v>0</v>
      </c>
      <c r="DJ29" s="43">
        <v>0</v>
      </c>
      <c r="DK29" s="43">
        <v>0</v>
      </c>
      <c r="DL29" s="43">
        <v>0</v>
      </c>
      <c r="DM29" s="43">
        <v>0</v>
      </c>
      <c r="DN29" s="43">
        <v>0</v>
      </c>
      <c r="DO29" s="43">
        <v>0</v>
      </c>
      <c r="DP29" s="43">
        <v>1.694E-3</v>
      </c>
      <c r="DQ29" s="43">
        <v>2.5019999999999999E-3</v>
      </c>
      <c r="DR29" s="43">
        <v>4.1180000000000001E-3</v>
      </c>
      <c r="DS29" s="43">
        <v>0</v>
      </c>
      <c r="DT29" s="43">
        <v>0</v>
      </c>
      <c r="DU29" s="43">
        <v>0</v>
      </c>
      <c r="DV29" s="103">
        <v>8.0800000000000002E-4</v>
      </c>
      <c r="DW29" s="103">
        <v>1.616E-3</v>
      </c>
      <c r="DX29" s="103">
        <v>2.4239999999999999E-3</v>
      </c>
      <c r="DY29" s="103">
        <v>3.2320000000000001E-3</v>
      </c>
      <c r="DZ29" s="969">
        <v>8.1259999999999995E-3</v>
      </c>
      <c r="EA29" s="969">
        <f>(+'AI_Mapa Cons. REC_2021'!$O$49)/1000000</f>
        <v>1.1823999999999999E-2</v>
      </c>
      <c r="EB29" s="43"/>
      <c r="EC29" s="43"/>
      <c r="ED29" s="43"/>
      <c r="EE29" s="43"/>
      <c r="EF29" s="43"/>
      <c r="EG29" s="44" t="s">
        <v>75</v>
      </c>
      <c r="EH29" s="44" t="s">
        <v>75</v>
      </c>
      <c r="EI29" s="962">
        <f t="shared" si="4"/>
        <v>1.1823999999999999E-2</v>
      </c>
    </row>
    <row r="30" spans="1:148" ht="15" customHeight="1">
      <c r="A30" s="79" t="s">
        <v>65</v>
      </c>
      <c r="B30" s="41">
        <v>1.3899859999999999</v>
      </c>
      <c r="C30" s="41">
        <v>9.5523999999999998E-2</v>
      </c>
      <c r="D30" s="41">
        <v>0.254249</v>
      </c>
      <c r="E30" s="41">
        <v>3.030119</v>
      </c>
      <c r="F30" s="41">
        <v>4.1856270000000002</v>
      </c>
      <c r="G30" s="41">
        <v>4.266197</v>
      </c>
      <c r="H30" s="41">
        <v>4.3082989999999999</v>
      </c>
      <c r="I30" s="41">
        <v>4.3643970000000003</v>
      </c>
      <c r="J30" s="41">
        <v>4.4100890000000001</v>
      </c>
      <c r="K30" s="41">
        <v>4.5545730000000004</v>
      </c>
      <c r="L30" s="41">
        <v>4.7896330000000003</v>
      </c>
      <c r="M30" s="41">
        <v>4.8977870000000001</v>
      </c>
      <c r="N30" s="41">
        <v>33.561838000000002</v>
      </c>
      <c r="O30" s="41">
        <v>3</v>
      </c>
      <c r="P30" s="41">
        <v>13.728954</v>
      </c>
      <c r="Q30" s="41">
        <v>29.252851</v>
      </c>
      <c r="R30" s="41">
        <v>8.5692009999999996</v>
      </c>
      <c r="S30" s="41">
        <v>30.588348</v>
      </c>
      <c r="T30" s="41">
        <v>30.658670000000001</v>
      </c>
      <c r="U30" s="41">
        <v>13.732773</v>
      </c>
      <c r="V30" s="41">
        <v>30.800160999999999</v>
      </c>
      <c r="W30" s="41">
        <v>30.880465000000001</v>
      </c>
      <c r="X30" s="41">
        <v>24.985735999999999</v>
      </c>
      <c r="Y30" s="41">
        <v>34.311785</v>
      </c>
      <c r="Z30" s="41">
        <v>34.429552000000001</v>
      </c>
      <c r="AA30" s="41">
        <v>37.938515000000002</v>
      </c>
      <c r="AB30" s="41">
        <v>11</v>
      </c>
      <c r="AC30" s="41">
        <v>0.28573100000000001</v>
      </c>
      <c r="AD30" s="41">
        <v>4.6741659999999996</v>
      </c>
      <c r="AE30" s="41">
        <v>9.2979339999999997</v>
      </c>
      <c r="AF30" s="41">
        <v>13.514559999999999</v>
      </c>
      <c r="AG30" s="41">
        <v>23.536269000000001</v>
      </c>
      <c r="AH30" s="41">
        <v>26.157529</v>
      </c>
      <c r="AI30" s="41">
        <v>29.442239000000001</v>
      </c>
      <c r="AJ30" s="41">
        <v>32.172145999999998</v>
      </c>
      <c r="AK30" s="41">
        <v>36.983381999999999</v>
      </c>
      <c r="AL30" s="41">
        <v>41.752456000000002</v>
      </c>
      <c r="AM30" s="41">
        <v>44.436695</v>
      </c>
      <c r="AN30" s="41">
        <v>48.536774999999999</v>
      </c>
      <c r="AO30" s="41">
        <v>200.364</v>
      </c>
      <c r="AP30" s="41">
        <v>0.27925800000000001</v>
      </c>
      <c r="AQ30" s="41">
        <v>3.0276779999999999</v>
      </c>
      <c r="AR30" s="41">
        <v>9.3619839999999996</v>
      </c>
      <c r="AS30" s="41">
        <v>12</v>
      </c>
      <c r="AT30" s="41">
        <v>15.474797000000001</v>
      </c>
      <c r="AU30" s="41">
        <v>19.359596</v>
      </c>
      <c r="AV30" s="41">
        <v>19.029959999999999</v>
      </c>
      <c r="AW30" s="41">
        <v>26.170055999999999</v>
      </c>
      <c r="AX30" s="41">
        <v>26.896431</v>
      </c>
      <c r="AY30" s="41">
        <v>30.280387000000001</v>
      </c>
      <c r="AZ30" s="41">
        <v>35.103293999999998</v>
      </c>
      <c r="BA30" s="41">
        <v>40.251983000000003</v>
      </c>
      <c r="BB30" s="41">
        <v>200.364</v>
      </c>
      <c r="BC30" s="41">
        <v>55.601152999999996</v>
      </c>
      <c r="BD30" s="41">
        <v>0</v>
      </c>
      <c r="BE30" s="41">
        <v>0</v>
      </c>
      <c r="BF30" s="41">
        <v>13.216865</v>
      </c>
      <c r="BG30" s="41">
        <v>17.641689</v>
      </c>
      <c r="BH30" s="41">
        <v>21.829632</v>
      </c>
      <c r="BI30" s="41">
        <v>26.154408</v>
      </c>
      <c r="BJ30" s="41">
        <v>31.683043999999999</v>
      </c>
      <c r="BK30" s="41">
        <v>35.633293999999999</v>
      </c>
      <c r="BL30" s="41">
        <v>41.107733000000003</v>
      </c>
      <c r="BM30" s="41">
        <v>45.161408999999999</v>
      </c>
      <c r="BN30" s="41">
        <v>50.273842999999999</v>
      </c>
      <c r="BO30" s="41">
        <v>55.601152999999996</v>
      </c>
      <c r="BP30" s="41">
        <v>50</v>
      </c>
      <c r="BQ30" s="41">
        <v>50</v>
      </c>
      <c r="BR30" s="41">
        <v>6.4349819999999998</v>
      </c>
      <c r="BS30" s="41">
        <v>11.625883</v>
      </c>
      <c r="BT30" s="41">
        <v>14.512508</v>
      </c>
      <c r="BU30" s="41">
        <v>22.421001</v>
      </c>
      <c r="BV30" s="41">
        <v>27.012066000000001</v>
      </c>
      <c r="BW30" s="41">
        <v>29.523596999999999</v>
      </c>
      <c r="BX30" s="41">
        <v>37.401103999999997</v>
      </c>
      <c r="BY30" s="41">
        <v>42.830295</v>
      </c>
      <c r="BZ30" s="41">
        <v>44.499752999999998</v>
      </c>
      <c r="CA30" s="41">
        <v>74.677743000000007</v>
      </c>
      <c r="CB30" s="41">
        <v>55.106941999999997</v>
      </c>
      <c r="CC30" s="41">
        <v>60.340068000000002</v>
      </c>
      <c r="CD30" s="41">
        <v>60</v>
      </c>
      <c r="CE30" s="41">
        <v>6.4349819999999998</v>
      </c>
      <c r="CF30" s="41">
        <v>11.515496000000001</v>
      </c>
      <c r="CG30" s="41">
        <v>17.020226999999998</v>
      </c>
      <c r="CH30" s="41">
        <v>22.416782000000001</v>
      </c>
      <c r="CI30" s="41">
        <v>26.966429999999999</v>
      </c>
      <c r="CJ30" s="41">
        <v>32.361426999999999</v>
      </c>
      <c r="CK30" s="41">
        <v>37.401103999999997</v>
      </c>
      <c r="CL30" s="41">
        <v>42.830295</v>
      </c>
      <c r="CM30" s="41">
        <v>47.835062999999998</v>
      </c>
      <c r="CN30" s="41">
        <v>53.037567000000003</v>
      </c>
      <c r="CO30" s="41">
        <v>59.047687000000003</v>
      </c>
      <c r="CP30" s="41">
        <v>77.055436</v>
      </c>
      <c r="CQ30" s="41">
        <v>60.007080999999999</v>
      </c>
      <c r="CR30" s="41">
        <v>60.653793</v>
      </c>
      <c r="CS30" s="41">
        <v>0.44956099999999999</v>
      </c>
      <c r="CT30" s="41">
        <v>6.7566110000000004</v>
      </c>
      <c r="CU30" s="41">
        <v>14.097667</v>
      </c>
      <c r="CV30" s="41">
        <v>19.930022000000001</v>
      </c>
      <c r="CW30" s="41">
        <v>25.912711999999999</v>
      </c>
      <c r="CX30" s="41">
        <v>31.977302000000002</v>
      </c>
      <c r="CY30" s="41">
        <v>38.065804</v>
      </c>
      <c r="CZ30" s="41">
        <v>44.128661999999998</v>
      </c>
      <c r="DA30" s="41">
        <v>45.284145000000002</v>
      </c>
      <c r="DB30" s="41">
        <v>51.513866</v>
      </c>
      <c r="DC30" s="41">
        <v>57.529229000000001</v>
      </c>
      <c r="DD30" s="41">
        <v>75.977379999999997</v>
      </c>
      <c r="DE30" s="54">
        <v>69.512298999999999</v>
      </c>
      <c r="DF30" s="43">
        <v>68.431426000000002</v>
      </c>
      <c r="DG30" s="43">
        <v>0.18621499999999999</v>
      </c>
      <c r="DH30" s="43">
        <v>5.7010290000000001</v>
      </c>
      <c r="DI30" s="43">
        <v>7.7650540000000001</v>
      </c>
      <c r="DJ30" s="43">
        <v>15.192017</v>
      </c>
      <c r="DK30" s="43">
        <v>21.014917000000001</v>
      </c>
      <c r="DL30" s="43">
        <v>27.296185000000001</v>
      </c>
      <c r="DM30" s="43">
        <v>28.642254999999999</v>
      </c>
      <c r="DN30" s="43">
        <v>34.939998000000003</v>
      </c>
      <c r="DO30" s="43">
        <v>41.338295000000002</v>
      </c>
      <c r="DP30" s="43">
        <v>47.305233000000001</v>
      </c>
      <c r="DQ30" s="43">
        <v>53.549270999999997</v>
      </c>
      <c r="DR30" s="43">
        <v>56.112422000000002</v>
      </c>
      <c r="DS30" s="54">
        <v>70.893545000000003</v>
      </c>
      <c r="DT30" s="54">
        <v>70.893545000000003</v>
      </c>
      <c r="DU30" s="43">
        <v>0.13495599999999999</v>
      </c>
      <c r="DV30" s="103">
        <v>5.8985900000000004</v>
      </c>
      <c r="DW30" s="103">
        <v>12.345409999999999</v>
      </c>
      <c r="DX30" s="103">
        <v>18.875686000000002</v>
      </c>
      <c r="DY30" s="103">
        <v>25.692889999999998</v>
      </c>
      <c r="DZ30" s="969">
        <v>28.774816000000001</v>
      </c>
      <c r="EA30" s="969">
        <f>(+'AI_Mapa Cons. REC_2021'!$O$50)/1000000</f>
        <v>31.907708</v>
      </c>
      <c r="EB30" s="43"/>
      <c r="EC30" s="43"/>
      <c r="ED30" s="43"/>
      <c r="EE30" s="43"/>
      <c r="EF30" s="43"/>
      <c r="EG30" s="44">
        <f t="shared" si="3"/>
        <v>45.007917152400829</v>
      </c>
      <c r="EH30" s="44">
        <f t="shared" si="5"/>
        <v>11.400823713077068</v>
      </c>
      <c r="EI30" s="962">
        <f t="shared" si="4"/>
        <v>3.2654530000000008</v>
      </c>
    </row>
    <row r="31" spans="1:148" ht="15" customHeight="1">
      <c r="A31" s="79" t="s">
        <v>66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>
        <v>5.4681E-2</v>
      </c>
      <c r="BS31" s="41">
        <v>0.108755</v>
      </c>
      <c r="BT31" s="41"/>
      <c r="BU31" s="41">
        <v>0.216194</v>
      </c>
      <c r="BV31" s="41">
        <v>0.27043099999999998</v>
      </c>
      <c r="BW31" s="41"/>
      <c r="BX31" s="41">
        <v>0.384073</v>
      </c>
      <c r="BY31" s="41">
        <v>0.44089400000000001</v>
      </c>
      <c r="BZ31" s="41"/>
      <c r="CA31" s="41">
        <v>0.72418700000000003</v>
      </c>
      <c r="CB31" s="41"/>
      <c r="CC31" s="41"/>
      <c r="CD31" s="41">
        <v>1</v>
      </c>
      <c r="CE31" s="41">
        <v>5.4681E-2</v>
      </c>
      <c r="CF31" s="41">
        <v>0.108755</v>
      </c>
      <c r="CG31" s="41">
        <v>0.16303000000000001</v>
      </c>
      <c r="CH31" s="41">
        <v>0.216194</v>
      </c>
      <c r="CI31" s="41">
        <v>0.27043099999999998</v>
      </c>
      <c r="CJ31" s="41">
        <v>0.32725199999999999</v>
      </c>
      <c r="CK31" s="41">
        <v>0.384073</v>
      </c>
      <c r="CL31" s="41">
        <v>0.44089400000000001</v>
      </c>
      <c r="CM31" s="41">
        <v>0.49771500000000002</v>
      </c>
      <c r="CN31" s="41">
        <v>0.55453600000000003</v>
      </c>
      <c r="CO31" s="41">
        <v>0.61135700000000004</v>
      </c>
      <c r="CP31" s="41">
        <v>0.72418700000000003</v>
      </c>
      <c r="CQ31" s="41">
        <v>0.64671199999999995</v>
      </c>
      <c r="CR31" s="41">
        <v>0</v>
      </c>
      <c r="CS31" s="41">
        <v>0</v>
      </c>
      <c r="CT31" s="41">
        <v>5.6415E-2</v>
      </c>
      <c r="CU31" s="41">
        <v>0.11229500000000001</v>
      </c>
      <c r="CV31" s="41">
        <v>0.11229500000000001</v>
      </c>
      <c r="CW31" s="41">
        <v>0.16730999999999999</v>
      </c>
      <c r="CX31" s="41">
        <v>0.22232499999999999</v>
      </c>
      <c r="CY31" s="41">
        <v>0.27733999999999998</v>
      </c>
      <c r="CZ31" s="41">
        <v>0.33201799999999998</v>
      </c>
      <c r="DA31" s="41">
        <v>0.38781599999999999</v>
      </c>
      <c r="DB31" s="41">
        <v>0.44361400000000001</v>
      </c>
      <c r="DC31" s="41">
        <v>0.49873499999999998</v>
      </c>
      <c r="DD31" s="41">
        <v>0.60897699999999999</v>
      </c>
      <c r="DE31" s="54">
        <v>0</v>
      </c>
      <c r="DF31" s="43">
        <v>1.080873</v>
      </c>
      <c r="DG31" s="43">
        <v>0</v>
      </c>
      <c r="DH31" s="43">
        <v>5.4701E-2</v>
      </c>
      <c r="DI31" s="43">
        <v>0.108318</v>
      </c>
      <c r="DJ31" s="43">
        <v>0.161935</v>
      </c>
      <c r="DK31" s="43">
        <v>0.21481</v>
      </c>
      <c r="DL31" s="43">
        <v>0.26665899999999998</v>
      </c>
      <c r="DM31" s="43">
        <v>0.31850800000000001</v>
      </c>
      <c r="DN31" s="43">
        <v>0.37035699999999999</v>
      </c>
      <c r="DO31" s="43">
        <v>0.42220600000000003</v>
      </c>
      <c r="DP31" s="43">
        <v>0.474055</v>
      </c>
      <c r="DQ31" s="43">
        <v>0.52590400000000004</v>
      </c>
      <c r="DR31" s="43">
        <v>0.62999000000000005</v>
      </c>
      <c r="DS31" s="54">
        <v>0.45</v>
      </c>
      <c r="DT31" s="54">
        <v>0</v>
      </c>
      <c r="DU31" s="43">
        <v>0</v>
      </c>
      <c r="DV31" s="103">
        <v>5.0970000000000001E-2</v>
      </c>
      <c r="DW31" s="103">
        <v>0.101752</v>
      </c>
      <c r="DX31" s="103">
        <v>0.152534</v>
      </c>
      <c r="DY31" s="103">
        <v>0.203316</v>
      </c>
      <c r="DZ31" s="969">
        <v>0.25288300000000002</v>
      </c>
      <c r="EA31" s="969">
        <f>(+'AI_Mapa Cons. REC_2021'!$O$53)/1000000</f>
        <v>0.30245</v>
      </c>
      <c r="EB31" s="43"/>
      <c r="EC31" s="43"/>
      <c r="ED31" s="43"/>
      <c r="EE31" s="43"/>
      <c r="EF31" s="43"/>
      <c r="EG31" s="44" t="s">
        <v>75</v>
      </c>
      <c r="EH31" s="44">
        <f t="shared" si="5"/>
        <v>-5.0416316073693679</v>
      </c>
      <c r="EI31" s="962">
        <f t="shared" si="4"/>
        <v>-1.6058000000000017E-2</v>
      </c>
    </row>
    <row r="32" spans="1:148" s="4" customFormat="1" ht="15" customHeight="1">
      <c r="A32" s="100" t="s">
        <v>67</v>
      </c>
      <c r="B32" s="101">
        <v>4028.1454050000002</v>
      </c>
      <c r="C32" s="101">
        <v>9.7954939999999997</v>
      </c>
      <c r="D32" s="101">
        <v>56.947012999999998</v>
      </c>
      <c r="E32" s="101">
        <v>354.53372300000001</v>
      </c>
      <c r="F32" s="101">
        <v>411.161045</v>
      </c>
      <c r="G32" s="101">
        <v>461.40282300000001</v>
      </c>
      <c r="H32" s="101">
        <v>591.28627299999994</v>
      </c>
      <c r="I32" s="101">
        <v>627.77777700000001</v>
      </c>
      <c r="J32" s="101">
        <v>627.77777700000001</v>
      </c>
      <c r="K32" s="101">
        <v>632.22370000000001</v>
      </c>
      <c r="L32" s="101">
        <v>812.11598099999992</v>
      </c>
      <c r="M32" s="101">
        <v>1641.1628965242123</v>
      </c>
      <c r="N32" s="101">
        <v>4202.5369389999996</v>
      </c>
      <c r="O32" s="101">
        <v>5410.8082649999997</v>
      </c>
      <c r="P32" s="101">
        <v>86.085104999999999</v>
      </c>
      <c r="Q32" s="101">
        <v>208.86114099999998</v>
      </c>
      <c r="R32" s="101">
        <v>419.47438987418002</v>
      </c>
      <c r="S32" s="101">
        <v>409.30215599999997</v>
      </c>
      <c r="T32" s="101">
        <v>549.99223800000004</v>
      </c>
      <c r="U32" s="101">
        <v>896.36924916965006</v>
      </c>
      <c r="V32" s="101">
        <v>835.09152599999993</v>
      </c>
      <c r="W32" s="101">
        <v>924.70040199999994</v>
      </c>
      <c r="X32" s="101">
        <v>1204.8857980000002</v>
      </c>
      <c r="Y32" s="101">
        <v>1304.2632520000002</v>
      </c>
      <c r="Z32" s="101">
        <v>1459.045228</v>
      </c>
      <c r="AA32" s="101">
        <v>4023.5257009999996</v>
      </c>
      <c r="AB32" s="101">
        <v>5276.2712780000002</v>
      </c>
      <c r="AC32" s="101">
        <v>155.50397099999998</v>
      </c>
      <c r="AD32" s="101">
        <v>203.85251</v>
      </c>
      <c r="AE32" s="101">
        <v>225.81117399999999</v>
      </c>
      <c r="AF32" s="101">
        <v>342.07435399999997</v>
      </c>
      <c r="AG32" s="101">
        <v>363.28199499999999</v>
      </c>
      <c r="AH32" s="101">
        <v>479.96424199999996</v>
      </c>
      <c r="AI32" s="101">
        <v>499.55466999999999</v>
      </c>
      <c r="AJ32" s="101">
        <v>523.51880400000005</v>
      </c>
      <c r="AK32" s="101">
        <v>1139.3021870000002</v>
      </c>
      <c r="AL32" s="101">
        <v>713.89246000000003</v>
      </c>
      <c r="AM32" s="101">
        <v>747.27036899999996</v>
      </c>
      <c r="AN32" s="101">
        <v>2786.873388</v>
      </c>
      <c r="AO32" s="101">
        <v>4753.3278309999996</v>
      </c>
      <c r="AP32" s="101">
        <v>42</v>
      </c>
      <c r="AQ32" s="101">
        <v>57</v>
      </c>
      <c r="AR32" s="101">
        <v>636.72242320239502</v>
      </c>
      <c r="AS32" s="101">
        <v>461</v>
      </c>
      <c r="AT32" s="101">
        <v>595</v>
      </c>
      <c r="AU32" s="101">
        <v>1141.9522205792771</v>
      </c>
      <c r="AV32" s="101">
        <v>1175.432596437759</v>
      </c>
      <c r="AW32" s="101">
        <v>1363</v>
      </c>
      <c r="AX32" s="101">
        <v>1937.8693329999996</v>
      </c>
      <c r="AY32" s="101">
        <v>2034</v>
      </c>
      <c r="AZ32" s="101">
        <v>2097</v>
      </c>
      <c r="BA32" s="101">
        <v>3958.3748840000007</v>
      </c>
      <c r="BB32" s="101">
        <v>6332.2835949999999</v>
      </c>
      <c r="BC32" s="101">
        <v>3954.6425169999998</v>
      </c>
      <c r="BD32" s="101">
        <v>231.82896401184999</v>
      </c>
      <c r="BE32" s="101">
        <v>336.72895300000005</v>
      </c>
      <c r="BF32" s="101">
        <v>436.11961519711707</v>
      </c>
      <c r="BG32" s="101">
        <v>467.03001711000007</v>
      </c>
      <c r="BH32" s="101">
        <v>778.09559500000012</v>
      </c>
      <c r="BI32" s="101">
        <v>1090.6853188379314</v>
      </c>
      <c r="BJ32" s="101">
        <v>1344.1204500972801</v>
      </c>
      <c r="BK32" s="101">
        <v>1505.8227630407091</v>
      </c>
      <c r="BL32" s="101">
        <v>1975.0440161997999</v>
      </c>
      <c r="BM32" s="101">
        <v>2264.8916220000001</v>
      </c>
      <c r="BN32" s="101">
        <v>2300.9544529999998</v>
      </c>
      <c r="BO32" s="101">
        <v>4507.1991689999995</v>
      </c>
      <c r="BP32" s="101">
        <v>5507.3368379999993</v>
      </c>
      <c r="BQ32" s="101">
        <v>5507.3368380000002</v>
      </c>
      <c r="BR32" s="101">
        <v>16.190937999999999</v>
      </c>
      <c r="BS32" s="101">
        <v>46.998560000000005</v>
      </c>
      <c r="BT32" s="101">
        <v>1630.9472777671222</v>
      </c>
      <c r="BU32" s="101">
        <v>846.94148600000005</v>
      </c>
      <c r="BV32" s="101">
        <v>949.24792100000002</v>
      </c>
      <c r="BW32" s="101">
        <v>2340.0196940000001</v>
      </c>
      <c r="BX32" s="101">
        <v>1072.6275790000002</v>
      </c>
      <c r="BY32" s="101">
        <v>1125.16065</v>
      </c>
      <c r="BZ32" s="101">
        <v>4225.9497340000007</v>
      </c>
      <c r="CA32" s="101">
        <v>2240.9867639999998</v>
      </c>
      <c r="CB32" s="101">
        <v>4666.6355683169377</v>
      </c>
      <c r="CC32" s="101">
        <v>6389.3390239999999</v>
      </c>
      <c r="CD32" s="101">
        <v>3415.0120259999999</v>
      </c>
      <c r="CE32" s="101">
        <v>0.367199</v>
      </c>
      <c r="CF32" s="101">
        <v>32.774821000000003</v>
      </c>
      <c r="CG32" s="101">
        <v>824.65661757500004</v>
      </c>
      <c r="CH32" s="101">
        <v>1062.1729251499999</v>
      </c>
      <c r="CI32" s="101">
        <v>878.4785045750001</v>
      </c>
      <c r="CJ32" s="101">
        <v>1085.190257</v>
      </c>
      <c r="CK32" s="101">
        <v>1063.1594110000001</v>
      </c>
      <c r="CL32" s="101">
        <v>1073.2035989999997</v>
      </c>
      <c r="CM32" s="101">
        <v>1283.871236</v>
      </c>
      <c r="CN32" s="101">
        <v>1179.6631769999999</v>
      </c>
      <c r="CO32" s="101">
        <v>2134.7140569999997</v>
      </c>
      <c r="CP32" s="101">
        <v>2567.41284</v>
      </c>
      <c r="CQ32" s="101">
        <v>5478.8372580000005</v>
      </c>
      <c r="CR32" s="101">
        <v>5478.8372580000005</v>
      </c>
      <c r="CS32" s="101">
        <v>20.953474</v>
      </c>
      <c r="CT32" s="101">
        <v>53.011168000000005</v>
      </c>
      <c r="CU32" s="101">
        <v>357.48925200000002</v>
      </c>
      <c r="CV32" s="101">
        <v>352.09117900000001</v>
      </c>
      <c r="CW32" s="101">
        <v>716.0807309999999</v>
      </c>
      <c r="CX32" s="101">
        <v>928.24590899999987</v>
      </c>
      <c r="CY32" s="101">
        <v>865.72762399999999</v>
      </c>
      <c r="CZ32" s="101">
        <v>969.09313700000007</v>
      </c>
      <c r="DA32" s="101">
        <v>1225.0139029999998</v>
      </c>
      <c r="DB32" s="101">
        <v>1224.6069110000001</v>
      </c>
      <c r="DC32" s="101">
        <v>1310.0151719999999</v>
      </c>
      <c r="DD32" s="101">
        <v>6624.8619890000009</v>
      </c>
      <c r="DE32" s="25">
        <v>5959.476854999999</v>
      </c>
      <c r="DF32" s="25">
        <v>8559.4701960000002</v>
      </c>
      <c r="DG32" s="25">
        <v>14.134907999999999</v>
      </c>
      <c r="DH32" s="25">
        <v>33.433194</v>
      </c>
      <c r="DI32" s="25">
        <v>282.98698999999993</v>
      </c>
      <c r="DJ32" s="25">
        <v>766.46066299999995</v>
      </c>
      <c r="DK32" s="25">
        <v>796.18360999999993</v>
      </c>
      <c r="DL32" s="25">
        <v>1389.323989</v>
      </c>
      <c r="DM32" s="25">
        <v>1305.0264630000001</v>
      </c>
      <c r="DN32" s="25">
        <v>3062.9388410000001</v>
      </c>
      <c r="DO32" s="25">
        <v>3226.8529619999999</v>
      </c>
      <c r="DP32" s="25">
        <v>3295.5694010000002</v>
      </c>
      <c r="DQ32" s="25">
        <v>3668.7600270000003</v>
      </c>
      <c r="DR32" s="25">
        <f>+DR33++DR38+DR39</f>
        <v>5223.872378</v>
      </c>
      <c r="DS32" s="25">
        <f>+DS33+DS38+DS39</f>
        <v>4050.143724</v>
      </c>
      <c r="DT32" s="25">
        <f t="shared" ref="DT32" si="14">+DT33+DT38+DT39</f>
        <v>5250.3755090000004</v>
      </c>
      <c r="DU32" s="25">
        <v>29.768608999999998</v>
      </c>
      <c r="DV32" s="25">
        <v>109.76913399999999</v>
      </c>
      <c r="DW32" s="25">
        <v>164.30048799999997</v>
      </c>
      <c r="DX32" s="25">
        <v>461.67204300000003</v>
      </c>
      <c r="DY32" s="25">
        <v>571.07708100000002</v>
      </c>
      <c r="DZ32" s="25">
        <f>+DZ33+DZ38+DZ39</f>
        <v>689.59814800000004</v>
      </c>
      <c r="EA32" s="25">
        <f t="shared" ref="EA32:EF32" si="15">+EA33+EA38+EA39</f>
        <v>865.03493100000003</v>
      </c>
      <c r="EB32" s="25">
        <f t="shared" si="15"/>
        <v>0</v>
      </c>
      <c r="EC32" s="25">
        <f t="shared" si="15"/>
        <v>0</v>
      </c>
      <c r="ED32" s="25">
        <f t="shared" si="15"/>
        <v>0</v>
      </c>
      <c r="EE32" s="25">
        <f t="shared" si="15"/>
        <v>0</v>
      </c>
      <c r="EF32" s="25">
        <f t="shared" si="15"/>
        <v>0</v>
      </c>
      <c r="EG32" s="102">
        <f t="shared" si="3"/>
        <v>16.475677397115483</v>
      </c>
      <c r="EH32" s="102">
        <f>+(EA32/DM32-1)*100</f>
        <v>-33.71514252581099</v>
      </c>
      <c r="EI32" s="962">
        <f t="shared" si="4"/>
        <v>-439.99153200000012</v>
      </c>
    </row>
    <row r="33" spans="1:151" ht="15" customHeight="1">
      <c r="A33" s="79" t="s">
        <v>68</v>
      </c>
      <c r="B33" s="41">
        <v>4028.1454050000002</v>
      </c>
      <c r="C33" s="41">
        <v>9.7954939999999997</v>
      </c>
      <c r="D33" s="41">
        <v>56.947012999999998</v>
      </c>
      <c r="E33" s="41">
        <v>354.53372300000001</v>
      </c>
      <c r="F33" s="41">
        <v>411.161045</v>
      </c>
      <c r="G33" s="41">
        <v>461.40282300000001</v>
      </c>
      <c r="H33" s="41">
        <v>591.28627299999994</v>
      </c>
      <c r="I33" s="41">
        <v>627.77777700000001</v>
      </c>
      <c r="J33" s="41">
        <v>627.77777700000001</v>
      </c>
      <c r="K33" s="41">
        <v>632.22370000000001</v>
      </c>
      <c r="L33" s="41">
        <v>812.11598099999992</v>
      </c>
      <c r="M33" s="41">
        <v>1641.1628965242123</v>
      </c>
      <c r="N33" s="41">
        <v>4202.5369389999996</v>
      </c>
      <c r="O33" s="41">
        <v>5410.8082649999997</v>
      </c>
      <c r="P33" s="41">
        <v>86.085104999999999</v>
      </c>
      <c r="Q33" s="41">
        <v>208.86114099999998</v>
      </c>
      <c r="R33" s="41">
        <v>419.47438987418002</v>
      </c>
      <c r="S33" s="41">
        <v>409.30215599999997</v>
      </c>
      <c r="T33" s="41">
        <v>549.99223800000004</v>
      </c>
      <c r="U33" s="41">
        <v>896.36924916965006</v>
      </c>
      <c r="V33" s="41">
        <v>830.37174099999993</v>
      </c>
      <c r="W33" s="41">
        <v>924.70040199999994</v>
      </c>
      <c r="X33" s="41">
        <v>1204.8857980000002</v>
      </c>
      <c r="Y33" s="41">
        <v>1304.2632520000002</v>
      </c>
      <c r="Z33" s="41">
        <v>1459.045228</v>
      </c>
      <c r="AA33" s="41">
        <v>4023.5257009999996</v>
      </c>
      <c r="AB33" s="41">
        <v>5240.5251079999998</v>
      </c>
      <c r="AC33" s="41">
        <v>155.50397099999998</v>
      </c>
      <c r="AD33" s="41">
        <v>203.85251</v>
      </c>
      <c r="AE33" s="41">
        <v>225.81117399999999</v>
      </c>
      <c r="AF33" s="41">
        <v>342.07435399999997</v>
      </c>
      <c r="AG33" s="41">
        <v>363.28199499999999</v>
      </c>
      <c r="AH33" s="41">
        <v>469.01185199999998</v>
      </c>
      <c r="AI33" s="41">
        <v>499.55466999999999</v>
      </c>
      <c r="AJ33" s="41">
        <v>523.51880400000005</v>
      </c>
      <c r="AK33" s="41">
        <v>1139.3021870000002</v>
      </c>
      <c r="AL33" s="41">
        <v>713.89246000000003</v>
      </c>
      <c r="AM33" s="41">
        <v>747.27036899999996</v>
      </c>
      <c r="AN33" s="41">
        <v>2786.873388</v>
      </c>
      <c r="AO33" s="41">
        <v>4753.3278309999996</v>
      </c>
      <c r="AP33" s="41">
        <v>42</v>
      </c>
      <c r="AQ33" s="41">
        <v>57</v>
      </c>
      <c r="AR33" s="41">
        <v>636.72242320239502</v>
      </c>
      <c r="AS33" s="41">
        <v>461</v>
      </c>
      <c r="AT33" s="41">
        <v>595</v>
      </c>
      <c r="AU33" s="41">
        <v>1141.9522205792771</v>
      </c>
      <c r="AV33" s="41">
        <v>1175.432596437759</v>
      </c>
      <c r="AW33" s="41">
        <v>1363</v>
      </c>
      <c r="AX33" s="41">
        <v>1937.8693329999996</v>
      </c>
      <c r="AY33" s="41">
        <v>2034</v>
      </c>
      <c r="AZ33" s="41">
        <v>2097</v>
      </c>
      <c r="BA33" s="41">
        <v>3896.2497880000005</v>
      </c>
      <c r="BB33" s="41">
        <v>6332.2835949999999</v>
      </c>
      <c r="BC33" s="41">
        <v>3954.6425169999998</v>
      </c>
      <c r="BD33" s="41">
        <v>231.82896401184999</v>
      </c>
      <c r="BE33" s="41">
        <v>336.72895300000005</v>
      </c>
      <c r="BF33" s="41">
        <v>434.51961519711705</v>
      </c>
      <c r="BG33" s="41">
        <v>467.03001711000007</v>
      </c>
      <c r="BH33" s="41">
        <v>767.96291200000007</v>
      </c>
      <c r="BI33" s="41">
        <v>1076.6157148379316</v>
      </c>
      <c r="BJ33" s="41">
        <v>1337.2851690972802</v>
      </c>
      <c r="BK33" s="41">
        <v>1491.5320800407092</v>
      </c>
      <c r="BL33" s="41">
        <v>1892.3440461997998</v>
      </c>
      <c r="BM33" s="41">
        <v>2250.6009389999999</v>
      </c>
      <c r="BN33" s="41">
        <v>2286.1637699999997</v>
      </c>
      <c r="BO33" s="41">
        <v>4375.3033749999995</v>
      </c>
      <c r="BP33" s="41">
        <v>5507.3368379999993</v>
      </c>
      <c r="BQ33" s="41">
        <v>5507.3368380000002</v>
      </c>
      <c r="BR33" s="41">
        <v>16.190937999999999</v>
      </c>
      <c r="BS33" s="41">
        <v>44.574060000000003</v>
      </c>
      <c r="BT33" s="41">
        <v>1620.3242427671221</v>
      </c>
      <c r="BU33" s="41">
        <v>840.47728800000004</v>
      </c>
      <c r="BV33" s="41">
        <v>939.11523799999998</v>
      </c>
      <c r="BW33" s="41">
        <v>2237.099436</v>
      </c>
      <c r="BX33" s="41">
        <v>1053.7888680000001</v>
      </c>
      <c r="BY33" s="41">
        <v>1100.2277100000001</v>
      </c>
      <c r="BZ33" s="41">
        <v>4070.8132370000003</v>
      </c>
      <c r="CA33" s="41">
        <v>2201.7560549999998</v>
      </c>
      <c r="CB33" s="41">
        <v>4593.115597316938</v>
      </c>
      <c r="CC33" s="41">
        <v>6192.7290279999997</v>
      </c>
      <c r="CD33" s="41">
        <v>2871.884646</v>
      </c>
      <c r="CE33" s="41">
        <v>0.367199</v>
      </c>
      <c r="CF33" s="41">
        <v>30.350321000000001</v>
      </c>
      <c r="CG33" s="41">
        <v>801.80355057500003</v>
      </c>
      <c r="CH33" s="41">
        <v>1055.70872715</v>
      </c>
      <c r="CI33" s="41">
        <v>868.34582157500006</v>
      </c>
      <c r="CJ33" s="41">
        <v>982.72484099999997</v>
      </c>
      <c r="CK33" s="41">
        <v>1044.3207</v>
      </c>
      <c r="CL33" s="41">
        <v>1048.9360929999998</v>
      </c>
      <c r="CM33" s="41">
        <v>1115.071236</v>
      </c>
      <c r="CN33" s="41">
        <v>1140.432468</v>
      </c>
      <c r="CO33" s="41">
        <v>2095.4833479999998</v>
      </c>
      <c r="CP33" s="41">
        <v>2265.1355279999998</v>
      </c>
      <c r="CQ33" s="41">
        <v>5030.1942240000008</v>
      </c>
      <c r="CR33" s="41">
        <v>5030.1942240000008</v>
      </c>
      <c r="CS33" s="41">
        <v>14.083024999999999</v>
      </c>
      <c r="CT33" s="41">
        <v>46.140719000000004</v>
      </c>
      <c r="CU33" s="41">
        <v>301.817635</v>
      </c>
      <c r="CV33" s="41">
        <v>334.204926</v>
      </c>
      <c r="CW33" s="41">
        <v>689.96165499999995</v>
      </c>
      <c r="CX33" s="41">
        <v>803.43242399999986</v>
      </c>
      <c r="CY33" s="41">
        <v>834.796785</v>
      </c>
      <c r="CZ33" s="41">
        <v>935.36220400000002</v>
      </c>
      <c r="DA33" s="41">
        <v>1020.9183549999999</v>
      </c>
      <c r="DB33" s="41">
        <v>1179.306409</v>
      </c>
      <c r="DC33" s="41">
        <v>1249.6302229999999</v>
      </c>
      <c r="DD33" s="41">
        <v>6144.8570670000008</v>
      </c>
      <c r="DE33" s="43">
        <v>5534.9245419999997</v>
      </c>
      <c r="DF33" s="43">
        <v>7491.7331819999999</v>
      </c>
      <c r="DG33" s="43">
        <v>13.837512</v>
      </c>
      <c r="DH33" s="43">
        <v>32.383308</v>
      </c>
      <c r="DI33" s="43">
        <v>168.65605999999997</v>
      </c>
      <c r="DJ33" s="43">
        <v>761.02013799999997</v>
      </c>
      <c r="DK33" s="43">
        <v>786.84980899999994</v>
      </c>
      <c r="DL33" s="43">
        <v>1171.4053160000001</v>
      </c>
      <c r="DM33" s="43">
        <v>1286.6998100000001</v>
      </c>
      <c r="DN33" s="43">
        <v>2731.6047900000003</v>
      </c>
      <c r="DO33" s="43">
        <v>2848.7711169999998</v>
      </c>
      <c r="DP33" s="43">
        <v>2875.282588</v>
      </c>
      <c r="DQ33" s="43">
        <v>3184.9067599999998</v>
      </c>
      <c r="DR33" s="43">
        <v>4686.416757</v>
      </c>
      <c r="DS33" s="43">
        <f>+DS34+DS35+DS36</f>
        <v>3504.0235160000002</v>
      </c>
      <c r="DT33" s="43">
        <f>+DT34+DT35+DT36</f>
        <v>4524.8055199999999</v>
      </c>
      <c r="DU33" s="44">
        <v>1.274165</v>
      </c>
      <c r="DV33" s="44">
        <v>47.262677999999994</v>
      </c>
      <c r="DW33" s="44">
        <v>61.579017999999998</v>
      </c>
      <c r="DX33" s="44">
        <v>88.813856000000001</v>
      </c>
      <c r="DY33" s="44">
        <v>153.66910100000001</v>
      </c>
      <c r="DZ33" s="43">
        <f>+DZ34+DZ35+DZ36</f>
        <v>228.82706899999999</v>
      </c>
      <c r="EA33" s="43">
        <f>+EA34+EA35+EA36</f>
        <v>251.84291300000001</v>
      </c>
      <c r="EB33" s="43"/>
      <c r="EC33" s="43"/>
      <c r="ED33" s="43"/>
      <c r="EE33" s="43"/>
      <c r="EF33" s="43"/>
      <c r="EG33" s="44">
        <f t="shared" si="3"/>
        <v>5.5658284513408214</v>
      </c>
      <c r="EH33" s="44">
        <f t="shared" si="5"/>
        <v>-80.427220782755853</v>
      </c>
      <c r="EI33" s="962">
        <f t="shared" si="4"/>
        <v>-1034.8568970000001</v>
      </c>
    </row>
    <row r="34" spans="1:151" ht="15" customHeight="1">
      <c r="A34" s="104" t="s">
        <v>69</v>
      </c>
      <c r="B34" s="41">
        <v>1525.0775000000001</v>
      </c>
      <c r="C34" s="41">
        <v>0</v>
      </c>
      <c r="D34" s="41">
        <v>0</v>
      </c>
      <c r="E34" s="41">
        <v>55.129334999999998</v>
      </c>
      <c r="F34" s="41">
        <v>55.129334999999998</v>
      </c>
      <c r="G34" s="41">
        <v>55.129334999999998</v>
      </c>
      <c r="H34" s="41">
        <v>55.129334999999998</v>
      </c>
      <c r="I34" s="41">
        <v>55.129334999999998</v>
      </c>
      <c r="J34" s="41">
        <v>55.129334999999998</v>
      </c>
      <c r="K34" s="41">
        <v>55.129334999999998</v>
      </c>
      <c r="L34" s="41">
        <v>55.129334999999998</v>
      </c>
      <c r="M34" s="41">
        <v>518.24233500000003</v>
      </c>
      <c r="N34" s="41">
        <v>573.37483499999996</v>
      </c>
      <c r="O34" s="41">
        <v>1690.4749999999999</v>
      </c>
      <c r="P34" s="41">
        <v>0</v>
      </c>
      <c r="Q34" s="41">
        <v>55.129413</v>
      </c>
      <c r="R34" s="41">
        <v>55.129413</v>
      </c>
      <c r="S34" s="41">
        <v>55.129413</v>
      </c>
      <c r="T34" s="41">
        <v>55.129413</v>
      </c>
      <c r="U34" s="41">
        <v>165.39441299999999</v>
      </c>
      <c r="V34" s="41">
        <v>165.39441299999999</v>
      </c>
      <c r="W34" s="41">
        <v>165.39441299999999</v>
      </c>
      <c r="X34" s="41">
        <v>165.39441299999999</v>
      </c>
      <c r="Y34" s="41">
        <v>220.52382600000001</v>
      </c>
      <c r="Z34" s="41">
        <v>220.52382600000001</v>
      </c>
      <c r="AA34" s="41">
        <v>1199.1257009999999</v>
      </c>
      <c r="AB34" s="41">
        <v>1139.1500000000001</v>
      </c>
      <c r="AC34" s="41">
        <v>110.251239</v>
      </c>
      <c r="AD34" s="41">
        <v>110.251239</v>
      </c>
      <c r="AE34" s="41">
        <v>110.251239</v>
      </c>
      <c r="AF34" s="41">
        <v>110.251239</v>
      </c>
      <c r="AG34" s="41">
        <v>110.251239</v>
      </c>
      <c r="AH34" s="41">
        <v>165.38373899999999</v>
      </c>
      <c r="AI34" s="41">
        <v>165.38373899999999</v>
      </c>
      <c r="AJ34" s="41">
        <v>165.38373899999999</v>
      </c>
      <c r="AK34" s="41">
        <v>165.38373899999999</v>
      </c>
      <c r="AL34" s="41">
        <v>165.38373899999999</v>
      </c>
      <c r="AM34" s="41">
        <v>165.38373899999999</v>
      </c>
      <c r="AN34" s="41">
        <v>1041.2516000000001</v>
      </c>
      <c r="AO34" s="41">
        <v>1309.415</v>
      </c>
      <c r="AP34" s="41">
        <v>0</v>
      </c>
      <c r="AQ34" s="41">
        <v>0</v>
      </c>
      <c r="AR34" s="41">
        <v>110.25948699999999</v>
      </c>
      <c r="AS34" s="41">
        <v>110</v>
      </c>
      <c r="AT34" s="41">
        <v>110</v>
      </c>
      <c r="AU34" s="41">
        <v>110.25948699999999</v>
      </c>
      <c r="AV34" s="41">
        <v>110.25948699999999</v>
      </c>
      <c r="AW34" s="41">
        <v>221</v>
      </c>
      <c r="AX34" s="41">
        <v>220.51897399999999</v>
      </c>
      <c r="AY34" s="41">
        <v>221</v>
      </c>
      <c r="AZ34" s="41">
        <v>221</v>
      </c>
      <c r="BA34" s="41">
        <v>1281.508439</v>
      </c>
      <c r="BB34" s="41">
        <v>1139.4059999999999</v>
      </c>
      <c r="BC34" s="41">
        <v>1311.9573370000001</v>
      </c>
      <c r="BD34" s="41">
        <v>110.25948699999999</v>
      </c>
      <c r="BE34" s="41">
        <v>110.25948699999999</v>
      </c>
      <c r="BF34" s="41">
        <v>110.25948699999999</v>
      </c>
      <c r="BG34" s="41">
        <v>110.25948699999999</v>
      </c>
      <c r="BH34" s="41">
        <v>110.25948699999999</v>
      </c>
      <c r="BI34" s="41">
        <v>154.18035</v>
      </c>
      <c r="BJ34" s="41">
        <v>154.18035</v>
      </c>
      <c r="BK34" s="41">
        <v>154.18035</v>
      </c>
      <c r="BL34" s="41">
        <v>209.31285</v>
      </c>
      <c r="BM34" s="41">
        <v>319.572337</v>
      </c>
      <c r="BN34" s="41">
        <v>319.572337</v>
      </c>
      <c r="BO34" s="41">
        <v>1311.9573370000001</v>
      </c>
      <c r="BP34" s="41">
        <v>1139.405</v>
      </c>
      <c r="BQ34" s="41">
        <v>1174.405</v>
      </c>
      <c r="BR34" s="41">
        <v>0</v>
      </c>
      <c r="BS34" s="41">
        <v>0</v>
      </c>
      <c r="BT34" s="41">
        <v>882.11448700000005</v>
      </c>
      <c r="BU34" s="41">
        <v>220.52448699999999</v>
      </c>
      <c r="BV34" s="41">
        <v>220.52448699999999</v>
      </c>
      <c r="BW34" s="41">
        <v>882.11448700000005</v>
      </c>
      <c r="BX34" s="41">
        <v>220.52448699999999</v>
      </c>
      <c r="BY34" s="41">
        <v>220.52448699999999</v>
      </c>
      <c r="BZ34" s="41">
        <v>1819.3669870000001</v>
      </c>
      <c r="CA34" s="41">
        <v>1047.5119870000001</v>
      </c>
      <c r="CB34" s="41">
        <v>1866.317781</v>
      </c>
      <c r="CC34" s="41">
        <v>2701.4814740000002</v>
      </c>
      <c r="CD34" s="41">
        <v>1249.1400000000001</v>
      </c>
      <c r="CE34" s="41">
        <v>0</v>
      </c>
      <c r="CF34" s="41">
        <v>0</v>
      </c>
      <c r="CG34" s="41">
        <v>220.52448699999999</v>
      </c>
      <c r="CH34" s="41">
        <v>220.52448699999999</v>
      </c>
      <c r="CI34" s="41">
        <v>220.52448699999999</v>
      </c>
      <c r="CJ34" s="41">
        <v>220.52448699999999</v>
      </c>
      <c r="CK34" s="41">
        <v>220.52448699999999</v>
      </c>
      <c r="CL34" s="41">
        <v>220.52448699999999</v>
      </c>
      <c r="CM34" s="41">
        <v>220.52448699999999</v>
      </c>
      <c r="CN34" s="41">
        <v>220.52448699999999</v>
      </c>
      <c r="CO34" s="41">
        <v>1047.5119870000001</v>
      </c>
      <c r="CP34" s="41">
        <v>1102.644487</v>
      </c>
      <c r="CQ34" s="41">
        <v>2020</v>
      </c>
      <c r="CR34" s="41">
        <v>2020</v>
      </c>
      <c r="CS34" s="41">
        <v>0</v>
      </c>
      <c r="CT34" s="41">
        <v>0</v>
      </c>
      <c r="CU34" s="41">
        <v>220.52448699999999</v>
      </c>
      <c r="CV34" s="41">
        <v>220.52448699999999</v>
      </c>
      <c r="CW34" s="41">
        <v>220.52448699999999</v>
      </c>
      <c r="CX34" s="41">
        <v>220.52448699999999</v>
      </c>
      <c r="CY34" s="41">
        <v>220.52448699999999</v>
      </c>
      <c r="CZ34" s="41">
        <v>275.65698700000002</v>
      </c>
      <c r="DA34" s="41">
        <v>275.65698700000002</v>
      </c>
      <c r="DB34" s="41">
        <v>275.65698700000002</v>
      </c>
      <c r="DC34" s="41">
        <v>385.91647399999999</v>
      </c>
      <c r="DD34" s="41">
        <v>2005.776922</v>
      </c>
      <c r="DE34" s="43">
        <v>1800</v>
      </c>
      <c r="DF34" s="43">
        <v>1957.2037499999999</v>
      </c>
      <c r="DG34" s="43">
        <v>0</v>
      </c>
      <c r="DH34" s="43">
        <v>0</v>
      </c>
      <c r="DI34" s="43">
        <v>110.25948699999999</v>
      </c>
      <c r="DJ34" s="43">
        <v>660.26356399999997</v>
      </c>
      <c r="DK34" s="43">
        <v>660.26356399999997</v>
      </c>
      <c r="DL34" s="43">
        <v>880.788051</v>
      </c>
      <c r="DM34" s="43">
        <v>880.788051</v>
      </c>
      <c r="DN34" s="43">
        <v>2231.5343010000001</v>
      </c>
      <c r="DO34" s="43">
        <v>2286.6668009999999</v>
      </c>
      <c r="DP34" s="43">
        <v>2286.6668009999999</v>
      </c>
      <c r="DQ34" s="43">
        <v>2286.6668009999999</v>
      </c>
      <c r="DR34" s="43">
        <v>2286.6668009999999</v>
      </c>
      <c r="DS34" s="43">
        <v>1029.1400000000001</v>
      </c>
      <c r="DT34" s="43">
        <v>1029.1400000000001</v>
      </c>
      <c r="DU34" s="43">
        <v>0</v>
      </c>
      <c r="DV34" s="43">
        <v>0</v>
      </c>
      <c r="DW34" s="43">
        <v>0</v>
      </c>
      <c r="DX34" s="43">
        <v>0</v>
      </c>
      <c r="DY34" s="43">
        <v>0</v>
      </c>
      <c r="DZ34" s="43">
        <v>0</v>
      </c>
      <c r="EA34" s="43">
        <f>+'AI_Mapa Cons. REC_2021'!$O$62/1000000</f>
        <v>0</v>
      </c>
      <c r="EB34" s="43"/>
      <c r="EC34" s="43"/>
      <c r="ED34" s="43"/>
      <c r="EE34" s="43"/>
      <c r="EF34" s="43"/>
      <c r="EG34" s="44">
        <f t="shared" si="3"/>
        <v>0</v>
      </c>
      <c r="EH34" s="44">
        <f t="shared" si="5"/>
        <v>-100</v>
      </c>
      <c r="EI34" s="962">
        <f t="shared" si="4"/>
        <v>-880.788051</v>
      </c>
    </row>
    <row r="35" spans="1:151" ht="15" customHeight="1">
      <c r="A35" s="104" t="s">
        <v>70</v>
      </c>
      <c r="B35" s="41">
        <v>337.87134600000002</v>
      </c>
      <c r="C35" s="41">
        <v>0</v>
      </c>
      <c r="D35" s="41">
        <v>0</v>
      </c>
      <c r="E35" s="41">
        <v>10.606517999999999</v>
      </c>
      <c r="F35" s="41">
        <v>21.213045000000001</v>
      </c>
      <c r="G35" s="41">
        <v>71.454823000000005</v>
      </c>
      <c r="H35" s="41">
        <v>71.454823000000005</v>
      </c>
      <c r="I35" s="41">
        <v>107.946327</v>
      </c>
      <c r="J35" s="41">
        <v>107.946327</v>
      </c>
      <c r="K35" s="41">
        <v>139.71294700000001</v>
      </c>
      <c r="L35" s="41">
        <v>198.52130099999999</v>
      </c>
      <c r="M35" s="41">
        <v>230.39097100000001</v>
      </c>
      <c r="N35" s="41">
        <v>230.39097100000001</v>
      </c>
      <c r="O35" s="41">
        <v>209.827775</v>
      </c>
      <c r="P35" s="41">
        <v>31.766618000000001</v>
      </c>
      <c r="Q35" s="41">
        <v>67.628389999999996</v>
      </c>
      <c r="R35" s="41">
        <v>107.937493</v>
      </c>
      <c r="S35" s="41">
        <v>125.276258</v>
      </c>
      <c r="T35" s="41">
        <v>137.890139</v>
      </c>
      <c r="U35" s="41">
        <v>154.65060700000001</v>
      </c>
      <c r="V35" s="41">
        <v>160.85682399999999</v>
      </c>
      <c r="W35" s="41">
        <v>187.96618000000001</v>
      </c>
      <c r="X35" s="41">
        <v>219.400159</v>
      </c>
      <c r="Y35" s="41">
        <v>225.60637600000001</v>
      </c>
      <c r="Z35" s="41">
        <v>348.48217</v>
      </c>
      <c r="AA35" s="41">
        <v>328.7</v>
      </c>
      <c r="AB35" s="41">
        <v>224.26499999999999</v>
      </c>
      <c r="AC35" s="41">
        <v>9.9936310000000006</v>
      </c>
      <c r="AD35" s="41">
        <v>17.370685000000002</v>
      </c>
      <c r="AE35" s="41">
        <v>17.370685000000002</v>
      </c>
      <c r="AF35" s="41">
        <v>17.370685000000002</v>
      </c>
      <c r="AG35" s="41">
        <v>17.370685000000002</v>
      </c>
      <c r="AH35" s="41">
        <v>17.370685000000002</v>
      </c>
      <c r="AI35" s="41">
        <v>17.370685000000002</v>
      </c>
      <c r="AJ35" s="41">
        <v>17.370685000000002</v>
      </c>
      <c r="AK35" s="41">
        <v>17.370685000000002</v>
      </c>
      <c r="AL35" s="41">
        <v>17.370685000000002</v>
      </c>
      <c r="AM35" s="41">
        <v>17.370685000000002</v>
      </c>
      <c r="AN35" s="41">
        <v>17.370685000000002</v>
      </c>
      <c r="AO35" s="41">
        <v>53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/>
      <c r="AV35" s="41">
        <v>0</v>
      </c>
      <c r="AW35" s="41">
        <v>0</v>
      </c>
      <c r="AX35" s="41">
        <v>17.370685000000002</v>
      </c>
      <c r="AY35" s="41">
        <v>0</v>
      </c>
      <c r="AZ35" s="41">
        <v>0</v>
      </c>
      <c r="BA35" s="41">
        <v>0</v>
      </c>
      <c r="BB35" s="41">
        <v>310</v>
      </c>
      <c r="BC35" s="41">
        <v>57.294691999999998</v>
      </c>
      <c r="BD35" s="41">
        <v>13.095929</v>
      </c>
      <c r="BE35" s="41">
        <v>27.828849999999999</v>
      </c>
      <c r="BF35" s="41">
        <v>27.828849999999999</v>
      </c>
      <c r="BG35" s="41">
        <v>27.828849999999999</v>
      </c>
      <c r="BH35" s="41">
        <v>27.828849999999999</v>
      </c>
      <c r="BI35" s="41">
        <v>27.828849999999999</v>
      </c>
      <c r="BJ35" s="41">
        <v>27.828849999999999</v>
      </c>
      <c r="BK35" s="41">
        <v>27.828849999999999</v>
      </c>
      <c r="BL35" s="41">
        <v>27.828849999999999</v>
      </c>
      <c r="BM35" s="41">
        <v>57.294691999999998</v>
      </c>
      <c r="BN35" s="41">
        <v>57.294691999999998</v>
      </c>
      <c r="BO35" s="41">
        <v>59.694691999999996</v>
      </c>
      <c r="BP35" s="41">
        <v>299.088842</v>
      </c>
      <c r="BQ35" s="41">
        <v>264.088842</v>
      </c>
      <c r="BR35" s="41">
        <v>0</v>
      </c>
      <c r="BS35" s="41">
        <v>15.519147999999999</v>
      </c>
      <c r="BT35" s="41">
        <v>75.162750000000003</v>
      </c>
      <c r="BU35" s="41">
        <v>15.519147999999999</v>
      </c>
      <c r="BV35" s="41">
        <v>63.023300999999996</v>
      </c>
      <c r="BW35" s="41">
        <v>90.984682000000006</v>
      </c>
      <c r="BX35" s="41">
        <v>63.023300999999996</v>
      </c>
      <c r="BY35" s="41">
        <v>63.023300999999996</v>
      </c>
      <c r="BZ35" s="41">
        <v>223.822834</v>
      </c>
      <c r="CA35" s="41">
        <v>102.91647399999999</v>
      </c>
      <c r="CB35" s="41">
        <v>244.473106</v>
      </c>
      <c r="CC35" s="41">
        <v>283.17319900000001</v>
      </c>
      <c r="CD35" s="41">
        <v>453.01404700000001</v>
      </c>
      <c r="CE35" s="41">
        <v>0</v>
      </c>
      <c r="CF35" s="41">
        <v>15.519147999999999</v>
      </c>
      <c r="CG35" s="41">
        <v>15.519147999999999</v>
      </c>
      <c r="CH35" s="41">
        <v>15.519147999999999</v>
      </c>
      <c r="CI35" s="41">
        <v>63.023300999999996</v>
      </c>
      <c r="CJ35" s="41">
        <v>63.023301000000004</v>
      </c>
      <c r="CK35" s="41">
        <v>63.023300999999996</v>
      </c>
      <c r="CL35" s="41">
        <v>63.023300999999996</v>
      </c>
      <c r="CM35" s="41">
        <v>85.156598000000002</v>
      </c>
      <c r="CN35" s="41">
        <v>102.91647399999999</v>
      </c>
      <c r="CO35" s="41">
        <v>102.91647399999999</v>
      </c>
      <c r="CP35" s="41">
        <v>153.746296</v>
      </c>
      <c r="CQ35" s="41">
        <v>158.08237399999999</v>
      </c>
      <c r="CR35" s="41">
        <v>158.08237399999999</v>
      </c>
      <c r="CS35" s="41">
        <v>0</v>
      </c>
      <c r="CT35" s="41">
        <v>25.489846</v>
      </c>
      <c r="CU35" s="41">
        <v>48.260115999999996</v>
      </c>
      <c r="CV35" s="41">
        <v>78.336155000000005</v>
      </c>
      <c r="CW35" s="41">
        <v>83.731725999999995</v>
      </c>
      <c r="CX35" s="41">
        <v>136.06563</v>
      </c>
      <c r="CY35" s="41">
        <v>136.06563</v>
      </c>
      <c r="CZ35" s="41">
        <v>143.37139999999999</v>
      </c>
      <c r="DA35" s="41">
        <v>173.44743800000001</v>
      </c>
      <c r="DB35" s="41">
        <v>198.024236</v>
      </c>
      <c r="DC35" s="41">
        <v>218.88826900000001</v>
      </c>
      <c r="DD35" s="41">
        <v>231.075243</v>
      </c>
      <c r="DE35" s="43">
        <v>211.81119000000001</v>
      </c>
      <c r="DF35" s="43">
        <v>304.14888500000001</v>
      </c>
      <c r="DG35" s="43">
        <v>13.67761</v>
      </c>
      <c r="DH35" s="43">
        <v>28.176977000000001</v>
      </c>
      <c r="DI35" s="43">
        <v>31.362166999999999</v>
      </c>
      <c r="DJ35" s="43">
        <v>31.362166999999999</v>
      </c>
      <c r="DK35" s="43">
        <v>31.362166999999999</v>
      </c>
      <c r="DL35" s="43">
        <v>62.839424000000001</v>
      </c>
      <c r="DM35" s="43">
        <v>65.247121000000007</v>
      </c>
      <c r="DN35" s="43">
        <v>67.654818000000006</v>
      </c>
      <c r="DO35" s="43">
        <v>70.062515000000005</v>
      </c>
      <c r="DP35" s="43">
        <v>72.470212000000004</v>
      </c>
      <c r="DQ35" s="43">
        <v>80.136189000000002</v>
      </c>
      <c r="DR35" s="43">
        <v>106.206146</v>
      </c>
      <c r="DS35" s="43">
        <v>307.263172</v>
      </c>
      <c r="DT35" s="43">
        <v>321.06400100000002</v>
      </c>
      <c r="DU35" s="43">
        <v>0</v>
      </c>
      <c r="DV35" s="43">
        <v>26.069956999999999</v>
      </c>
      <c r="DW35" s="43">
        <v>28.477654000000001</v>
      </c>
      <c r="DX35" s="43">
        <v>36.296267</v>
      </c>
      <c r="DY35" s="43">
        <v>36.296267</v>
      </c>
      <c r="DZ35" s="43">
        <v>57.787951999999997</v>
      </c>
      <c r="EA35" s="43">
        <f>+'AI_Mapa Cons. REC_2021'!$O$63/1000000</f>
        <v>67.836101999999997</v>
      </c>
      <c r="EB35" s="43"/>
      <c r="EC35" s="43"/>
      <c r="ED35" s="43"/>
      <c r="EE35" s="43"/>
      <c r="EF35" s="43"/>
      <c r="EG35" s="44">
        <f t="shared" si="3"/>
        <v>21.12852944855689</v>
      </c>
      <c r="EH35" s="44">
        <f t="shared" si="5"/>
        <v>3.9679620500036927</v>
      </c>
      <c r="EI35" s="962">
        <f t="shared" si="4"/>
        <v>2.5889809999999898</v>
      </c>
    </row>
    <row r="36" spans="1:151" ht="15" customHeight="1">
      <c r="A36" s="104" t="s">
        <v>71</v>
      </c>
      <c r="B36" s="41">
        <v>2165.196559</v>
      </c>
      <c r="C36" s="41">
        <v>9.7954939999999997</v>
      </c>
      <c r="D36" s="41">
        <v>56.947012999999998</v>
      </c>
      <c r="E36" s="41">
        <v>288.79786999999999</v>
      </c>
      <c r="F36" s="41">
        <v>334.81866500000001</v>
      </c>
      <c r="G36" s="41">
        <v>334.81866500000001</v>
      </c>
      <c r="H36" s="41">
        <v>464.70211499999999</v>
      </c>
      <c r="I36" s="41">
        <v>464.70211499999999</v>
      </c>
      <c r="J36" s="41">
        <v>464.70211499999999</v>
      </c>
      <c r="K36" s="41">
        <v>437.381418</v>
      </c>
      <c r="L36" s="41">
        <v>558.46534499999996</v>
      </c>
      <c r="M36" s="41">
        <v>892.52959052421227</v>
      </c>
      <c r="N36" s="41">
        <v>3368.4609169999999</v>
      </c>
      <c r="O36" s="41">
        <v>3510.50549</v>
      </c>
      <c r="P36" s="41">
        <v>54.318486999999998</v>
      </c>
      <c r="Q36" s="41">
        <v>86.103337999999994</v>
      </c>
      <c r="R36" s="41">
        <v>254.38175787417998</v>
      </c>
      <c r="S36" s="41">
        <v>228.89648500000001</v>
      </c>
      <c r="T36" s="41">
        <v>356.97268600000001</v>
      </c>
      <c r="U36" s="41">
        <v>572.37039416965001</v>
      </c>
      <c r="V36" s="41">
        <v>504.12050399999998</v>
      </c>
      <c r="W36" s="41">
        <v>565.42387199999996</v>
      </c>
      <c r="X36" s="41">
        <v>813.72631400000012</v>
      </c>
      <c r="Y36" s="41">
        <v>851.28698799999995</v>
      </c>
      <c r="Z36" s="41">
        <v>882.58979499999998</v>
      </c>
      <c r="AA36" s="41">
        <v>2488.1999999999998</v>
      </c>
      <c r="AB36" s="41">
        <v>3877.1101079999994</v>
      </c>
      <c r="AC36" s="41">
        <v>35.259101000000001</v>
      </c>
      <c r="AD36" s="41">
        <v>76.230586000000002</v>
      </c>
      <c r="AE36" s="41">
        <v>98.189250000000001</v>
      </c>
      <c r="AF36" s="41">
        <v>214.45242999999999</v>
      </c>
      <c r="AG36" s="41">
        <v>235.66007099999999</v>
      </c>
      <c r="AH36" s="41">
        <v>286.257428</v>
      </c>
      <c r="AI36" s="41">
        <v>316.80024600000002</v>
      </c>
      <c r="AJ36" s="41">
        <v>340.76438000000002</v>
      </c>
      <c r="AK36" s="41">
        <v>891.12070600000004</v>
      </c>
      <c r="AL36" s="41">
        <v>531.13803600000006</v>
      </c>
      <c r="AM36" s="41">
        <v>564.51594499999999</v>
      </c>
      <c r="AN36" s="41">
        <v>1728.2511030000001</v>
      </c>
      <c r="AO36" s="41">
        <v>3390.9128309999996</v>
      </c>
      <c r="AP36" s="41">
        <v>41</v>
      </c>
      <c r="AQ36" s="41">
        <v>57</v>
      </c>
      <c r="AR36" s="41">
        <v>526.46293620239499</v>
      </c>
      <c r="AS36" s="41">
        <v>351</v>
      </c>
      <c r="AT36" s="41">
        <v>484</v>
      </c>
      <c r="AU36" s="41">
        <v>1031.692733579277</v>
      </c>
      <c r="AV36" s="41">
        <v>1065.173109437759</v>
      </c>
      <c r="AW36" s="41">
        <v>1142</v>
      </c>
      <c r="AX36" s="41">
        <v>1689.1265809999998</v>
      </c>
      <c r="AY36" s="41">
        <v>1802</v>
      </c>
      <c r="AZ36" s="41">
        <v>1866</v>
      </c>
      <c r="BA36" s="41">
        <v>2400.4190120000003</v>
      </c>
      <c r="BB36" s="41">
        <v>4882.8775949999999</v>
      </c>
      <c r="BC36" s="41">
        <v>2451.9603159999997</v>
      </c>
      <c r="BD36" s="41">
        <v>108.47354801185</v>
      </c>
      <c r="BE36" s="41">
        <v>198.64061600000002</v>
      </c>
      <c r="BF36" s="41">
        <v>291.99119919711706</v>
      </c>
      <c r="BG36" s="41">
        <v>307.32827811000004</v>
      </c>
      <c r="BH36" s="41">
        <v>587.55788500000006</v>
      </c>
      <c r="BI36" s="41">
        <v>893.0900508379317</v>
      </c>
      <c r="BJ36" s="41">
        <v>1153.6249550972802</v>
      </c>
      <c r="BK36" s="41">
        <v>1305.0969700407093</v>
      </c>
      <c r="BL36" s="41">
        <v>1650.7764361997999</v>
      </c>
      <c r="BM36" s="41">
        <v>1869.308</v>
      </c>
      <c r="BN36" s="41">
        <v>1896.7860800000001</v>
      </c>
      <c r="BO36" s="41">
        <v>2991.0061349999996</v>
      </c>
      <c r="BP36" s="41">
        <v>3729.506903</v>
      </c>
      <c r="BQ36" s="41">
        <v>3729.5069030000004</v>
      </c>
      <c r="BR36" s="41">
        <v>16.190937999999999</v>
      </c>
      <c r="BS36" s="41">
        <v>29.054912000000002</v>
      </c>
      <c r="BT36" s="41">
        <v>662.04700576712207</v>
      </c>
      <c r="BU36" s="41">
        <v>604.43365300000005</v>
      </c>
      <c r="BV36" s="41">
        <v>655.56745000000001</v>
      </c>
      <c r="BW36" s="41">
        <v>1263.9802670000001</v>
      </c>
      <c r="BX36" s="41">
        <v>770.24108000000001</v>
      </c>
      <c r="BY36" s="41">
        <v>816.67992200000003</v>
      </c>
      <c r="BZ36" s="41">
        <v>2027.6034160000002</v>
      </c>
      <c r="CA36" s="41">
        <v>1046.2855939999999</v>
      </c>
      <c r="CB36" s="41">
        <v>2482.3047103169374</v>
      </c>
      <c r="CC36" s="41">
        <v>3196.1543550000001</v>
      </c>
      <c r="CD36" s="41">
        <v>1169.730599</v>
      </c>
      <c r="CE36" s="41">
        <v>0.367199</v>
      </c>
      <c r="CF36" s="41">
        <v>14.831173</v>
      </c>
      <c r="CG36" s="41">
        <v>565.75991557500004</v>
      </c>
      <c r="CH36" s="41">
        <v>819.66509214999996</v>
      </c>
      <c r="CI36" s="41">
        <v>584.79803357500009</v>
      </c>
      <c r="CJ36" s="41">
        <v>699.177053</v>
      </c>
      <c r="CK36" s="41">
        <v>760.77291200000002</v>
      </c>
      <c r="CL36" s="41">
        <v>765.38830499999995</v>
      </c>
      <c r="CM36" s="41">
        <v>809.39015100000006</v>
      </c>
      <c r="CN36" s="41">
        <v>816.99150699999996</v>
      </c>
      <c r="CO36" s="41">
        <v>940.01288699999998</v>
      </c>
      <c r="CP36" s="41">
        <v>1003.702745</v>
      </c>
      <c r="CQ36" s="41">
        <v>2852.1118500000002</v>
      </c>
      <c r="CR36" s="41">
        <v>2852.1118500000002</v>
      </c>
      <c r="CS36" s="41">
        <v>14.083024999999999</v>
      </c>
      <c r="CT36" s="41">
        <v>20.650873000000001</v>
      </c>
      <c r="CU36" s="41">
        <v>33.033031999999999</v>
      </c>
      <c r="CV36" s="41">
        <v>35.344284000000002</v>
      </c>
      <c r="CW36" s="41">
        <v>382.12455999999997</v>
      </c>
      <c r="CX36" s="41">
        <v>443.26142499999997</v>
      </c>
      <c r="CY36" s="41">
        <v>474.62578600000001</v>
      </c>
      <c r="CZ36" s="41">
        <v>512.75293499999998</v>
      </c>
      <c r="DA36" s="41">
        <v>568.23304799999994</v>
      </c>
      <c r="DB36" s="41">
        <v>702.04430400000001</v>
      </c>
      <c r="DC36" s="41">
        <v>641.244598</v>
      </c>
      <c r="DD36" s="41">
        <v>3904.4240200000004</v>
      </c>
      <c r="DE36" s="43">
        <v>3523.1133519999998</v>
      </c>
      <c r="DF36" s="43">
        <v>5230.3805469999998</v>
      </c>
      <c r="DG36" s="43">
        <v>0.15990199999999999</v>
      </c>
      <c r="DH36" s="43">
        <v>4.2063309999999996</v>
      </c>
      <c r="DI36" s="43">
        <v>27.034406000000001</v>
      </c>
      <c r="DJ36" s="43">
        <v>69.394407000000001</v>
      </c>
      <c r="DK36" s="43">
        <v>95.224078000000006</v>
      </c>
      <c r="DL36" s="43">
        <v>227.777841</v>
      </c>
      <c r="DM36" s="43">
        <v>340.66463800000002</v>
      </c>
      <c r="DN36" s="43">
        <v>432.41567099999997</v>
      </c>
      <c r="DO36" s="43">
        <v>490.37721199999999</v>
      </c>
      <c r="DP36" s="43">
        <v>514.48098600000003</v>
      </c>
      <c r="DQ36" s="43">
        <v>816.43918099999996</v>
      </c>
      <c r="DR36" s="47">
        <v>2291.8792210000001</v>
      </c>
      <c r="DS36" s="43">
        <v>2167.6203439999999</v>
      </c>
      <c r="DT36" s="43">
        <v>3174.6015189999998</v>
      </c>
      <c r="DU36" s="43">
        <v>1.274165</v>
      </c>
      <c r="DV36" s="43">
        <v>21.192720999999999</v>
      </c>
      <c r="DW36" s="43">
        <v>33.101363999999997</v>
      </c>
      <c r="DX36" s="43">
        <v>52.517589000000001</v>
      </c>
      <c r="DY36" s="43">
        <v>117.372834</v>
      </c>
      <c r="DZ36" s="43">
        <v>171.039117</v>
      </c>
      <c r="EA36" s="43">
        <f>(+'AI_Mapa Cons. REC_2021'!$O$56+'AI_Mapa Cons. REC_2021'!$O$64)/1000000</f>
        <v>184.006811</v>
      </c>
      <c r="EB36" s="43"/>
      <c r="EC36" s="43"/>
      <c r="ED36" s="43"/>
      <c r="EE36" s="43"/>
      <c r="EF36" s="43"/>
      <c r="EG36" s="44">
        <f t="shared" si="3"/>
        <v>5.7962175693144058</v>
      </c>
      <c r="EH36" s="44">
        <f t="shared" si="5"/>
        <v>-45.985937348742375</v>
      </c>
      <c r="EI36" s="962">
        <f t="shared" si="4"/>
        <v>-156.65782700000003</v>
      </c>
    </row>
    <row r="37" spans="1:151" s="106" customFormat="1" ht="15" hidden="1" customHeight="1">
      <c r="A37" s="105" t="s">
        <v>72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30.310216</v>
      </c>
      <c r="O37" s="41">
        <v>0</v>
      </c>
      <c r="P37" s="41">
        <v>0</v>
      </c>
      <c r="Q37" s="41">
        <v>0</v>
      </c>
      <c r="R37" s="41">
        <v>2.0257260000000001</v>
      </c>
      <c r="S37" s="41">
        <v>2.5790600000000001</v>
      </c>
      <c r="T37" s="41">
        <v>2.88626</v>
      </c>
      <c r="U37" s="41">
        <v>3.9538349999999998</v>
      </c>
      <c r="V37" s="41">
        <v>4.7197849999999999</v>
      </c>
      <c r="W37" s="41">
        <v>5.9159369999999996</v>
      </c>
      <c r="X37" s="41">
        <v>6.3649120000000003</v>
      </c>
      <c r="Y37" s="41">
        <v>6.8460619999999999</v>
      </c>
      <c r="Z37" s="41">
        <v>7.4494369999999996</v>
      </c>
      <c r="AA37" s="41">
        <v>7.5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65.427056999999991</v>
      </c>
      <c r="AL37" s="41">
        <v>0</v>
      </c>
      <c r="AM37" s="41">
        <v>0</v>
      </c>
      <c r="AN37" s="41">
        <v>0</v>
      </c>
      <c r="AO37" s="41">
        <v>0</v>
      </c>
      <c r="AP37" s="41">
        <v>1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10.853092999999999</v>
      </c>
      <c r="AY37" s="41">
        <v>11</v>
      </c>
      <c r="AZ37" s="41">
        <v>11</v>
      </c>
      <c r="BA37" s="41">
        <v>214.322337</v>
      </c>
      <c r="BB37" s="41">
        <v>0</v>
      </c>
      <c r="BC37" s="41">
        <v>133.430172</v>
      </c>
      <c r="BD37" s="41">
        <v>0</v>
      </c>
      <c r="BE37" s="41">
        <v>0</v>
      </c>
      <c r="BF37" s="41">
        <v>4.4400789999999999</v>
      </c>
      <c r="BG37" s="41">
        <v>21.613402000000001</v>
      </c>
      <c r="BH37" s="41">
        <v>42.316690000000001</v>
      </c>
      <c r="BI37" s="41">
        <v>1.516464</v>
      </c>
      <c r="BJ37" s="41">
        <v>1.651014</v>
      </c>
      <c r="BK37" s="41">
        <v>4.42591</v>
      </c>
      <c r="BL37" s="41">
        <v>4.42591</v>
      </c>
      <c r="BM37" s="41">
        <v>4.42591</v>
      </c>
      <c r="BN37" s="41">
        <v>12.510661000000001</v>
      </c>
      <c r="BO37" s="41">
        <v>12.645211000000002</v>
      </c>
      <c r="BP37" s="41">
        <v>339.33609300000001</v>
      </c>
      <c r="BQ37" s="41">
        <v>339.33609300000001</v>
      </c>
      <c r="BR37" s="41">
        <v>0</v>
      </c>
      <c r="BS37" s="41">
        <v>0</v>
      </c>
      <c r="BT37" s="41">
        <v>1</v>
      </c>
      <c r="BU37" s="41">
        <v>0</v>
      </c>
      <c r="BV37" s="41">
        <v>0</v>
      </c>
      <c r="BW37" s="41">
        <v>0</v>
      </c>
      <c r="BX37" s="41">
        <v>0</v>
      </c>
      <c r="BY37" s="41">
        <v>0</v>
      </c>
      <c r="BZ37" s="41">
        <v>0.02</v>
      </c>
      <c r="CA37" s="41">
        <v>5.0419999999999998</v>
      </c>
      <c r="CB37" s="41">
        <v>0.02</v>
      </c>
      <c r="CC37" s="41">
        <v>11.92</v>
      </c>
      <c r="CD37" s="41">
        <v>0</v>
      </c>
      <c r="CE37" s="41">
        <v>0</v>
      </c>
      <c r="CF37" s="41">
        <v>0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5.0419999999999998</v>
      </c>
      <c r="CP37" s="41">
        <v>5.0419999999999998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3.5808819999999999</v>
      </c>
      <c r="CX37" s="41">
        <v>3.5808819999999999</v>
      </c>
      <c r="CY37" s="41">
        <v>3.5808819999999999</v>
      </c>
      <c r="CZ37" s="41">
        <v>3.5808819999999999</v>
      </c>
      <c r="DA37" s="41">
        <v>3.5808819999999999</v>
      </c>
      <c r="DB37" s="41">
        <v>3.5808819999999999</v>
      </c>
      <c r="DC37" s="41">
        <v>3.5808819999999999</v>
      </c>
      <c r="DD37" s="41">
        <v>3.5808819999999999</v>
      </c>
      <c r="DE37" s="43">
        <v>0</v>
      </c>
      <c r="DF37" s="43">
        <v>0</v>
      </c>
      <c r="DG37" s="43">
        <v>0</v>
      </c>
      <c r="DH37" s="43">
        <v>0</v>
      </c>
      <c r="DI37" s="43">
        <v>0</v>
      </c>
      <c r="DJ37" s="43">
        <v>0</v>
      </c>
      <c r="DK37" s="43">
        <v>0</v>
      </c>
      <c r="DL37" s="43">
        <v>0</v>
      </c>
      <c r="DM37" s="43">
        <v>0</v>
      </c>
      <c r="DN37" s="43">
        <v>0</v>
      </c>
      <c r="DO37" s="43">
        <v>1.6645890000000001</v>
      </c>
      <c r="DP37" s="43">
        <v>1.6645890000000001</v>
      </c>
      <c r="DQ37" s="43">
        <v>1.6645890000000001</v>
      </c>
      <c r="DR37" s="47">
        <v>1.6645890000000001</v>
      </c>
      <c r="DS37" s="43">
        <v>0</v>
      </c>
      <c r="DT37" s="43"/>
      <c r="DU37" s="43"/>
      <c r="DV37" s="43">
        <v>45.167358</v>
      </c>
      <c r="DW37" s="43">
        <v>0</v>
      </c>
      <c r="DX37" s="43"/>
      <c r="DY37" s="43"/>
      <c r="DZ37" s="43"/>
      <c r="EA37" s="43"/>
      <c r="EB37" s="43"/>
      <c r="EC37" s="43"/>
      <c r="ED37" s="43"/>
      <c r="EE37" s="43"/>
      <c r="EF37" s="43"/>
      <c r="EG37" s="44" t="e">
        <f t="shared" si="3"/>
        <v>#DIV/0!</v>
      </c>
      <c r="EH37" s="44" t="e">
        <f t="shared" si="5"/>
        <v>#DIV/0!</v>
      </c>
      <c r="EI37" s="962">
        <f t="shared" si="4"/>
        <v>0</v>
      </c>
    </row>
    <row r="38" spans="1:151" ht="15" customHeight="1">
      <c r="A38" s="79" t="s">
        <v>73</v>
      </c>
      <c r="B38" s="41"/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/>
      <c r="AS38" s="41"/>
      <c r="AT38" s="41"/>
      <c r="AU38" s="41"/>
      <c r="AV38" s="41"/>
      <c r="AW38" s="41"/>
      <c r="AX38" s="41">
        <v>0</v>
      </c>
      <c r="AY38" s="41">
        <v>0</v>
      </c>
      <c r="AZ38" s="41">
        <v>0</v>
      </c>
      <c r="BA38" s="41">
        <v>62.125095999999999</v>
      </c>
      <c r="BB38" s="41">
        <v>0</v>
      </c>
      <c r="BC38" s="41">
        <v>0</v>
      </c>
      <c r="BD38" s="41">
        <v>0</v>
      </c>
      <c r="BE38" s="41">
        <v>0</v>
      </c>
      <c r="BF38" s="41">
        <v>1.6</v>
      </c>
      <c r="BG38" s="41">
        <v>0</v>
      </c>
      <c r="BH38" s="41">
        <v>10.132683</v>
      </c>
      <c r="BI38" s="41">
        <v>6.8352810000000002</v>
      </c>
      <c r="BJ38" s="41">
        <v>6.8352810000000002</v>
      </c>
      <c r="BK38" s="41">
        <v>14.290683</v>
      </c>
      <c r="BL38" s="41">
        <v>82.699970000000008</v>
      </c>
      <c r="BM38" s="41">
        <v>14.290683</v>
      </c>
      <c r="BN38" s="41">
        <v>14.790683</v>
      </c>
      <c r="BO38" s="41">
        <v>38.028933000000002</v>
      </c>
      <c r="BP38" s="41">
        <v>0</v>
      </c>
      <c r="BQ38" s="41">
        <v>0</v>
      </c>
      <c r="BR38" s="41">
        <v>0</v>
      </c>
      <c r="BS38" s="41">
        <v>2.4245000000000001</v>
      </c>
      <c r="BT38" s="41">
        <v>10.623035</v>
      </c>
      <c r="BU38" s="41">
        <v>6.4641979999999997</v>
      </c>
      <c r="BV38" s="41">
        <v>10.132683</v>
      </c>
      <c r="BW38" s="41">
        <v>29.940031000000001</v>
      </c>
      <c r="BX38" s="41">
        <v>18.838711</v>
      </c>
      <c r="BY38" s="41">
        <v>24.932939999999999</v>
      </c>
      <c r="BZ38" s="41">
        <v>58.345874999999999</v>
      </c>
      <c r="CA38" s="41">
        <v>39.230708999999997</v>
      </c>
      <c r="CB38" s="41">
        <v>73.519970999999998</v>
      </c>
      <c r="CC38" s="41">
        <v>78.390020000000007</v>
      </c>
      <c r="CD38" s="41">
        <v>52.986386000000003</v>
      </c>
      <c r="CE38" s="41">
        <v>0</v>
      </c>
      <c r="CF38" s="41">
        <v>2.4245000000000001</v>
      </c>
      <c r="CG38" s="41">
        <v>3.5071590000000001</v>
      </c>
      <c r="CH38" s="41">
        <v>6.4641979999999997</v>
      </c>
      <c r="CI38" s="41">
        <v>10.132683</v>
      </c>
      <c r="CJ38" s="41">
        <v>12.428694</v>
      </c>
      <c r="CK38" s="41">
        <v>18.838711</v>
      </c>
      <c r="CL38" s="41">
        <v>24.267506000000001</v>
      </c>
      <c r="CM38" s="41">
        <v>28.006153000000001</v>
      </c>
      <c r="CN38" s="41">
        <v>39.230708999999997</v>
      </c>
      <c r="CO38" s="41">
        <v>39.230708999999997</v>
      </c>
      <c r="CP38" s="41">
        <v>39.230708999999997</v>
      </c>
      <c r="CQ38" s="41">
        <v>0</v>
      </c>
      <c r="CR38" s="41">
        <v>0</v>
      </c>
      <c r="CS38" s="41">
        <v>6.8704489999999998</v>
      </c>
      <c r="CT38" s="41">
        <v>6.8704489999999998</v>
      </c>
      <c r="CU38" s="41">
        <v>17.886253</v>
      </c>
      <c r="CV38" s="41">
        <v>17.886253</v>
      </c>
      <c r="CW38" s="41">
        <v>26.119076</v>
      </c>
      <c r="CX38" s="41">
        <v>30.930838999999999</v>
      </c>
      <c r="CY38" s="41">
        <v>30.930838999999999</v>
      </c>
      <c r="CZ38" s="41">
        <v>33.730933</v>
      </c>
      <c r="DA38" s="41">
        <v>41.917382000000003</v>
      </c>
      <c r="DB38" s="41">
        <v>45.300502000000002</v>
      </c>
      <c r="DC38" s="41">
        <v>60.384948999999999</v>
      </c>
      <c r="DD38" s="41">
        <v>131.31111100000001</v>
      </c>
      <c r="DE38" s="43">
        <v>1.4</v>
      </c>
      <c r="DF38" s="43">
        <v>603.82294100000001</v>
      </c>
      <c r="DG38" s="43">
        <v>0.29739599999999999</v>
      </c>
      <c r="DH38" s="43">
        <v>1.0498860000000001</v>
      </c>
      <c r="DI38" s="43">
        <v>2.5044740000000001</v>
      </c>
      <c r="DJ38" s="43">
        <v>5.4405250000000001</v>
      </c>
      <c r="DK38" s="43">
        <v>9.3338009999999993</v>
      </c>
      <c r="DL38" s="43">
        <v>10.103453</v>
      </c>
      <c r="DM38" s="43">
        <v>18.326653</v>
      </c>
      <c r="DN38" s="43">
        <v>58.470435999999999</v>
      </c>
      <c r="DO38" s="43">
        <v>66.668691999999993</v>
      </c>
      <c r="DP38" s="43">
        <v>76.275946000000005</v>
      </c>
      <c r="DQ38" s="43">
        <v>92.028368</v>
      </c>
      <c r="DR38" s="47">
        <v>119.670222</v>
      </c>
      <c r="DS38" s="43">
        <v>50.971209000000002</v>
      </c>
      <c r="DT38" s="43">
        <v>217.91378900000001</v>
      </c>
      <c r="DU38" s="43">
        <v>2.788694</v>
      </c>
      <c r="DV38" s="43">
        <v>5.5677060000000003</v>
      </c>
      <c r="DW38" s="43">
        <v>5.5677060000000003</v>
      </c>
      <c r="DX38" s="43">
        <v>224.49940100000001</v>
      </c>
      <c r="DY38" s="43">
        <v>237.09381500000001</v>
      </c>
      <c r="DZ38" s="43">
        <v>248.312814</v>
      </c>
      <c r="EA38" s="43">
        <f>+'AI_Mapa Cons. REC_2021'!$O$66/1000000</f>
        <v>362.79919799999999</v>
      </c>
      <c r="EB38" s="43"/>
      <c r="EC38" s="43"/>
      <c r="ED38" s="43"/>
      <c r="EE38" s="43"/>
      <c r="EF38" s="43"/>
      <c r="EG38" s="44">
        <f t="shared" si="3"/>
        <v>166.48749015143781</v>
      </c>
      <c r="EH38" s="44">
        <f t="shared" si="5"/>
        <v>1879.62605610528</v>
      </c>
      <c r="EI38" s="962">
        <f t="shared" si="4"/>
        <v>344.47254499999997</v>
      </c>
      <c r="EU38" s="45"/>
    </row>
    <row r="39" spans="1:151" ht="15" customHeight="1">
      <c r="A39" s="79" t="s">
        <v>74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10.952390000000001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>
        <v>7.2343229999999998</v>
      </c>
      <c r="BJ39" s="41"/>
      <c r="BK39" s="41"/>
      <c r="BL39" s="41"/>
      <c r="BM39" s="41"/>
      <c r="BN39" s="41"/>
      <c r="BO39" s="41">
        <v>93.866861</v>
      </c>
      <c r="BP39" s="41"/>
      <c r="BQ39" s="41"/>
      <c r="BR39" s="41"/>
      <c r="BS39" s="41"/>
      <c r="BT39" s="41">
        <v>0</v>
      </c>
      <c r="BU39" s="41">
        <v>0</v>
      </c>
      <c r="BV39" s="41">
        <v>0</v>
      </c>
      <c r="BW39" s="41">
        <v>72.980226999999999</v>
      </c>
      <c r="BX39" s="41"/>
      <c r="BY39" s="41">
        <v>0</v>
      </c>
      <c r="BZ39" s="41">
        <v>96.790622000000013</v>
      </c>
      <c r="CA39" s="41">
        <v>0</v>
      </c>
      <c r="CB39" s="41"/>
      <c r="CC39" s="41">
        <v>118.219976</v>
      </c>
      <c r="CD39" s="41">
        <v>490.14099399999998</v>
      </c>
      <c r="CE39" s="41">
        <v>0</v>
      </c>
      <c r="CF39" s="41">
        <v>0</v>
      </c>
      <c r="CG39" s="41">
        <v>19.345908000000001</v>
      </c>
      <c r="CH39" s="41">
        <v>0</v>
      </c>
      <c r="CI39" s="41">
        <v>0</v>
      </c>
      <c r="CJ39" s="41">
        <v>90.036721999999997</v>
      </c>
      <c r="CK39" s="41">
        <v>0</v>
      </c>
      <c r="CL39" s="41">
        <v>0</v>
      </c>
      <c r="CM39" s="41">
        <v>140.793847</v>
      </c>
      <c r="CN39" s="41">
        <v>0</v>
      </c>
      <c r="CO39" s="41">
        <v>0</v>
      </c>
      <c r="CP39" s="41">
        <v>263.046603</v>
      </c>
      <c r="CQ39" s="41">
        <v>448.643034</v>
      </c>
      <c r="CR39" s="41">
        <v>448.643034</v>
      </c>
      <c r="CS39" s="41"/>
      <c r="CT39" s="41">
        <v>0</v>
      </c>
      <c r="CU39" s="41">
        <v>37.785364000000001</v>
      </c>
      <c r="CV39" s="41"/>
      <c r="CW39" s="41"/>
      <c r="CX39" s="41">
        <v>93.882645999999994</v>
      </c>
      <c r="CY39" s="41"/>
      <c r="CZ39" s="41"/>
      <c r="DA39" s="41">
        <v>162.178166</v>
      </c>
      <c r="DB39" s="41"/>
      <c r="DC39" s="41"/>
      <c r="DD39" s="41">
        <v>348.69381099999998</v>
      </c>
      <c r="DE39" s="43">
        <v>423.15231299999999</v>
      </c>
      <c r="DF39" s="43">
        <v>463.91407299999997</v>
      </c>
      <c r="DG39" s="43">
        <v>0</v>
      </c>
      <c r="DH39" s="43">
        <v>0</v>
      </c>
      <c r="DI39" s="43">
        <v>111.82645599999999</v>
      </c>
      <c r="DJ39" s="43">
        <v>0</v>
      </c>
      <c r="DK39" s="43">
        <v>0</v>
      </c>
      <c r="DL39" s="43">
        <v>207.81522000000001</v>
      </c>
      <c r="DM39" s="43"/>
      <c r="DN39" s="43">
        <v>272.86361499999998</v>
      </c>
      <c r="DO39" s="43">
        <v>311.41315300000002</v>
      </c>
      <c r="DP39" s="43">
        <v>344.01086700000002</v>
      </c>
      <c r="DQ39" s="43">
        <v>391.82489900000002</v>
      </c>
      <c r="DR39" s="47">
        <v>417.78539899999998</v>
      </c>
      <c r="DS39" s="43">
        <v>495.148999</v>
      </c>
      <c r="DT39" s="43">
        <v>507.65620000000001</v>
      </c>
      <c r="DU39" s="43">
        <v>25.705749999999998</v>
      </c>
      <c r="DV39" s="43">
        <v>56.938749999999999</v>
      </c>
      <c r="DW39" s="43">
        <v>97.153763999999995</v>
      </c>
      <c r="DX39" s="43">
        <v>148.35878600000001</v>
      </c>
      <c r="DY39" s="43">
        <v>180.314165</v>
      </c>
      <c r="DZ39" s="43">
        <v>212.45826500000001</v>
      </c>
      <c r="EA39" s="43">
        <f>+'AI_Mapa Cons. REC_2021'!$O$69/1000000</f>
        <v>250.39282</v>
      </c>
      <c r="EB39" s="43"/>
      <c r="EC39" s="43"/>
      <c r="ED39" s="43"/>
      <c r="EE39" s="43"/>
      <c r="EF39" s="43"/>
      <c r="EG39" s="44">
        <f t="shared" si="3"/>
        <v>49.323305812083056</v>
      </c>
      <c r="EH39" s="44" t="s">
        <v>75</v>
      </c>
      <c r="EI39" s="962">
        <f t="shared" si="4"/>
        <v>250.39282</v>
      </c>
    </row>
    <row r="40" spans="1:151" s="4" customFormat="1" ht="15" customHeight="1">
      <c r="A40" s="100" t="s">
        <v>76</v>
      </c>
      <c r="B40" s="101">
        <v>4604.3937029999997</v>
      </c>
      <c r="C40" s="101">
        <v>252.31898099999998</v>
      </c>
      <c r="D40" s="101">
        <v>505.96287299999995</v>
      </c>
      <c r="E40" s="101">
        <v>954.8515809999999</v>
      </c>
      <c r="F40" s="101">
        <v>1239.091858</v>
      </c>
      <c r="G40" s="101">
        <v>1478.5246560000003</v>
      </c>
      <c r="H40" s="101">
        <v>2126.1790309999997</v>
      </c>
      <c r="I40" s="101">
        <v>2351.5486849999998</v>
      </c>
      <c r="J40" s="101">
        <v>2668.3603670000002</v>
      </c>
      <c r="K40" s="101">
        <v>3401.3340000000007</v>
      </c>
      <c r="L40" s="101">
        <v>3609.2206139999998</v>
      </c>
      <c r="M40" s="101">
        <v>3826.9305989999998</v>
      </c>
      <c r="N40" s="101">
        <v>4871.5754040000002</v>
      </c>
      <c r="O40" s="101">
        <v>5667.4217950000002</v>
      </c>
      <c r="P40" s="101">
        <v>738.06199200000003</v>
      </c>
      <c r="Q40" s="101">
        <v>1042.816515</v>
      </c>
      <c r="R40" s="101">
        <v>1553.4245469999998</v>
      </c>
      <c r="S40" s="101">
        <v>1707.3304479999997</v>
      </c>
      <c r="T40" s="101">
        <v>2091.3448450000001</v>
      </c>
      <c r="U40" s="101">
        <v>2688.9622859999999</v>
      </c>
      <c r="V40" s="101">
        <v>2709.1624669999997</v>
      </c>
      <c r="W40" s="101">
        <v>3236.3979839999997</v>
      </c>
      <c r="X40" s="101">
        <v>4103.0560840000007</v>
      </c>
      <c r="Y40" s="101">
        <v>4009.9071529999997</v>
      </c>
      <c r="Z40" s="101">
        <v>4569.7028190000001</v>
      </c>
      <c r="AA40" s="101">
        <v>5550.1651399999992</v>
      </c>
      <c r="AB40" s="101">
        <v>6637.0448300000007</v>
      </c>
      <c r="AC40" s="101">
        <v>308.79689200000001</v>
      </c>
      <c r="AD40" s="101">
        <v>645.82052499999986</v>
      </c>
      <c r="AE40" s="101">
        <v>1245.4801189999998</v>
      </c>
      <c r="AF40" s="101">
        <v>1385.015052</v>
      </c>
      <c r="AG40" s="101">
        <v>1754.7058939999999</v>
      </c>
      <c r="AH40" s="101">
        <v>2398.535644</v>
      </c>
      <c r="AI40" s="101">
        <v>2447.3885269999996</v>
      </c>
      <c r="AJ40" s="101">
        <v>2791.7315509999999</v>
      </c>
      <c r="AK40" s="101">
        <v>3954.191464</v>
      </c>
      <c r="AL40" s="101">
        <v>3610.4701989999999</v>
      </c>
      <c r="AM40" s="101">
        <v>4011.0584430000004</v>
      </c>
      <c r="AN40" s="101">
        <v>5424.2314500000011</v>
      </c>
      <c r="AO40" s="101">
        <v>6810.5658320000002</v>
      </c>
      <c r="AP40" s="101">
        <v>316</v>
      </c>
      <c r="AQ40" s="101">
        <v>648.90473099999997</v>
      </c>
      <c r="AR40" s="101">
        <v>1246.5665170000002</v>
      </c>
      <c r="AS40" s="101">
        <v>2155</v>
      </c>
      <c r="AT40" s="101">
        <v>2524</v>
      </c>
      <c r="AU40" s="101">
        <v>3277.9231920000002</v>
      </c>
      <c r="AV40" s="101">
        <v>3492.5087510000003</v>
      </c>
      <c r="AW40" s="101">
        <v>3847</v>
      </c>
      <c r="AX40" s="101">
        <v>4776.1827551600009</v>
      </c>
      <c r="AY40" s="101">
        <v>4664</v>
      </c>
      <c r="AZ40" s="101">
        <v>5127</v>
      </c>
      <c r="BA40" s="101">
        <v>8157.1396883999996</v>
      </c>
      <c r="BB40" s="101">
        <v>8877.2646679999998</v>
      </c>
      <c r="BC40" s="101">
        <v>6905.7199813999996</v>
      </c>
      <c r="BD40" s="101">
        <v>444.61133599999999</v>
      </c>
      <c r="BE40" s="101">
        <v>792.28481600000009</v>
      </c>
      <c r="BF40" s="101">
        <v>1454.3769320000001</v>
      </c>
      <c r="BG40" s="101">
        <v>1648.1374410000001</v>
      </c>
      <c r="BH40" s="101">
        <v>2165.611484</v>
      </c>
      <c r="BI40" s="101">
        <v>2843.779239</v>
      </c>
      <c r="BJ40" s="101">
        <v>2834.6822830000001</v>
      </c>
      <c r="BK40" s="101">
        <v>3254.5366190000004</v>
      </c>
      <c r="BL40" s="101">
        <v>4138.9324530000004</v>
      </c>
      <c r="BM40" s="101">
        <v>4548.5148489999992</v>
      </c>
      <c r="BN40" s="101">
        <v>5037.6394459999992</v>
      </c>
      <c r="BO40" s="101">
        <v>7269.6706409999997</v>
      </c>
      <c r="BP40" s="101">
        <v>7563.7349460000005</v>
      </c>
      <c r="BQ40" s="101">
        <v>8650.1567840000007</v>
      </c>
      <c r="BR40" s="101">
        <v>522.65591099999995</v>
      </c>
      <c r="BS40" s="101">
        <v>1052.897498</v>
      </c>
      <c r="BT40" s="101">
        <v>1560.078131</v>
      </c>
      <c r="BU40" s="101">
        <v>2156.4982570000002</v>
      </c>
      <c r="BV40" s="101">
        <v>2636.7700279999999</v>
      </c>
      <c r="BW40" s="101">
        <v>2961.7256750000001</v>
      </c>
      <c r="BX40" s="101">
        <v>3668.4085530000002</v>
      </c>
      <c r="BY40" s="101">
        <v>4712.4302920000009</v>
      </c>
      <c r="BZ40" s="101">
        <v>4697.0592729999998</v>
      </c>
      <c r="CA40" s="101">
        <v>7948.2460769999998</v>
      </c>
      <c r="CB40" s="101">
        <v>5583.4027370000003</v>
      </c>
      <c r="CC40" s="101">
        <v>7212.7045360000002</v>
      </c>
      <c r="CD40" s="101">
        <v>8752.6365930000011</v>
      </c>
      <c r="CE40" s="101">
        <v>521.98756100000003</v>
      </c>
      <c r="CF40" s="101">
        <v>1046.8809410000001</v>
      </c>
      <c r="CG40" s="101">
        <v>1849.9459272999998</v>
      </c>
      <c r="CH40" s="101">
        <v>2153.9548860000004</v>
      </c>
      <c r="CI40" s="101">
        <v>2632.330974</v>
      </c>
      <c r="CJ40" s="101">
        <v>3601.9421129999996</v>
      </c>
      <c r="CK40" s="101">
        <v>3667.3496270000001</v>
      </c>
      <c r="CL40" s="101">
        <v>4704.1617960000003</v>
      </c>
      <c r="CM40" s="101">
        <v>5764.4216972499999</v>
      </c>
      <c r="CN40" s="101">
        <v>5910.0254459999996</v>
      </c>
      <c r="CO40" s="101">
        <v>6999.3407209999996</v>
      </c>
      <c r="CP40" s="101">
        <v>8102.4227499999997</v>
      </c>
      <c r="CQ40" s="101">
        <v>13664.888940000001</v>
      </c>
      <c r="CR40" s="101">
        <v>13984.724604145002</v>
      </c>
      <c r="CS40" s="101">
        <v>771.97269300000005</v>
      </c>
      <c r="CT40" s="101">
        <v>1319.1277600000001</v>
      </c>
      <c r="CU40" s="101">
        <v>2001.6206550000002</v>
      </c>
      <c r="CV40" s="101">
        <v>2453.8988840000002</v>
      </c>
      <c r="CW40" s="101">
        <v>3261.5988379999999</v>
      </c>
      <c r="CX40" s="101">
        <v>3915.2811950049995</v>
      </c>
      <c r="CY40" s="101">
        <v>4429.3309360000003</v>
      </c>
      <c r="CZ40" s="101">
        <v>5167.1309330000004</v>
      </c>
      <c r="DA40" s="101">
        <v>5880.7316589999991</v>
      </c>
      <c r="DB40" s="101">
        <v>6800.7515219999996</v>
      </c>
      <c r="DC40" s="101">
        <v>6833.5900219999994</v>
      </c>
      <c r="DD40" s="101">
        <v>9889.1011049999997</v>
      </c>
      <c r="DE40" s="25">
        <v>14300.650451</v>
      </c>
      <c r="DF40" s="25">
        <v>11287.666043999998</v>
      </c>
      <c r="DG40" s="25">
        <v>752.77150000000006</v>
      </c>
      <c r="DH40" s="25">
        <v>1316.6566570000002</v>
      </c>
      <c r="DI40" s="25">
        <v>1701.6473299999998</v>
      </c>
      <c r="DJ40" s="25">
        <v>1897.6886000000002</v>
      </c>
      <c r="DK40" s="25">
        <v>2133.5112880000001</v>
      </c>
      <c r="DL40" s="25">
        <v>2404.1008900000002</v>
      </c>
      <c r="DM40" s="25">
        <v>2665.36213</v>
      </c>
      <c r="DN40" s="25">
        <v>2935.482368</v>
      </c>
      <c r="DO40" s="25">
        <v>3467.008988</v>
      </c>
      <c r="DP40" s="25">
        <v>3901.9571220000003</v>
      </c>
      <c r="DQ40" s="25">
        <v>4522.1065550000003</v>
      </c>
      <c r="DR40" s="25">
        <f>+DR41+DR42+DR43+DR44+DR45</f>
        <v>6233.9048509999993</v>
      </c>
      <c r="DS40" s="25">
        <f>+DS41+DS42+DS43+DS44+DS45</f>
        <v>14151.134111999998</v>
      </c>
      <c r="DT40" s="25">
        <f t="shared" ref="DT40" si="16">+DT41+DT42+DT43+DT44+DT45</f>
        <v>12303.831869000001</v>
      </c>
      <c r="DU40" s="25">
        <v>301.17230799999999</v>
      </c>
      <c r="DV40" s="25">
        <v>618.16892100000007</v>
      </c>
      <c r="DW40" s="25">
        <v>1143.4079140000001</v>
      </c>
      <c r="DX40" s="25">
        <v>1468.0342079999998</v>
      </c>
      <c r="DY40" s="25">
        <v>1838.1652879999999</v>
      </c>
      <c r="DZ40" s="25">
        <f t="shared" ref="DZ40:EF40" si="17">+DZ41+DZ42+DZ43+DZ44+DZ45</f>
        <v>2209.5364250000002</v>
      </c>
      <c r="EA40" s="25">
        <f t="shared" si="17"/>
        <v>2650.6548429999998</v>
      </c>
      <c r="EB40" s="25">
        <f t="shared" si="17"/>
        <v>23.893194999999999</v>
      </c>
      <c r="EC40" s="25">
        <f t="shared" si="17"/>
        <v>23.893194999999999</v>
      </c>
      <c r="ED40" s="25">
        <f t="shared" si="17"/>
        <v>23.893194999999999</v>
      </c>
      <c r="EE40" s="25">
        <f t="shared" si="17"/>
        <v>2241.3108470000002</v>
      </c>
      <c r="EF40" s="25">
        <f t="shared" si="17"/>
        <v>2241.3108470000002</v>
      </c>
      <c r="EG40" s="102">
        <f t="shared" si="3"/>
        <v>21.543327893470579</v>
      </c>
      <c r="EH40" s="102">
        <f>+(EA40/DM40-1)*100</f>
        <v>-0.55179320042340052</v>
      </c>
      <c r="EI40" s="962">
        <f t="shared" si="4"/>
        <v>-14.707287000000179</v>
      </c>
    </row>
    <row r="41" spans="1:151" ht="15" customHeight="1">
      <c r="A41" s="79" t="s">
        <v>77</v>
      </c>
      <c r="B41" s="41">
        <v>865.16367200000002</v>
      </c>
      <c r="C41" s="41">
        <v>2.5168370000000002</v>
      </c>
      <c r="D41" s="41">
        <v>2.585337</v>
      </c>
      <c r="E41" s="41">
        <v>16.509941999999999</v>
      </c>
      <c r="F41" s="41">
        <v>70.473253</v>
      </c>
      <c r="G41" s="41">
        <v>91.332635999999994</v>
      </c>
      <c r="H41" s="41">
        <v>159.995203</v>
      </c>
      <c r="I41" s="41">
        <v>167.62923699999999</v>
      </c>
      <c r="J41" s="41">
        <v>288.37214299999999</v>
      </c>
      <c r="K41" s="41">
        <v>288.37714299999999</v>
      </c>
      <c r="L41" s="41">
        <v>288.44564300000002</v>
      </c>
      <c r="M41" s="41">
        <v>288.51764300000002</v>
      </c>
      <c r="N41" s="41">
        <v>383.89061900000002</v>
      </c>
      <c r="O41" s="41">
        <v>693.72785399999998</v>
      </c>
      <c r="P41" s="41">
        <v>384.89780000000002</v>
      </c>
      <c r="Q41" s="41">
        <v>387.96313500000002</v>
      </c>
      <c r="R41" s="41">
        <v>390.09673700000002</v>
      </c>
      <c r="S41" s="41">
        <v>392.97646099999997</v>
      </c>
      <c r="T41" s="41">
        <v>397.61096099999997</v>
      </c>
      <c r="U41" s="41">
        <v>411.94967400000002</v>
      </c>
      <c r="V41" s="41">
        <v>407.43258100000003</v>
      </c>
      <c r="W41" s="41">
        <v>430.585555</v>
      </c>
      <c r="X41" s="41">
        <v>437.881303</v>
      </c>
      <c r="Y41" s="41">
        <v>441.40594599999997</v>
      </c>
      <c r="Z41" s="41">
        <v>450.69824399999999</v>
      </c>
      <c r="AA41" s="41">
        <v>476.13644399999998</v>
      </c>
      <c r="AB41" s="41">
        <v>1423.2605699999999</v>
      </c>
      <c r="AC41" s="41">
        <v>2.7080760000000001</v>
      </c>
      <c r="AD41" s="41">
        <v>6.0317530000000001</v>
      </c>
      <c r="AE41" s="41">
        <v>74.773956999999996</v>
      </c>
      <c r="AF41" s="41">
        <v>68.690894</v>
      </c>
      <c r="AG41" s="41">
        <v>71.478977999999998</v>
      </c>
      <c r="AH41" s="41">
        <v>91.811548000000002</v>
      </c>
      <c r="AI41" s="41">
        <v>96.331114999999997</v>
      </c>
      <c r="AJ41" s="41">
        <v>99.080648999999994</v>
      </c>
      <c r="AK41" s="41">
        <v>141.428179</v>
      </c>
      <c r="AL41" s="41">
        <v>141.270252</v>
      </c>
      <c r="AM41" s="41">
        <v>164.096361</v>
      </c>
      <c r="AN41" s="41">
        <v>209.195796</v>
      </c>
      <c r="AO41" s="41">
        <v>1154.425933</v>
      </c>
      <c r="AP41" s="41">
        <v>3.8034659999999998</v>
      </c>
      <c r="AQ41" s="41">
        <v>7</v>
      </c>
      <c r="AR41" s="41">
        <v>12.893245</v>
      </c>
      <c r="AS41" s="41">
        <v>662</v>
      </c>
      <c r="AT41" s="41">
        <v>668</v>
      </c>
      <c r="AU41" s="41">
        <v>685.81720600000006</v>
      </c>
      <c r="AV41" s="41">
        <v>706</v>
      </c>
      <c r="AW41" s="41">
        <v>706</v>
      </c>
      <c r="AX41" s="41">
        <v>769.77249200000006</v>
      </c>
      <c r="AY41" s="41">
        <v>745</v>
      </c>
      <c r="AZ41" s="41">
        <v>812</v>
      </c>
      <c r="BA41" s="41">
        <v>1021.8168304</v>
      </c>
      <c r="BB41" s="41">
        <v>2541.861531</v>
      </c>
      <c r="BC41" s="41">
        <v>781.22289000000001</v>
      </c>
      <c r="BD41" s="41">
        <v>23.486495000000001</v>
      </c>
      <c r="BE41" s="41">
        <v>37.336668000000003</v>
      </c>
      <c r="BF41" s="41">
        <v>72.424296999999996</v>
      </c>
      <c r="BG41" s="41">
        <v>78.596830999999995</v>
      </c>
      <c r="BH41" s="41">
        <v>120.27105899999999</v>
      </c>
      <c r="BI41" s="41">
        <v>184.542361</v>
      </c>
      <c r="BJ41" s="41">
        <v>186.91443000000001</v>
      </c>
      <c r="BK41" s="41">
        <v>219.185258</v>
      </c>
      <c r="BL41" s="41">
        <v>258.77082000000001</v>
      </c>
      <c r="BM41" s="41">
        <v>262.27617600000002</v>
      </c>
      <c r="BN41" s="41">
        <v>268.32350100000002</v>
      </c>
      <c r="BO41" s="41">
        <v>1082.6820889999999</v>
      </c>
      <c r="BP41" s="41">
        <v>957.34020999999996</v>
      </c>
      <c r="BQ41" s="41">
        <v>2043.7745450000002</v>
      </c>
      <c r="BR41" s="41">
        <v>8.1315240000000006</v>
      </c>
      <c r="BS41" s="41">
        <v>17.901819</v>
      </c>
      <c r="BT41" s="41">
        <v>14.199586</v>
      </c>
      <c r="BU41" s="41">
        <v>82.559650000000005</v>
      </c>
      <c r="BV41" s="41">
        <v>111.20123599999999</v>
      </c>
      <c r="BW41" s="41">
        <v>149.227059</v>
      </c>
      <c r="BX41" s="41">
        <v>227.68038000000001</v>
      </c>
      <c r="BY41" s="41">
        <v>731.86878899999999</v>
      </c>
      <c r="BZ41" s="41">
        <v>208.45163099999999</v>
      </c>
      <c r="CA41" s="41">
        <v>1826.5590340000001</v>
      </c>
      <c r="CB41" s="41">
        <v>701.80609000000004</v>
      </c>
      <c r="CC41" s="41">
        <v>976.04170199999999</v>
      </c>
      <c r="CD41" s="41">
        <v>1622.2472250000001</v>
      </c>
      <c r="CE41" s="41">
        <v>7.6271550000000001</v>
      </c>
      <c r="CF41" s="41">
        <v>16.497368999999999</v>
      </c>
      <c r="CG41" s="41">
        <v>27.715648999999999</v>
      </c>
      <c r="CH41" s="41">
        <v>81.454049999999995</v>
      </c>
      <c r="CI41" s="41">
        <v>110.08205599999999</v>
      </c>
      <c r="CJ41" s="41">
        <v>141.21910399999999</v>
      </c>
      <c r="CK41" s="41">
        <v>228.754302</v>
      </c>
      <c r="CL41" s="41">
        <v>732.82597099999998</v>
      </c>
      <c r="CM41" s="41">
        <v>796.751575</v>
      </c>
      <c r="CN41" s="41">
        <v>825.23127299999999</v>
      </c>
      <c r="CO41" s="41">
        <v>1318.775619</v>
      </c>
      <c r="CP41" s="41">
        <v>1792.669911</v>
      </c>
      <c r="CQ41" s="41">
        <v>4487.8020379999998</v>
      </c>
      <c r="CR41" s="41">
        <v>4807.6377021449998</v>
      </c>
      <c r="CS41" s="41">
        <v>202.065866</v>
      </c>
      <c r="CT41" s="41">
        <v>235.992435</v>
      </c>
      <c r="CU41" s="41">
        <v>270.37821500000001</v>
      </c>
      <c r="CV41" s="41">
        <v>332.76316300000002</v>
      </c>
      <c r="CW41" s="41">
        <v>422.93852900000002</v>
      </c>
      <c r="CX41" s="41">
        <v>447.81840599999998</v>
      </c>
      <c r="CY41" s="41">
        <v>451.53608800000001</v>
      </c>
      <c r="CZ41" s="41">
        <v>490.13825000000003</v>
      </c>
      <c r="DA41" s="41">
        <v>523.69448699999998</v>
      </c>
      <c r="DB41" s="41">
        <v>948.73650399999997</v>
      </c>
      <c r="DC41" s="41">
        <v>972.53877399999999</v>
      </c>
      <c r="DD41" s="41">
        <v>2631.5506070000001</v>
      </c>
      <c r="DE41" s="54">
        <v>4632.2359999999999</v>
      </c>
      <c r="DF41" s="43">
        <v>3502.4184329999998</v>
      </c>
      <c r="DG41" s="43">
        <v>142.50225499999999</v>
      </c>
      <c r="DH41" s="43">
        <v>144.71124900000001</v>
      </c>
      <c r="DI41" s="43">
        <v>149.378502</v>
      </c>
      <c r="DJ41" s="43">
        <v>150.14850200000001</v>
      </c>
      <c r="DK41" s="43">
        <v>176.07646700000001</v>
      </c>
      <c r="DL41" s="43">
        <v>208.061769</v>
      </c>
      <c r="DM41" s="43">
        <v>213.081816</v>
      </c>
      <c r="DN41" s="43">
        <v>214.845359</v>
      </c>
      <c r="DO41" s="43">
        <v>229.613135</v>
      </c>
      <c r="DP41" s="43">
        <v>304.19531699999999</v>
      </c>
      <c r="DQ41" s="43">
        <v>614.57064100000002</v>
      </c>
      <c r="DR41" s="43">
        <v>1132.004475</v>
      </c>
      <c r="DS41" s="43">
        <v>5383.8160770000004</v>
      </c>
      <c r="DT41" s="43">
        <v>4922.0362809999997</v>
      </c>
      <c r="DU41" s="43">
        <v>11.274431999999999</v>
      </c>
      <c r="DV41" s="43">
        <v>14.5564</v>
      </c>
      <c r="DW41" s="43">
        <v>165.36280400000001</v>
      </c>
      <c r="DX41" s="43">
        <v>167.87376800000001</v>
      </c>
      <c r="DY41" s="43">
        <v>169.485365</v>
      </c>
      <c r="DZ41" s="43">
        <v>175.096395</v>
      </c>
      <c r="EA41" s="43">
        <f>+'AI_Mapa Cons. REC_2021'!$O$79/1000000</f>
        <v>231.59364600000001</v>
      </c>
      <c r="EB41" s="43"/>
      <c r="EC41" s="43"/>
      <c r="ED41" s="43"/>
      <c r="EE41" s="43"/>
      <c r="EF41" s="43"/>
      <c r="EG41" s="44">
        <f t="shared" si="3"/>
        <v>4.7052405301032767</v>
      </c>
      <c r="EH41" s="44">
        <f t="shared" si="5"/>
        <v>8.6876629585323162</v>
      </c>
      <c r="EI41" s="962">
        <f t="shared" si="4"/>
        <v>18.511830000000003</v>
      </c>
    </row>
    <row r="42" spans="1:151" ht="15" customHeight="1">
      <c r="A42" s="79" t="s">
        <v>78</v>
      </c>
      <c r="B42" s="41">
        <v>2984.5979870000001</v>
      </c>
      <c r="C42" s="41">
        <v>215.09175999999999</v>
      </c>
      <c r="D42" s="41">
        <v>445.08468399999998</v>
      </c>
      <c r="E42" s="41">
        <v>839.54988600000001</v>
      </c>
      <c r="F42" s="41">
        <v>1025.7800560000001</v>
      </c>
      <c r="G42" s="41">
        <v>1211.388265</v>
      </c>
      <c r="H42" s="41">
        <v>1746.0858189999999</v>
      </c>
      <c r="I42" s="41">
        <v>1926.7134289999999</v>
      </c>
      <c r="J42" s="41">
        <v>2092.0221369999999</v>
      </c>
      <c r="K42" s="41">
        <v>2808.0657540000002</v>
      </c>
      <c r="L42" s="41">
        <v>2976.6775109999999</v>
      </c>
      <c r="M42" s="41">
        <v>3140.8586399999999</v>
      </c>
      <c r="N42" s="41">
        <v>3873.8965400000002</v>
      </c>
      <c r="O42" s="41">
        <v>4259.8016729999999</v>
      </c>
      <c r="P42" s="41">
        <v>213.67427900000001</v>
      </c>
      <c r="Q42" s="41">
        <v>480.92334799999998</v>
      </c>
      <c r="R42" s="41">
        <v>934.63779699999998</v>
      </c>
      <c r="S42" s="41">
        <v>1020.053992</v>
      </c>
      <c r="T42" s="41">
        <v>1335.76946</v>
      </c>
      <c r="U42" s="41">
        <v>1860.942798</v>
      </c>
      <c r="V42" s="41">
        <v>1784.4173350000001</v>
      </c>
      <c r="W42" s="41">
        <v>2176.77313</v>
      </c>
      <c r="X42" s="41">
        <v>2952.6718660000001</v>
      </c>
      <c r="Y42" s="41">
        <v>2760.6718989999999</v>
      </c>
      <c r="Z42" s="41">
        <v>3142.8324240000002</v>
      </c>
      <c r="AA42" s="41">
        <v>3896.724037</v>
      </c>
      <c r="AB42" s="41">
        <v>4130.69902</v>
      </c>
      <c r="AC42" s="41">
        <v>227.18636799999999</v>
      </c>
      <c r="AD42" s="41">
        <v>485.58276499999999</v>
      </c>
      <c r="AE42" s="41">
        <v>918.80475999999999</v>
      </c>
      <c r="AF42" s="41">
        <v>962.14317400000004</v>
      </c>
      <c r="AG42" s="41">
        <v>1232.062637</v>
      </c>
      <c r="AH42" s="41">
        <v>1802.413812</v>
      </c>
      <c r="AI42" s="41">
        <v>1716.0000889999999</v>
      </c>
      <c r="AJ42" s="41">
        <v>2003.339575</v>
      </c>
      <c r="AK42" s="41">
        <v>3157.5951810000001</v>
      </c>
      <c r="AL42" s="41">
        <v>2574.877375</v>
      </c>
      <c r="AM42" s="41">
        <v>2855.496909</v>
      </c>
      <c r="AN42" s="41">
        <v>4009.6782480000002</v>
      </c>
      <c r="AO42" s="41">
        <v>4337.8704310000003</v>
      </c>
      <c r="AP42" s="41">
        <v>260</v>
      </c>
      <c r="AQ42" s="41">
        <v>510</v>
      </c>
      <c r="AR42" s="41">
        <v>938.02170000000001</v>
      </c>
      <c r="AS42" s="41">
        <v>1140</v>
      </c>
      <c r="AT42" s="41">
        <v>1441</v>
      </c>
      <c r="AU42" s="41">
        <v>2112.882404</v>
      </c>
      <c r="AV42" s="41">
        <v>2329</v>
      </c>
      <c r="AW42" s="41">
        <v>2329</v>
      </c>
      <c r="AX42" s="41">
        <v>3195.78949216</v>
      </c>
      <c r="AY42" s="41">
        <v>2964</v>
      </c>
      <c r="AZ42" s="41">
        <v>3308</v>
      </c>
      <c r="BA42" s="41">
        <v>4651.8378679999996</v>
      </c>
      <c r="BB42" s="41">
        <v>4703.6933900000004</v>
      </c>
      <c r="BC42" s="41">
        <v>5063.4840778999996</v>
      </c>
      <c r="BD42" s="41">
        <v>331.09414800000002</v>
      </c>
      <c r="BE42" s="41">
        <v>617.12762199999997</v>
      </c>
      <c r="BF42" s="41">
        <v>1235.0095920000001</v>
      </c>
      <c r="BG42" s="41">
        <v>1299.09797</v>
      </c>
      <c r="BH42" s="41">
        <v>1752.5671830000001</v>
      </c>
      <c r="BI42" s="41">
        <v>2313.7691070000001</v>
      </c>
      <c r="BJ42" s="41">
        <v>2142.0333900000001</v>
      </c>
      <c r="BK42" s="41">
        <v>2443.5239740000002</v>
      </c>
      <c r="BL42" s="41">
        <v>3162.567763</v>
      </c>
      <c r="BM42" s="41">
        <v>3476.9569609999999</v>
      </c>
      <c r="BN42" s="41">
        <v>3813.2535109999999</v>
      </c>
      <c r="BO42" s="41">
        <v>5041.5643819999996</v>
      </c>
      <c r="BP42" s="41">
        <v>5123.9875030000003</v>
      </c>
      <c r="BQ42" s="41">
        <v>5123.9750060000006</v>
      </c>
      <c r="BR42" s="41">
        <v>433.99448899999999</v>
      </c>
      <c r="BS42" s="41">
        <v>910.95974699999999</v>
      </c>
      <c r="BT42" s="41">
        <v>1188.0944489999999</v>
      </c>
      <c r="BU42" s="41">
        <v>1813.6920050000001</v>
      </c>
      <c r="BV42" s="41">
        <v>2212.32404</v>
      </c>
      <c r="BW42" s="41">
        <v>2042.9670269999999</v>
      </c>
      <c r="BX42" s="41">
        <v>2981.9074999999998</v>
      </c>
      <c r="BY42" s="41">
        <v>3435.5320160000001</v>
      </c>
      <c r="BZ42" s="41">
        <v>3662.1970445000002</v>
      </c>
      <c r="CA42" s="41">
        <v>5183.922622</v>
      </c>
      <c r="CB42" s="41">
        <v>3952.4400529999998</v>
      </c>
      <c r="CC42" s="41">
        <v>5189.2123979999997</v>
      </c>
      <c r="CD42" s="41">
        <v>5803.4402499999997</v>
      </c>
      <c r="CE42" s="41">
        <v>433.46613500000001</v>
      </c>
      <c r="CF42" s="41">
        <v>906.24358700000005</v>
      </c>
      <c r="CG42" s="41">
        <v>1637.3796863</v>
      </c>
      <c r="CH42" s="41">
        <v>1812.5363090000001</v>
      </c>
      <c r="CI42" s="41">
        <v>2209.1261479999998</v>
      </c>
      <c r="CJ42" s="41">
        <v>3059.375243</v>
      </c>
      <c r="CK42" s="41">
        <v>2981.1086740000001</v>
      </c>
      <c r="CL42" s="41">
        <v>3429.3312089999999</v>
      </c>
      <c r="CM42" s="41">
        <v>4283.3689352499996</v>
      </c>
      <c r="CN42" s="41">
        <v>4358.7197070000002</v>
      </c>
      <c r="CO42" s="41">
        <v>4821.9496719999997</v>
      </c>
      <c r="CP42" s="41">
        <v>5509.42515</v>
      </c>
      <c r="CQ42" s="41">
        <v>7895.8809490000003</v>
      </c>
      <c r="CR42" s="41">
        <v>7895.8809490000003</v>
      </c>
      <c r="CS42" s="41">
        <v>500.44467300000002</v>
      </c>
      <c r="CT42" s="41">
        <v>968.84718699999996</v>
      </c>
      <c r="CU42" s="41">
        <v>1501.2369100000001</v>
      </c>
      <c r="CV42" s="41">
        <v>1837.501272</v>
      </c>
      <c r="CW42" s="41">
        <v>2435.6153650000001</v>
      </c>
      <c r="CX42" s="41">
        <v>2974.263050005</v>
      </c>
      <c r="CY42" s="41">
        <v>3417.0132050000002</v>
      </c>
      <c r="CZ42" s="41">
        <v>3978.6423989999998</v>
      </c>
      <c r="DA42" s="41">
        <v>4594.5243119999996</v>
      </c>
      <c r="DB42" s="41">
        <v>4988.9399899999999</v>
      </c>
      <c r="DC42" s="41">
        <v>5159.7859669999998</v>
      </c>
      <c r="DD42" s="41">
        <v>5987.0225209999999</v>
      </c>
      <c r="DE42" s="54">
        <v>8255.5721580000009</v>
      </c>
      <c r="DF42" s="43">
        <v>6366.0763079999997</v>
      </c>
      <c r="DG42" s="43">
        <v>516.03268800000001</v>
      </c>
      <c r="DH42" s="43">
        <v>1048.0964650000001</v>
      </c>
      <c r="DI42" s="43">
        <v>1402.4296589999999</v>
      </c>
      <c r="DJ42" s="43">
        <v>1580.9749200000001</v>
      </c>
      <c r="DK42" s="43">
        <v>1753.499319</v>
      </c>
      <c r="DL42" s="43">
        <v>1976.002909</v>
      </c>
      <c r="DM42" s="43">
        <v>2214.30971</v>
      </c>
      <c r="DN42" s="43">
        <v>2441.7553549999998</v>
      </c>
      <c r="DO42" s="43">
        <v>2685.349217</v>
      </c>
      <c r="DP42" s="43">
        <v>3025.6967180000001</v>
      </c>
      <c r="DQ42" s="43">
        <v>3310.3666929999999</v>
      </c>
      <c r="DR42" s="43">
        <v>3632.8230659999999</v>
      </c>
      <c r="DS42" s="43">
        <v>7316.9421519999996</v>
      </c>
      <c r="DT42" s="43">
        <v>6075.2987309999999</v>
      </c>
      <c r="DU42" s="43">
        <v>274.50609400000002</v>
      </c>
      <c r="DV42" s="43">
        <v>548.09905100000003</v>
      </c>
      <c r="DW42" s="43">
        <v>895.70775600000002</v>
      </c>
      <c r="DX42" s="43">
        <v>1194.3290509999999</v>
      </c>
      <c r="DY42" s="43">
        <v>1531.0907079999999</v>
      </c>
      <c r="DZ42" s="43">
        <v>1864.898179</v>
      </c>
      <c r="EA42" s="43">
        <f>+'AI_Mapa Cons. REC_2021'!$O$93/1000000</f>
        <v>2217.4176520000001</v>
      </c>
      <c r="EB42" s="43"/>
      <c r="EC42" s="43"/>
      <c r="ED42" s="43"/>
      <c r="EE42" s="43">
        <f>+'AI_Mapa Cons. REC_2021'!$O$93/1000000</f>
        <v>2217.4176520000001</v>
      </c>
      <c r="EF42" s="43">
        <f>+'AI_Mapa Cons. REC_2021'!$O$93/1000000</f>
        <v>2217.4176520000001</v>
      </c>
      <c r="EG42" s="44">
        <f t="shared" si="3"/>
        <v>36.498907299575883</v>
      </c>
      <c r="EH42" s="44">
        <f t="shared" si="5"/>
        <v>0.14035714994899973</v>
      </c>
      <c r="EI42" s="962">
        <f t="shared" si="4"/>
        <v>3.1079420000000937</v>
      </c>
    </row>
    <row r="43" spans="1:151" ht="15" customHeight="1">
      <c r="A43" s="79" t="s">
        <v>79</v>
      </c>
      <c r="B43" s="41">
        <v>264.849333</v>
      </c>
      <c r="C43" s="41">
        <v>22.755483000000002</v>
      </c>
      <c r="D43" s="41">
        <v>43.458601000000002</v>
      </c>
      <c r="E43" s="41">
        <v>71.020011999999994</v>
      </c>
      <c r="F43" s="41">
        <v>104.78553700000001</v>
      </c>
      <c r="G43" s="41">
        <v>127.22542300000001</v>
      </c>
      <c r="H43" s="41">
        <v>171.519677</v>
      </c>
      <c r="I43" s="41">
        <v>200.38092800000001</v>
      </c>
      <c r="J43" s="41">
        <v>224.56425300000001</v>
      </c>
      <c r="K43" s="41">
        <v>238.10837599999999</v>
      </c>
      <c r="L43" s="41">
        <v>265.51803100000001</v>
      </c>
      <c r="M43" s="41">
        <v>293.41011400000002</v>
      </c>
      <c r="N43" s="41">
        <v>332.44341600000001</v>
      </c>
      <c r="O43" s="41">
        <v>695.44136700000001</v>
      </c>
      <c r="P43" s="41">
        <v>27.193633999999999</v>
      </c>
      <c r="Q43" s="41">
        <v>57.715198000000001</v>
      </c>
      <c r="R43" s="41">
        <v>89.273912999999993</v>
      </c>
      <c r="S43" s="41">
        <v>131.775397</v>
      </c>
      <c r="T43" s="41">
        <v>169.64702299999999</v>
      </c>
      <c r="U43" s="41">
        <v>201.41421800000001</v>
      </c>
      <c r="V43" s="41">
        <v>265.25865700000003</v>
      </c>
      <c r="W43" s="41">
        <v>330.627228</v>
      </c>
      <c r="X43" s="41">
        <v>381.98140000000001</v>
      </c>
      <c r="Y43" s="41">
        <v>444.34988900000002</v>
      </c>
      <c r="Z43" s="41">
        <v>489.42843699999997</v>
      </c>
      <c r="AA43" s="41">
        <v>510.92143199999998</v>
      </c>
      <c r="AB43" s="41">
        <v>712.86115500000005</v>
      </c>
      <c r="AC43" s="41">
        <v>52.359991000000001</v>
      </c>
      <c r="AD43" s="41">
        <v>114.74430099999999</v>
      </c>
      <c r="AE43" s="41">
        <v>183.39570599999999</v>
      </c>
      <c r="AF43" s="41">
        <v>243.322002</v>
      </c>
      <c r="AG43" s="41">
        <v>310.11417299999999</v>
      </c>
      <c r="AH43" s="41">
        <v>343.31982900000003</v>
      </c>
      <c r="AI43" s="41">
        <v>409.87716599999999</v>
      </c>
      <c r="AJ43" s="41">
        <v>437.48893800000002</v>
      </c>
      <c r="AK43" s="41">
        <v>294.55445800000001</v>
      </c>
      <c r="AL43" s="41">
        <v>588.28278899999998</v>
      </c>
      <c r="AM43" s="41">
        <v>662.74074700000006</v>
      </c>
      <c r="AN43" s="41">
        <v>706.20584499999995</v>
      </c>
      <c r="AO43" s="41">
        <v>771.61830199999997</v>
      </c>
      <c r="AP43" s="41">
        <v>45</v>
      </c>
      <c r="AQ43" s="41">
        <v>108</v>
      </c>
      <c r="AR43" s="41">
        <v>157.46238500000001</v>
      </c>
      <c r="AS43" s="41">
        <v>190</v>
      </c>
      <c r="AT43" s="41">
        <v>226</v>
      </c>
      <c r="AU43" s="41">
        <v>257.83668599999999</v>
      </c>
      <c r="AV43" s="41">
        <v>336</v>
      </c>
      <c r="AW43" s="41">
        <v>336</v>
      </c>
      <c r="AX43" s="41">
        <v>373.00169799999998</v>
      </c>
      <c r="AY43" s="41">
        <v>404</v>
      </c>
      <c r="AZ43" s="41">
        <v>432</v>
      </c>
      <c r="BA43" s="41">
        <v>404.210309</v>
      </c>
      <c r="BB43" s="41">
        <v>763.39705000000004</v>
      </c>
      <c r="BC43" s="41">
        <v>675.60164599999996</v>
      </c>
      <c r="BD43" s="41">
        <v>60.890067000000002</v>
      </c>
      <c r="BE43" s="41">
        <v>88.890269000000004</v>
      </c>
      <c r="BF43" s="41">
        <v>70.629598000000001</v>
      </c>
      <c r="BG43" s="41">
        <v>184.32481200000001</v>
      </c>
      <c r="BH43" s="41">
        <v>183.208789</v>
      </c>
      <c r="BI43" s="41">
        <v>205.167314</v>
      </c>
      <c r="BJ43" s="41">
        <v>334.62863800000002</v>
      </c>
      <c r="BK43" s="41">
        <v>394.44231600000001</v>
      </c>
      <c r="BL43" s="41">
        <v>502.52115700000002</v>
      </c>
      <c r="BM43" s="41">
        <v>547.83123799999998</v>
      </c>
      <c r="BN43" s="41">
        <v>628.54893500000003</v>
      </c>
      <c r="BO43" s="41">
        <v>678.77669400000002</v>
      </c>
      <c r="BP43" s="41">
        <v>794.99091599999997</v>
      </c>
      <c r="BQ43" s="41">
        <v>794.99091599999997</v>
      </c>
      <c r="BR43" s="41">
        <v>25.159652000000001</v>
      </c>
      <c r="BS43" s="41">
        <v>41.995434000000003</v>
      </c>
      <c r="BT43" s="41">
        <v>200.59984900000001</v>
      </c>
      <c r="BU43" s="41">
        <v>109.666602</v>
      </c>
      <c r="BV43" s="41">
        <v>140.93473700000001</v>
      </c>
      <c r="BW43" s="41">
        <v>276.73580900000002</v>
      </c>
      <c r="BX43" s="41">
        <v>201.397503</v>
      </c>
      <c r="BY43" s="41">
        <v>229.31191699999999</v>
      </c>
      <c r="BZ43" s="41">
        <v>400.02659499999999</v>
      </c>
      <c r="CA43" s="41">
        <v>393.89417600000002</v>
      </c>
      <c r="CB43" s="41">
        <v>432.29528699999997</v>
      </c>
      <c r="CC43" s="41">
        <v>497.70138500000002</v>
      </c>
      <c r="CD43" s="41">
        <v>454.72829899999999</v>
      </c>
      <c r="CE43" s="41">
        <v>25.51981</v>
      </c>
      <c r="CF43" s="41">
        <v>42.224052</v>
      </c>
      <c r="CG43" s="41">
        <v>76.678838999999996</v>
      </c>
      <c r="CH43" s="41">
        <v>109.45607099999999</v>
      </c>
      <c r="CI43" s="41">
        <v>141.12337199999999</v>
      </c>
      <c r="CJ43" s="41">
        <v>199.29382699999999</v>
      </c>
      <c r="CK43" s="41">
        <v>201.33077399999999</v>
      </c>
      <c r="CL43" s="41">
        <v>228.812995</v>
      </c>
      <c r="CM43" s="41">
        <v>296.63045499999998</v>
      </c>
      <c r="CN43" s="41">
        <v>295.26429400000001</v>
      </c>
      <c r="CO43" s="41">
        <v>358.05200100000002</v>
      </c>
      <c r="CP43" s="41">
        <v>369.01623499999999</v>
      </c>
      <c r="CQ43" s="41">
        <v>296.84434099999999</v>
      </c>
      <c r="CR43" s="41">
        <v>296.84434099999999</v>
      </c>
      <c r="CS43" s="41">
        <v>29.572724000000001</v>
      </c>
      <c r="CT43" s="41">
        <v>60.093114999999997</v>
      </c>
      <c r="CU43" s="41">
        <v>93.478459999999998</v>
      </c>
      <c r="CV43" s="41">
        <v>121.712926</v>
      </c>
      <c r="CW43" s="41">
        <v>160.329464</v>
      </c>
      <c r="CX43" s="41">
        <v>186.36997700000001</v>
      </c>
      <c r="CY43" s="41">
        <v>221.99622199999999</v>
      </c>
      <c r="CZ43" s="41">
        <v>256.90062399999999</v>
      </c>
      <c r="DA43" s="41">
        <v>292.60309899999999</v>
      </c>
      <c r="DB43" s="41">
        <v>327.25173999999998</v>
      </c>
      <c r="DC43" s="41">
        <v>349.51862599999998</v>
      </c>
      <c r="DD43" s="41">
        <v>432.92700600000001</v>
      </c>
      <c r="DE43" s="54">
        <v>374.70568700000001</v>
      </c>
      <c r="DF43" s="43">
        <v>298.53928200000001</v>
      </c>
      <c r="DG43" s="43">
        <v>28.735119999999998</v>
      </c>
      <c r="DH43" s="43">
        <v>51.814435000000003</v>
      </c>
      <c r="DI43" s="43">
        <v>74.511567999999997</v>
      </c>
      <c r="DJ43" s="43">
        <v>84.970077000000003</v>
      </c>
      <c r="DK43" s="43">
        <v>100.265124</v>
      </c>
      <c r="DL43" s="43">
        <v>111.522316</v>
      </c>
      <c r="DM43" s="43">
        <v>123.241066</v>
      </c>
      <c r="DN43" s="43">
        <v>136.08543700000001</v>
      </c>
      <c r="DO43" s="43">
        <v>150.82524699999999</v>
      </c>
      <c r="DP43" s="43">
        <v>165.369058</v>
      </c>
      <c r="DQ43" s="43">
        <v>183.611941</v>
      </c>
      <c r="DR43" s="43">
        <v>198.04439400000001</v>
      </c>
      <c r="DS43" s="54">
        <v>318.03876500000001</v>
      </c>
      <c r="DT43" s="54">
        <v>211.751623</v>
      </c>
      <c r="DU43" s="43">
        <v>8.6381750000000004</v>
      </c>
      <c r="DV43" s="43">
        <v>21.594062999999998</v>
      </c>
      <c r="DW43" s="43">
        <v>33.725943999999998</v>
      </c>
      <c r="DX43" s="43">
        <v>46.231254</v>
      </c>
      <c r="DY43" s="43">
        <v>59.226455999999999</v>
      </c>
      <c r="DZ43" s="43">
        <v>75.979106000000002</v>
      </c>
      <c r="EA43" s="43">
        <f>+'AI_Mapa Cons. REC_2021'!$O$149/1000000</f>
        <v>91.063368999999994</v>
      </c>
      <c r="EB43" s="43"/>
      <c r="EC43" s="43"/>
      <c r="ED43" s="43"/>
      <c r="EE43" s="43"/>
      <c r="EF43" s="43"/>
      <c r="EG43" s="44">
        <f t="shared" si="3"/>
        <v>43.004803320917169</v>
      </c>
      <c r="EH43" s="44">
        <f>+(EA43/DM43-1)*100</f>
        <v>-26.109557507397739</v>
      </c>
      <c r="EI43" s="962">
        <f t="shared" si="4"/>
        <v>-32.177697000000009</v>
      </c>
    </row>
    <row r="44" spans="1:151" ht="15" customHeight="1">
      <c r="A44" s="79" t="s">
        <v>80</v>
      </c>
      <c r="B44" s="41">
        <v>444.64490799999999</v>
      </c>
      <c r="C44" s="41">
        <v>8.9060079999999999</v>
      </c>
      <c r="D44" s="41">
        <v>11.785358</v>
      </c>
      <c r="E44" s="41">
        <v>17.436523999999999</v>
      </c>
      <c r="F44" s="41">
        <v>24.801894000000001</v>
      </c>
      <c r="G44" s="41">
        <v>31.744294</v>
      </c>
      <c r="H44" s="41">
        <v>31.744294</v>
      </c>
      <c r="I44" s="41">
        <v>33.883825000000002</v>
      </c>
      <c r="J44" s="41">
        <v>36.419640000000001</v>
      </c>
      <c r="K44" s="41">
        <v>39.800533000000001</v>
      </c>
      <c r="L44" s="41">
        <v>47.879604999999998</v>
      </c>
      <c r="M44" s="41">
        <v>63.731352000000001</v>
      </c>
      <c r="N44" s="41">
        <v>195.200898</v>
      </c>
      <c r="O44" s="41">
        <v>18.450901000000002</v>
      </c>
      <c r="P44" s="41">
        <v>6.0242339999999999</v>
      </c>
      <c r="Q44" s="41">
        <v>9.0978239999999992</v>
      </c>
      <c r="R44" s="41">
        <v>22.641067</v>
      </c>
      <c r="S44" s="41">
        <v>37.557605000000002</v>
      </c>
      <c r="T44" s="41">
        <v>55.552010000000003</v>
      </c>
      <c r="U44" s="41">
        <v>67.471001000000001</v>
      </c>
      <c r="V44" s="41">
        <v>100.89099</v>
      </c>
      <c r="W44" s="41">
        <v>126.779647</v>
      </c>
      <c r="X44" s="41">
        <v>143.07305299999999</v>
      </c>
      <c r="Y44" s="41">
        <v>168.201604</v>
      </c>
      <c r="Z44" s="41">
        <v>186.60322600000001</v>
      </c>
      <c r="AA44" s="41">
        <v>31.857778</v>
      </c>
      <c r="AB44" s="41">
        <v>317.46408500000001</v>
      </c>
      <c r="AC44" s="41">
        <v>8.3634059999999995</v>
      </c>
      <c r="AD44" s="41">
        <v>13.145265999999999</v>
      </c>
      <c r="AE44" s="41">
        <v>24.46217</v>
      </c>
      <c r="AF44" s="41">
        <v>30.504514</v>
      </c>
      <c r="AG44" s="41">
        <v>41.524853</v>
      </c>
      <c r="AH44" s="41">
        <v>39.385421000000001</v>
      </c>
      <c r="AI44" s="41">
        <v>65.865853000000001</v>
      </c>
      <c r="AJ44" s="41">
        <v>72.609401000000005</v>
      </c>
      <c r="AK44" s="41">
        <v>68.334014999999994</v>
      </c>
      <c r="AL44" s="41">
        <v>96.758021999999997</v>
      </c>
      <c r="AM44" s="41">
        <v>108.150586</v>
      </c>
      <c r="AN44" s="41">
        <v>128.12868399999999</v>
      </c>
      <c r="AO44" s="41">
        <v>279.49266599999999</v>
      </c>
      <c r="AP44" s="41">
        <v>2.9503330000000001</v>
      </c>
      <c r="AQ44" s="41">
        <v>5.8201640000000001</v>
      </c>
      <c r="AR44" s="41">
        <v>8.6224989999999995</v>
      </c>
      <c r="AS44" s="41">
        <v>9</v>
      </c>
      <c r="AT44" s="41">
        <v>14</v>
      </c>
      <c r="AU44" s="41">
        <v>14.651097999999999</v>
      </c>
      <c r="AV44" s="41">
        <v>267</v>
      </c>
      <c r="AW44" s="41">
        <v>110</v>
      </c>
      <c r="AX44" s="41">
        <v>27.077100000000002</v>
      </c>
      <c r="AY44" s="41">
        <v>118</v>
      </c>
      <c r="AZ44" s="41">
        <v>119</v>
      </c>
      <c r="BA44" s="41">
        <v>36.022696000000003</v>
      </c>
      <c r="BB44" s="41">
        <v>264.78069099999999</v>
      </c>
      <c r="BC44" s="41">
        <v>35.002405000000003</v>
      </c>
      <c r="BD44" s="41">
        <v>5.3333329999999997</v>
      </c>
      <c r="BE44" s="41">
        <v>8.2469210000000004</v>
      </c>
      <c r="BF44" s="41">
        <v>13.046568000000001</v>
      </c>
      <c r="BG44" s="41">
        <v>8.9192219999999995</v>
      </c>
      <c r="BH44" s="41">
        <v>18.794367000000001</v>
      </c>
      <c r="BI44" s="41">
        <v>17.237621000000001</v>
      </c>
      <c r="BJ44" s="41">
        <v>20.076944000000001</v>
      </c>
      <c r="BK44" s="41">
        <v>22.703776999999999</v>
      </c>
      <c r="BL44" s="41">
        <v>25.694046</v>
      </c>
      <c r="BM44" s="41">
        <v>28.810699</v>
      </c>
      <c r="BN44" s="41">
        <v>34.738405</v>
      </c>
      <c r="BO44" s="41">
        <v>34.882404999999999</v>
      </c>
      <c r="BP44" s="41">
        <v>269.71187900000001</v>
      </c>
      <c r="BQ44" s="41">
        <v>269.71187900000001</v>
      </c>
      <c r="BR44" s="41">
        <v>4.1843490000000001</v>
      </c>
      <c r="BS44" s="41">
        <v>7.8610980000000001</v>
      </c>
      <c r="BT44" s="41">
        <v>6.1643629999999998</v>
      </c>
      <c r="BU44" s="41">
        <v>18.945031</v>
      </c>
      <c r="BV44" s="41">
        <v>21.286019</v>
      </c>
      <c r="BW44" s="41">
        <v>114.422225</v>
      </c>
      <c r="BX44" s="41">
        <v>31.659486999999999</v>
      </c>
      <c r="BY44" s="41">
        <v>51.969495000000002</v>
      </c>
      <c r="BZ44" s="41">
        <v>19.506227500000001</v>
      </c>
      <c r="CA44" s="41">
        <v>127.870946</v>
      </c>
      <c r="CB44" s="41">
        <v>24.670161</v>
      </c>
      <c r="CC44" s="41">
        <v>28.263078</v>
      </c>
      <c r="CD44" s="41">
        <v>481.34200900000002</v>
      </c>
      <c r="CE44" s="41">
        <v>4.1843490000000001</v>
      </c>
      <c r="CF44" s="41">
        <v>7.8610980000000001</v>
      </c>
      <c r="CG44" s="41">
        <v>9.4098819999999996</v>
      </c>
      <c r="CH44" s="41">
        <v>18.924030999999999</v>
      </c>
      <c r="CI44" s="41">
        <v>21.265018999999999</v>
      </c>
      <c r="CJ44" s="41">
        <v>24.364456000000001</v>
      </c>
      <c r="CK44" s="41">
        <v>30.437714</v>
      </c>
      <c r="CL44" s="41">
        <v>50.747722000000003</v>
      </c>
      <c r="CM44" s="41">
        <v>87.807485</v>
      </c>
      <c r="CN44" s="41">
        <v>92.498746999999995</v>
      </c>
      <c r="CO44" s="41">
        <v>111.736519</v>
      </c>
      <c r="CP44" s="41">
        <v>23.971506000000002</v>
      </c>
      <c r="CQ44" s="41">
        <v>329.56825900000001</v>
      </c>
      <c r="CR44" s="41">
        <v>329.56825900000001</v>
      </c>
      <c r="CS44" s="41">
        <v>16.422899999999998</v>
      </c>
      <c r="CT44" s="41">
        <v>19.784987999999998</v>
      </c>
      <c r="CU44" s="41">
        <v>37.189894000000002</v>
      </c>
      <c r="CV44" s="41">
        <v>37.980111000000001</v>
      </c>
      <c r="CW44" s="41">
        <v>61.982877000000002</v>
      </c>
      <c r="CX44" s="41">
        <v>78.864363999999995</v>
      </c>
      <c r="CY44" s="41">
        <v>87.986866000000006</v>
      </c>
      <c r="CZ44" s="41">
        <v>119.911338</v>
      </c>
      <c r="DA44" s="41">
        <v>121.606427</v>
      </c>
      <c r="DB44" s="41">
        <v>125.75892</v>
      </c>
      <c r="DC44" s="41">
        <v>127.255888</v>
      </c>
      <c r="DD44" s="41">
        <v>242.401624</v>
      </c>
      <c r="DE44" s="54">
        <v>370.73220900000001</v>
      </c>
      <c r="DF44" s="43">
        <v>425.37561299999999</v>
      </c>
      <c r="DG44" s="43">
        <v>0.31942300000000001</v>
      </c>
      <c r="DH44" s="43">
        <v>2.0490849999999998</v>
      </c>
      <c r="DI44" s="43">
        <v>2.670093</v>
      </c>
      <c r="DJ44" s="43">
        <v>7.7748340000000002</v>
      </c>
      <c r="DK44" s="43">
        <v>8.5169510000000006</v>
      </c>
      <c r="DL44" s="43">
        <v>9.6915250000000004</v>
      </c>
      <c r="DM44" s="43">
        <v>10.685387</v>
      </c>
      <c r="DN44" s="43">
        <v>32.654651999999999</v>
      </c>
      <c r="DO44" s="43">
        <v>34.449733000000002</v>
      </c>
      <c r="DP44" s="43">
        <v>37.532038999999997</v>
      </c>
      <c r="DQ44" s="43">
        <v>39.511398</v>
      </c>
      <c r="DR44" s="43">
        <v>42.562224000000001</v>
      </c>
      <c r="DS44" s="54">
        <v>319.60737899999998</v>
      </c>
      <c r="DT44" s="54">
        <v>314.08827200000002</v>
      </c>
      <c r="DU44" s="43">
        <v>1.5226919999999999</v>
      </c>
      <c r="DV44" s="43">
        <v>4.0464719999999996</v>
      </c>
      <c r="DW44" s="43">
        <v>8.8325569999999995</v>
      </c>
      <c r="DX44" s="43">
        <v>11.300200999999999</v>
      </c>
      <c r="DY44" s="43">
        <v>15.056271000000001</v>
      </c>
      <c r="DZ44" s="43">
        <v>21.685621000000001</v>
      </c>
      <c r="EA44" s="43">
        <f>+'AI_Mapa Cons. REC_2021'!$O$158/1000000</f>
        <v>23.893194999999999</v>
      </c>
      <c r="EB44" s="43">
        <f>+'AI_Mapa Cons. REC_2021'!$O$158/1000000</f>
        <v>23.893194999999999</v>
      </c>
      <c r="EC44" s="43">
        <f>+'AI_Mapa Cons. REC_2021'!$O$158/1000000</f>
        <v>23.893194999999999</v>
      </c>
      <c r="ED44" s="43">
        <f>+'AI_Mapa Cons. REC_2021'!$O$158/1000000</f>
        <v>23.893194999999999</v>
      </c>
      <c r="EE44" s="43">
        <f>+'AI_Mapa Cons. REC_2021'!$O$158/1000000</f>
        <v>23.893194999999999</v>
      </c>
      <c r="EF44" s="43">
        <f>+'AI_Mapa Cons. REC_2021'!$O$158/1000000</f>
        <v>23.893194999999999</v>
      </c>
      <c r="EG44" s="44">
        <f t="shared" si="3"/>
        <v>7.6071592383430335</v>
      </c>
      <c r="EH44" s="44">
        <f t="shared" si="5"/>
        <v>123.60626713847611</v>
      </c>
      <c r="EI44" s="962">
        <f t="shared" si="4"/>
        <v>13.207807999999998</v>
      </c>
    </row>
    <row r="45" spans="1:151" ht="15" customHeight="1">
      <c r="A45" s="79" t="s">
        <v>81</v>
      </c>
      <c r="B45" s="41">
        <v>45.137802999999998</v>
      </c>
      <c r="C45" s="41">
        <v>3.0488930000000001</v>
      </c>
      <c r="D45" s="41">
        <v>3.0488930000000001</v>
      </c>
      <c r="E45" s="41">
        <v>10.335217</v>
      </c>
      <c r="F45" s="41">
        <v>13.251118</v>
      </c>
      <c r="G45" s="41">
        <v>16.834038</v>
      </c>
      <c r="H45" s="41">
        <v>16.834038</v>
      </c>
      <c r="I45" s="41">
        <v>22.941265999999999</v>
      </c>
      <c r="J45" s="41">
        <v>26.982194</v>
      </c>
      <c r="K45" s="41">
        <v>26.982194</v>
      </c>
      <c r="L45" s="41">
        <v>30.699824</v>
      </c>
      <c r="M45" s="41">
        <v>40.412849999999999</v>
      </c>
      <c r="N45" s="41">
        <v>86.143930999999995</v>
      </c>
      <c r="O45" s="41">
        <v>0</v>
      </c>
      <c r="P45" s="41">
        <v>106.27204500000001</v>
      </c>
      <c r="Q45" s="41">
        <v>107.11700999999999</v>
      </c>
      <c r="R45" s="41">
        <v>116.77503299999999</v>
      </c>
      <c r="S45" s="41">
        <v>124.966993</v>
      </c>
      <c r="T45" s="41">
        <v>132.76539099999999</v>
      </c>
      <c r="U45" s="41">
        <v>147.184595</v>
      </c>
      <c r="V45" s="41">
        <v>151.162904</v>
      </c>
      <c r="W45" s="41">
        <v>171.63242399999999</v>
      </c>
      <c r="X45" s="41">
        <v>187.44846200000001</v>
      </c>
      <c r="Y45" s="41">
        <v>195.277815</v>
      </c>
      <c r="Z45" s="41">
        <v>300.140488</v>
      </c>
      <c r="AA45" s="41">
        <v>634.52544899999998</v>
      </c>
      <c r="AB45" s="41">
        <v>52.76</v>
      </c>
      <c r="AC45" s="41">
        <v>18.179051000000001</v>
      </c>
      <c r="AD45" s="41">
        <v>26.31644</v>
      </c>
      <c r="AE45" s="41">
        <v>44.043526</v>
      </c>
      <c r="AF45" s="41">
        <v>80.354467999999997</v>
      </c>
      <c r="AG45" s="41">
        <v>99.525253000000006</v>
      </c>
      <c r="AH45" s="41">
        <v>121.605034</v>
      </c>
      <c r="AI45" s="41">
        <v>159.31430399999999</v>
      </c>
      <c r="AJ45" s="41">
        <v>179.212988</v>
      </c>
      <c r="AK45" s="41">
        <v>292.27963099999999</v>
      </c>
      <c r="AL45" s="41">
        <v>209.28176099999999</v>
      </c>
      <c r="AM45" s="41">
        <v>220.57383999999999</v>
      </c>
      <c r="AN45" s="41">
        <v>371.02287699999999</v>
      </c>
      <c r="AO45" s="41">
        <v>267.1585</v>
      </c>
      <c r="AP45" s="41">
        <v>3.4083909999999999</v>
      </c>
      <c r="AQ45" s="41">
        <v>18.084567</v>
      </c>
      <c r="AR45" s="41">
        <v>129.566688</v>
      </c>
      <c r="AS45" s="41">
        <v>155</v>
      </c>
      <c r="AT45" s="41">
        <v>174</v>
      </c>
      <c r="AU45" s="41">
        <v>206.73579799999999</v>
      </c>
      <c r="AV45" s="41">
        <v>338.98561000000001</v>
      </c>
      <c r="AW45" s="41">
        <v>367</v>
      </c>
      <c r="AX45" s="41">
        <v>410.54197299999998</v>
      </c>
      <c r="AY45" s="41">
        <v>433</v>
      </c>
      <c r="AZ45" s="41">
        <v>456</v>
      </c>
      <c r="BA45" s="41">
        <v>2043.2519850000001</v>
      </c>
      <c r="BB45" s="41">
        <v>603.53200600000002</v>
      </c>
      <c r="BC45" s="41">
        <v>350.40896249999997</v>
      </c>
      <c r="BD45" s="41">
        <v>23.807293000000001</v>
      </c>
      <c r="BE45" s="41">
        <v>40.683335999999997</v>
      </c>
      <c r="BF45" s="41">
        <v>63.266877000000001</v>
      </c>
      <c r="BG45" s="41">
        <v>77.198605999999998</v>
      </c>
      <c r="BH45" s="41">
        <v>90.770086000000006</v>
      </c>
      <c r="BI45" s="41">
        <v>123.062836</v>
      </c>
      <c r="BJ45" s="41">
        <v>151.02888100000001</v>
      </c>
      <c r="BK45" s="41">
        <v>174.68129400000001</v>
      </c>
      <c r="BL45" s="41">
        <v>189.37866700000001</v>
      </c>
      <c r="BM45" s="41">
        <v>232.63977499999999</v>
      </c>
      <c r="BN45" s="41">
        <v>292.77509400000002</v>
      </c>
      <c r="BO45" s="41">
        <v>431.76507099999998</v>
      </c>
      <c r="BP45" s="41">
        <v>417.70443799999998</v>
      </c>
      <c r="BQ45" s="41">
        <v>417.70443799999998</v>
      </c>
      <c r="BR45" s="41">
        <v>51.185896999999997</v>
      </c>
      <c r="BS45" s="41">
        <v>74.179400000000001</v>
      </c>
      <c r="BT45" s="41">
        <v>151.01988399999999</v>
      </c>
      <c r="BU45" s="41">
        <v>131.63496900000001</v>
      </c>
      <c r="BV45" s="41">
        <v>151.02399600000001</v>
      </c>
      <c r="BW45" s="41">
        <v>378.37355500000001</v>
      </c>
      <c r="BX45" s="41">
        <v>225.76368299999999</v>
      </c>
      <c r="BY45" s="41">
        <v>263.74807499999997</v>
      </c>
      <c r="BZ45" s="41">
        <v>406.87777499999999</v>
      </c>
      <c r="CA45" s="41">
        <v>415.99929900000001</v>
      </c>
      <c r="CB45" s="41">
        <v>472.191146</v>
      </c>
      <c r="CC45" s="41">
        <v>521.48597299999994</v>
      </c>
      <c r="CD45" s="41">
        <v>390.87880999999999</v>
      </c>
      <c r="CE45" s="41">
        <v>51.190111999999999</v>
      </c>
      <c r="CF45" s="41">
        <v>74.054834999999997</v>
      </c>
      <c r="CG45" s="41">
        <v>98.761870999999999</v>
      </c>
      <c r="CH45" s="41">
        <v>131.58442500000001</v>
      </c>
      <c r="CI45" s="41">
        <v>150.73437899999999</v>
      </c>
      <c r="CJ45" s="41">
        <v>177.689483</v>
      </c>
      <c r="CK45" s="41">
        <v>225.718163</v>
      </c>
      <c r="CL45" s="41">
        <v>262.44389899999999</v>
      </c>
      <c r="CM45" s="41">
        <v>299.863247</v>
      </c>
      <c r="CN45" s="41">
        <v>338.31142499999999</v>
      </c>
      <c r="CO45" s="41">
        <v>388.82691</v>
      </c>
      <c r="CP45" s="41">
        <v>407.33994799999999</v>
      </c>
      <c r="CQ45" s="41">
        <v>654.79335300000002</v>
      </c>
      <c r="CR45" s="41">
        <v>654.79335300000002</v>
      </c>
      <c r="CS45" s="41">
        <v>23.466529999999999</v>
      </c>
      <c r="CT45" s="41">
        <v>34.410035000000001</v>
      </c>
      <c r="CU45" s="41">
        <v>99.337175999999999</v>
      </c>
      <c r="CV45" s="41">
        <v>123.941412</v>
      </c>
      <c r="CW45" s="41">
        <v>180.73260300000001</v>
      </c>
      <c r="CX45" s="41">
        <v>227.96539799999999</v>
      </c>
      <c r="CY45" s="41">
        <v>250.79855499999999</v>
      </c>
      <c r="CZ45" s="41">
        <v>321.53832199999999</v>
      </c>
      <c r="DA45" s="41">
        <v>348.30333400000001</v>
      </c>
      <c r="DB45" s="41">
        <v>410.064368</v>
      </c>
      <c r="DC45" s="41">
        <v>224.49076700000001</v>
      </c>
      <c r="DD45" s="41">
        <v>595.19934699999999</v>
      </c>
      <c r="DE45" s="54">
        <v>667.40439700000002</v>
      </c>
      <c r="DF45" s="43">
        <v>695.25640799999996</v>
      </c>
      <c r="DG45" s="43">
        <v>65.182013999999995</v>
      </c>
      <c r="DH45" s="43">
        <v>69.985422999999997</v>
      </c>
      <c r="DI45" s="43">
        <v>72.657508000000007</v>
      </c>
      <c r="DJ45" s="43">
        <v>73.820267000000001</v>
      </c>
      <c r="DK45" s="43">
        <v>95.153426999999994</v>
      </c>
      <c r="DL45" s="43">
        <v>98.813799000000003</v>
      </c>
      <c r="DM45" s="43">
        <v>104.044151</v>
      </c>
      <c r="DN45" s="43">
        <v>110.141565</v>
      </c>
      <c r="DO45" s="43">
        <v>366.77165600000001</v>
      </c>
      <c r="DP45" s="43">
        <v>369.16399000000001</v>
      </c>
      <c r="DQ45" s="43">
        <v>374.04588200000001</v>
      </c>
      <c r="DR45" s="43">
        <v>1228.4706920000001</v>
      </c>
      <c r="DS45" s="54">
        <v>812.729739</v>
      </c>
      <c r="DT45" s="54">
        <v>780.65696200000002</v>
      </c>
      <c r="DU45" s="43">
        <v>5.2309150000000004</v>
      </c>
      <c r="DV45" s="43">
        <v>29.872934999999998</v>
      </c>
      <c r="DW45" s="43">
        <v>39.778852999999998</v>
      </c>
      <c r="DX45" s="43">
        <v>48.299934</v>
      </c>
      <c r="DY45" s="43">
        <v>63.306488000000002</v>
      </c>
      <c r="DZ45" s="43">
        <v>71.877123999999995</v>
      </c>
      <c r="EA45" s="43">
        <f>+'AI_Mapa Cons. REC_2021'!$O$162/1000000</f>
        <v>86.686981000000003</v>
      </c>
      <c r="EB45" s="43"/>
      <c r="EC45" s="43"/>
      <c r="ED45" s="43"/>
      <c r="EE45" s="43"/>
      <c r="EF45" s="43"/>
      <c r="EG45" s="44">
        <f t="shared" si="3"/>
        <v>11.104362763628309</v>
      </c>
      <c r="EH45" s="44">
        <f>+(EA45/DM45-1)*100</f>
        <v>-16.682504334145609</v>
      </c>
      <c r="EI45" s="962">
        <f t="shared" si="4"/>
        <v>-17.357169999999996</v>
      </c>
    </row>
    <row r="46" spans="1:151" ht="15" customHeight="1">
      <c r="A46" s="107" t="s">
        <v>82</v>
      </c>
      <c r="B46" s="108">
        <f>+B4+B28+B32+B40</f>
        <v>40736.938054000006</v>
      </c>
      <c r="C46" s="108">
        <f t="shared" ref="C46:BN46" si="18">+C4+C28+C32+C40</f>
        <v>3227.6532280000001</v>
      </c>
      <c r="D46" s="108">
        <f t="shared" si="18"/>
        <v>5644.6511740000005</v>
      </c>
      <c r="E46" s="108">
        <f t="shared" si="18"/>
        <v>8426.1562210000011</v>
      </c>
      <c r="F46" s="108">
        <f t="shared" si="18"/>
        <v>10585.159881000001</v>
      </c>
      <c r="G46" s="108">
        <f t="shared" si="18"/>
        <v>13800.228972999999</v>
      </c>
      <c r="H46" s="108">
        <f t="shared" si="18"/>
        <v>16415.295795999999</v>
      </c>
      <c r="I46" s="108">
        <f t="shared" si="18"/>
        <v>18832.737409000001</v>
      </c>
      <c r="J46" s="108">
        <f t="shared" si="18"/>
        <v>21314.296740999998</v>
      </c>
      <c r="K46" s="108">
        <f t="shared" si="18"/>
        <v>24729.286982000005</v>
      </c>
      <c r="L46" s="108">
        <f t="shared" si="18"/>
        <v>27438.728369999997</v>
      </c>
      <c r="M46" s="108">
        <f t="shared" si="18"/>
        <v>30618.127852524212</v>
      </c>
      <c r="N46" s="108">
        <f t="shared" si="18"/>
        <v>36688.209786000007</v>
      </c>
      <c r="O46" s="108">
        <f t="shared" si="18"/>
        <v>46972.466134000002</v>
      </c>
      <c r="P46" s="108">
        <f t="shared" si="18"/>
        <v>3689.9018650000003</v>
      </c>
      <c r="Q46" s="108">
        <f t="shared" si="18"/>
        <v>6226.5823090000013</v>
      </c>
      <c r="R46" s="108">
        <f t="shared" si="18"/>
        <v>8689.6476468741803</v>
      </c>
      <c r="S46" s="108">
        <f t="shared" si="18"/>
        <v>10850.987020999997</v>
      </c>
      <c r="T46" s="108">
        <f t="shared" si="18"/>
        <v>13850.550565999998</v>
      </c>
      <c r="U46" s="108">
        <f t="shared" si="18"/>
        <v>16793.093654169646</v>
      </c>
      <c r="V46" s="108">
        <f t="shared" si="18"/>
        <v>19445.401978999998</v>
      </c>
      <c r="W46" s="108">
        <f t="shared" si="18"/>
        <v>22130.903775999999</v>
      </c>
      <c r="X46" s="108">
        <f t="shared" si="18"/>
        <v>25833.763631999995</v>
      </c>
      <c r="Y46" s="108">
        <f t="shared" si="18"/>
        <v>28424.916797000005</v>
      </c>
      <c r="Z46" s="108">
        <f t="shared" si="18"/>
        <v>31249.784761000003</v>
      </c>
      <c r="AA46" s="108">
        <f t="shared" si="18"/>
        <v>37716.290871999998</v>
      </c>
      <c r="AB46" s="108">
        <f t="shared" si="18"/>
        <v>44622.055945</v>
      </c>
      <c r="AC46" s="108">
        <f t="shared" si="18"/>
        <v>3253.539311</v>
      </c>
      <c r="AD46" s="108">
        <f t="shared" si="18"/>
        <v>5520.2518870000004</v>
      </c>
      <c r="AE46" s="108">
        <f t="shared" si="18"/>
        <v>8207.1953229999999</v>
      </c>
      <c r="AF46" s="108">
        <f t="shared" si="18"/>
        <v>10443.373394</v>
      </c>
      <c r="AG46" s="108">
        <f t="shared" si="18"/>
        <v>13610.466284999999</v>
      </c>
      <c r="AH46" s="108">
        <f t="shared" si="18"/>
        <v>16255.992182</v>
      </c>
      <c r="AI46" s="108">
        <f t="shared" si="18"/>
        <v>18455.838807</v>
      </c>
      <c r="AJ46" s="108">
        <f t="shared" si="18"/>
        <v>20722.963023000004</v>
      </c>
      <c r="AK46" s="108">
        <f t="shared" si="18"/>
        <v>25039.998511999998</v>
      </c>
      <c r="AL46" s="108">
        <f t="shared" si="18"/>
        <v>26598.180267999993</v>
      </c>
      <c r="AM46" s="108">
        <f t="shared" si="18"/>
        <v>29122.198415000003</v>
      </c>
      <c r="AN46" s="108">
        <f t="shared" si="18"/>
        <v>35326.584405000001</v>
      </c>
      <c r="AO46" s="108">
        <f t="shared" si="18"/>
        <v>44447.679511000002</v>
      </c>
      <c r="AP46" s="108">
        <f t="shared" si="18"/>
        <v>2895.7909640000003</v>
      </c>
      <c r="AQ46" s="108">
        <f t="shared" si="18"/>
        <v>5432.6386429999993</v>
      </c>
      <c r="AR46" s="108">
        <f t="shared" si="18"/>
        <v>9426.5107182023967</v>
      </c>
      <c r="AS46" s="108">
        <f t="shared" si="18"/>
        <v>12430.047528999999</v>
      </c>
      <c r="AT46" s="108">
        <f t="shared" si="18"/>
        <v>15189.998235999999</v>
      </c>
      <c r="AU46" s="108">
        <f t="shared" si="18"/>
        <v>19261.605855579277</v>
      </c>
      <c r="AV46" s="108">
        <f t="shared" si="18"/>
        <v>21930.50409043776</v>
      </c>
      <c r="AW46" s="108">
        <f t="shared" si="18"/>
        <v>24779.598362000001</v>
      </c>
      <c r="AX46" s="108">
        <f t="shared" si="18"/>
        <v>28496.936043159996</v>
      </c>
      <c r="AY46" s="108">
        <f t="shared" si="18"/>
        <v>31182.108597999999</v>
      </c>
      <c r="AZ46" s="108">
        <f t="shared" si="18"/>
        <v>34626.734875000002</v>
      </c>
      <c r="BA46" s="108">
        <f t="shared" si="18"/>
        <v>42677.678714399997</v>
      </c>
      <c r="BB46" s="108">
        <f t="shared" si="18"/>
        <v>50355.216443999991</v>
      </c>
      <c r="BC46" s="108">
        <f t="shared" si="18"/>
        <v>43219.984179399995</v>
      </c>
      <c r="BD46" s="108">
        <f t="shared" si="18"/>
        <v>3137.0378610118496</v>
      </c>
      <c r="BE46" s="108">
        <f t="shared" si="18"/>
        <v>6086.8414240000002</v>
      </c>
      <c r="BF46" s="108">
        <f t="shared" si="18"/>
        <v>9927.6586821971177</v>
      </c>
      <c r="BG46" s="108">
        <f t="shared" si="18"/>
        <v>12543.547727109999</v>
      </c>
      <c r="BH46" s="108">
        <f t="shared" si="18"/>
        <v>15798.176115000002</v>
      </c>
      <c r="BI46" s="108">
        <f t="shared" si="18"/>
        <v>19527.25278983793</v>
      </c>
      <c r="BJ46" s="108">
        <f t="shared" si="18"/>
        <v>22607.039342097283</v>
      </c>
      <c r="BK46" s="108">
        <f t="shared" si="18"/>
        <v>25771.107253040711</v>
      </c>
      <c r="BL46" s="108">
        <f t="shared" si="18"/>
        <v>29886.747170199804</v>
      </c>
      <c r="BM46" s="108">
        <f t="shared" si="18"/>
        <v>33020.597834999993</v>
      </c>
      <c r="BN46" s="108">
        <f t="shared" si="18"/>
        <v>36615.790410000001</v>
      </c>
      <c r="BO46" s="108">
        <f t="shared" ref="BO46:EA46" si="19">+BO4+BO28+BO32+BO40</f>
        <v>55940.02253799999</v>
      </c>
      <c r="BP46" s="108">
        <f t="shared" si="19"/>
        <v>50537.258208999992</v>
      </c>
      <c r="BQ46" s="108">
        <f t="shared" si="19"/>
        <v>50222.029327916753</v>
      </c>
      <c r="BR46" s="108">
        <f t="shared" si="19"/>
        <v>3409.2177040000001</v>
      </c>
      <c r="BS46" s="108">
        <f t="shared" si="19"/>
        <v>6474.1819519999999</v>
      </c>
      <c r="BT46" s="108">
        <f t="shared" si="19"/>
        <v>11711.120979767124</v>
      </c>
      <c r="BU46" s="108">
        <f t="shared" si="19"/>
        <v>15078.593097999998</v>
      </c>
      <c r="BV46" s="108">
        <f t="shared" si="19"/>
        <v>18452.621812000001</v>
      </c>
      <c r="BW46" s="108">
        <f t="shared" si="19"/>
        <v>22356.400427</v>
      </c>
      <c r="BX46" s="108">
        <f t="shared" si="19"/>
        <v>25910.830322000002</v>
      </c>
      <c r="BY46" s="108">
        <f t="shared" si="19"/>
        <v>29587.301419000003</v>
      </c>
      <c r="BZ46" s="108">
        <f t="shared" si="19"/>
        <v>35084.883074999998</v>
      </c>
      <c r="CA46" s="108">
        <f t="shared" si="19"/>
        <v>50872.020976999993</v>
      </c>
      <c r="CB46" s="108">
        <f t="shared" si="19"/>
        <v>42487.154392316937</v>
      </c>
      <c r="CC46" s="108">
        <f t="shared" si="19"/>
        <v>49504.606011000003</v>
      </c>
      <c r="CD46" s="108">
        <f t="shared" si="19"/>
        <v>54561.190617999993</v>
      </c>
      <c r="CE46" s="108">
        <f t="shared" si="19"/>
        <v>3420.4639399999992</v>
      </c>
      <c r="CF46" s="108">
        <f t="shared" si="19"/>
        <v>6550.8044400000008</v>
      </c>
      <c r="CG46" s="108">
        <f t="shared" si="19"/>
        <v>11767.692972874998</v>
      </c>
      <c r="CH46" s="108">
        <f t="shared" si="19"/>
        <v>15316.20629315</v>
      </c>
      <c r="CI46" s="108">
        <f t="shared" si="19"/>
        <v>19691.485755574999</v>
      </c>
      <c r="CJ46" s="108">
        <f t="shared" si="19"/>
        <v>23627.573356999997</v>
      </c>
      <c r="CK46" s="108">
        <f t="shared" si="19"/>
        <v>26922.702154999999</v>
      </c>
      <c r="CL46" s="108">
        <f t="shared" si="19"/>
        <v>31783.243718000002</v>
      </c>
      <c r="CM46" s="108">
        <f t="shared" si="19"/>
        <v>36153.008686250003</v>
      </c>
      <c r="CN46" s="108">
        <f t="shared" si="19"/>
        <v>39249.738077999995</v>
      </c>
      <c r="CO46" s="108">
        <f t="shared" si="19"/>
        <v>44845.738374</v>
      </c>
      <c r="CP46" s="108">
        <f t="shared" si="19"/>
        <v>51270.417804999997</v>
      </c>
      <c r="CQ46" s="108">
        <f t="shared" si="19"/>
        <v>63610.930521999995</v>
      </c>
      <c r="CR46" s="108">
        <f t="shared" si="19"/>
        <v>62649.868117811842</v>
      </c>
      <c r="CS46" s="108">
        <f t="shared" si="19"/>
        <v>3790.4553260000002</v>
      </c>
      <c r="CT46" s="108">
        <f t="shared" si="19"/>
        <v>7276.7916429999996</v>
      </c>
      <c r="CU46" s="108">
        <f t="shared" si="19"/>
        <v>11890.871697</v>
      </c>
      <c r="CV46" s="108">
        <f t="shared" si="19"/>
        <v>15639.243198000002</v>
      </c>
      <c r="CW46" s="108">
        <f t="shared" si="19"/>
        <v>20876.841569999997</v>
      </c>
      <c r="CX46" s="108">
        <f t="shared" si="19"/>
        <v>25094.475040005</v>
      </c>
      <c r="CY46" s="108">
        <f t="shared" si="19"/>
        <v>28717.740690999999</v>
      </c>
      <c r="CZ46" s="108">
        <f t="shared" si="19"/>
        <v>33705.176770000005</v>
      </c>
      <c r="DA46" s="108">
        <f t="shared" si="19"/>
        <v>37802.994402999997</v>
      </c>
      <c r="DB46" s="108">
        <f t="shared" si="19"/>
        <v>42092.737809999999</v>
      </c>
      <c r="DC46" s="108">
        <f t="shared" si="19"/>
        <v>45821.184500999989</v>
      </c>
      <c r="DD46" s="108">
        <f t="shared" si="19"/>
        <v>58731.781919000008</v>
      </c>
      <c r="DE46" s="108">
        <f t="shared" si="19"/>
        <v>68395.327002999999</v>
      </c>
      <c r="DF46" s="108">
        <f t="shared" si="19"/>
        <v>53868.713964000002</v>
      </c>
      <c r="DG46" s="108">
        <f t="shared" si="19"/>
        <v>3921.7339160000001</v>
      </c>
      <c r="DH46" s="108">
        <f t="shared" si="19"/>
        <v>7540.1998499999991</v>
      </c>
      <c r="DI46" s="108">
        <f t="shared" si="19"/>
        <v>11911.062026999998</v>
      </c>
      <c r="DJ46" s="108">
        <f t="shared" si="19"/>
        <v>15104.184908999998</v>
      </c>
      <c r="DK46" s="108">
        <f t="shared" si="19"/>
        <v>16978.043750000001</v>
      </c>
      <c r="DL46" s="108">
        <f t="shared" si="19"/>
        <v>19710.031470000002</v>
      </c>
      <c r="DM46" s="108">
        <f t="shared" si="19"/>
        <v>22977.412130000004</v>
      </c>
      <c r="DN46" s="108">
        <f t="shared" si="19"/>
        <v>27276.475438000001</v>
      </c>
      <c r="DO46" s="108">
        <f t="shared" si="19"/>
        <v>30496.252974000006</v>
      </c>
      <c r="DP46" s="108">
        <f t="shared" si="19"/>
        <v>33345.668167000003</v>
      </c>
      <c r="DQ46" s="108">
        <f t="shared" si="19"/>
        <v>36590.582498000003</v>
      </c>
      <c r="DR46" s="108">
        <f t="shared" si="19"/>
        <v>43751.261985000005</v>
      </c>
      <c r="DS46" s="108">
        <f t="shared" si="19"/>
        <v>58038.034987000006</v>
      </c>
      <c r="DT46" s="108">
        <f t="shared" ref="DT46" si="20">+DT4+DT28+DT32+DT40</f>
        <v>52519.917194999995</v>
      </c>
      <c r="DU46" s="108">
        <f t="shared" si="19"/>
        <v>2411.4388690000001</v>
      </c>
      <c r="DV46" s="108">
        <f t="shared" si="19"/>
        <v>5046.3125820000005</v>
      </c>
      <c r="DW46" s="108">
        <f t="shared" si="19"/>
        <v>8492.5467009999993</v>
      </c>
      <c r="DX46" s="108">
        <f t="shared" si="19"/>
        <v>11488.309659999999</v>
      </c>
      <c r="DY46" s="108">
        <v>14966.209821</v>
      </c>
      <c r="DZ46" s="108">
        <f t="shared" ref="DZ46" si="21">+DZ4+DZ28+DZ32+DZ40</f>
        <v>17884.850382000004</v>
      </c>
      <c r="EA46" s="108">
        <f t="shared" si="19"/>
        <v>21342.607638999998</v>
      </c>
      <c r="EB46" s="108">
        <f t="shared" ref="EB46:EF46" si="22">+EB4+EB28+EB32+EB40</f>
        <v>3149.6630890000001</v>
      </c>
      <c r="EC46" s="108">
        <f t="shared" si="22"/>
        <v>3149.6630890000001</v>
      </c>
      <c r="ED46" s="108">
        <f t="shared" si="22"/>
        <v>3149.6630890000001</v>
      </c>
      <c r="EE46" s="108">
        <f t="shared" si="22"/>
        <v>9287.8288339999999</v>
      </c>
      <c r="EF46" s="108">
        <f t="shared" si="22"/>
        <v>16602.617866000001</v>
      </c>
      <c r="EG46" s="109">
        <f t="shared" si="3"/>
        <v>40.637169247159164</v>
      </c>
      <c r="EH46" s="109">
        <f t="shared" si="5"/>
        <v>-7.1148329574745928</v>
      </c>
      <c r="EI46" s="962">
        <f t="shared" si="4"/>
        <v>-1634.8044910000062</v>
      </c>
    </row>
    <row r="47" spans="1:151" ht="15" customHeight="1">
      <c r="A47" s="100" t="s">
        <v>83</v>
      </c>
      <c r="B47" s="108">
        <f>+B48</f>
        <v>284.43</v>
      </c>
      <c r="C47" s="108">
        <f t="shared" ref="C47:BN47" si="23">+C48</f>
        <v>0</v>
      </c>
      <c r="D47" s="108">
        <f t="shared" si="23"/>
        <v>0</v>
      </c>
      <c r="E47" s="108">
        <f t="shared" si="23"/>
        <v>0</v>
      </c>
      <c r="F47" s="108">
        <f t="shared" si="23"/>
        <v>0</v>
      </c>
      <c r="G47" s="108">
        <f t="shared" si="23"/>
        <v>0</v>
      </c>
      <c r="H47" s="108">
        <f t="shared" si="23"/>
        <v>0</v>
      </c>
      <c r="I47" s="108">
        <f t="shared" si="23"/>
        <v>0</v>
      </c>
      <c r="J47" s="108">
        <f t="shared" si="23"/>
        <v>0</v>
      </c>
      <c r="K47" s="108">
        <f t="shared" si="23"/>
        <v>0</v>
      </c>
      <c r="L47" s="108">
        <f t="shared" si="23"/>
        <v>0</v>
      </c>
      <c r="M47" s="108">
        <f t="shared" si="23"/>
        <v>0</v>
      </c>
      <c r="N47" s="108">
        <f t="shared" si="23"/>
        <v>1.615837</v>
      </c>
      <c r="O47" s="108">
        <f t="shared" si="23"/>
        <v>350</v>
      </c>
      <c r="P47" s="108">
        <f t="shared" si="23"/>
        <v>351</v>
      </c>
      <c r="Q47" s="108">
        <f t="shared" si="23"/>
        <v>352</v>
      </c>
      <c r="R47" s="108">
        <f t="shared" si="23"/>
        <v>0</v>
      </c>
      <c r="S47" s="108">
        <f t="shared" si="23"/>
        <v>354</v>
      </c>
      <c r="T47" s="108">
        <f t="shared" si="23"/>
        <v>355</v>
      </c>
      <c r="U47" s="108">
        <f t="shared" si="23"/>
        <v>0</v>
      </c>
      <c r="V47" s="108">
        <f t="shared" si="23"/>
        <v>357</v>
      </c>
      <c r="W47" s="108">
        <f t="shared" si="23"/>
        <v>358</v>
      </c>
      <c r="X47" s="108">
        <f t="shared" si="23"/>
        <v>0</v>
      </c>
      <c r="Y47" s="108">
        <f t="shared" si="23"/>
        <v>360</v>
      </c>
      <c r="Z47" s="108">
        <f t="shared" si="23"/>
        <v>361</v>
      </c>
      <c r="AA47" s="108">
        <f t="shared" si="23"/>
        <v>13.638413999999999</v>
      </c>
      <c r="AB47" s="108">
        <f t="shared" si="23"/>
        <v>0.7</v>
      </c>
      <c r="AC47" s="108">
        <f t="shared" si="23"/>
        <v>1.7</v>
      </c>
      <c r="AD47" s="108">
        <f t="shared" si="23"/>
        <v>2.7</v>
      </c>
      <c r="AE47" s="108">
        <f t="shared" si="23"/>
        <v>72.764358999999999</v>
      </c>
      <c r="AF47" s="108">
        <f t="shared" si="23"/>
        <v>4.7</v>
      </c>
      <c r="AG47" s="108">
        <f t="shared" si="23"/>
        <v>5.7</v>
      </c>
      <c r="AH47" s="108">
        <f t="shared" si="23"/>
        <v>119.528255</v>
      </c>
      <c r="AI47" s="108">
        <f t="shared" si="23"/>
        <v>7.7</v>
      </c>
      <c r="AJ47" s="108">
        <f t="shared" si="23"/>
        <v>8.6999999999999993</v>
      </c>
      <c r="AK47" s="108">
        <f t="shared" si="23"/>
        <v>72.764358999999999</v>
      </c>
      <c r="AL47" s="108">
        <f t="shared" si="23"/>
        <v>0</v>
      </c>
      <c r="AM47" s="108">
        <f t="shared" si="23"/>
        <v>0</v>
      </c>
      <c r="AN47" s="108">
        <f t="shared" si="23"/>
        <v>309.609602</v>
      </c>
      <c r="AO47" s="108">
        <f t="shared" si="23"/>
        <v>128.33500000000001</v>
      </c>
      <c r="AP47" s="108">
        <f t="shared" si="23"/>
        <v>0</v>
      </c>
      <c r="AQ47" s="108">
        <f t="shared" si="23"/>
        <v>0</v>
      </c>
      <c r="AR47" s="108">
        <f t="shared" si="23"/>
        <v>1.8896539999999999</v>
      </c>
      <c r="AS47" s="108">
        <f t="shared" si="23"/>
        <v>2.3041</v>
      </c>
      <c r="AT47" s="108">
        <f t="shared" si="23"/>
        <v>2.3041</v>
      </c>
      <c r="AU47" s="108">
        <f t="shared" si="23"/>
        <v>20.935462000000001</v>
      </c>
      <c r="AV47" s="108">
        <f t="shared" si="23"/>
        <v>6</v>
      </c>
      <c r="AW47" s="108">
        <f t="shared" si="23"/>
        <v>27</v>
      </c>
      <c r="AX47" s="108">
        <f t="shared" si="23"/>
        <v>180.54741200000001</v>
      </c>
      <c r="AY47" s="108">
        <f t="shared" si="23"/>
        <v>34</v>
      </c>
      <c r="AZ47" s="108">
        <f t="shared" si="23"/>
        <v>36.527622000000001</v>
      </c>
      <c r="BA47" s="108">
        <f t="shared" si="23"/>
        <v>283.84569800000003</v>
      </c>
      <c r="BB47" s="108">
        <f t="shared" si="23"/>
        <v>135.40980500000001</v>
      </c>
      <c r="BC47" s="108">
        <f t="shared" si="23"/>
        <v>79.879320000000007</v>
      </c>
      <c r="BD47" s="108">
        <f t="shared" si="23"/>
        <v>2.3041</v>
      </c>
      <c r="BE47" s="108">
        <f t="shared" si="23"/>
        <v>12.819000000000001</v>
      </c>
      <c r="BF47" s="108">
        <f t="shared" si="23"/>
        <v>12.59155</v>
      </c>
      <c r="BG47" s="108">
        <f t="shared" si="23"/>
        <v>47.591479</v>
      </c>
      <c r="BH47" s="108">
        <f t="shared" si="23"/>
        <v>15.848050000000001</v>
      </c>
      <c r="BI47" s="108">
        <f t="shared" si="23"/>
        <v>22.83605</v>
      </c>
      <c r="BJ47" s="108">
        <f t="shared" si="23"/>
        <v>1.6505000000000001</v>
      </c>
      <c r="BK47" s="108">
        <f t="shared" si="23"/>
        <v>54.148449999999997</v>
      </c>
      <c r="BL47" s="108">
        <f t="shared" si="23"/>
        <v>36.205787000000001</v>
      </c>
      <c r="BM47" s="108">
        <f t="shared" si="23"/>
        <v>166.735792</v>
      </c>
      <c r="BN47" s="108">
        <f t="shared" si="23"/>
        <v>166.735792</v>
      </c>
      <c r="BO47" s="108">
        <f t="shared" ref="BO47:DX47" si="24">+BO48</f>
        <v>38.176797000000001</v>
      </c>
      <c r="BP47" s="108">
        <f t="shared" si="24"/>
        <v>483.43374399999999</v>
      </c>
      <c r="BQ47" s="108">
        <f t="shared" si="24"/>
        <v>310</v>
      </c>
      <c r="BR47" s="108">
        <f t="shared" si="24"/>
        <v>152.95941999999999</v>
      </c>
      <c r="BS47" s="108">
        <f t="shared" si="24"/>
        <v>154.22891999999999</v>
      </c>
      <c r="BT47" s="108">
        <f t="shared" si="24"/>
        <v>162.82483999999999</v>
      </c>
      <c r="BU47" s="108">
        <f t="shared" si="24"/>
        <v>163.61434</v>
      </c>
      <c r="BV47" s="108">
        <f t="shared" si="24"/>
        <v>164.34406899999999</v>
      </c>
      <c r="BW47" s="108">
        <f t="shared" si="24"/>
        <v>165.55256900000001</v>
      </c>
      <c r="BX47" s="108">
        <f t="shared" si="24"/>
        <v>164.34406899999999</v>
      </c>
      <c r="BY47" s="108">
        <f t="shared" si="24"/>
        <v>164.34406899999999</v>
      </c>
      <c r="BZ47" s="108">
        <f t="shared" si="24"/>
        <v>166.735792</v>
      </c>
      <c r="CA47" s="108">
        <f t="shared" si="24"/>
        <v>54.148449999999997</v>
      </c>
      <c r="CB47" s="108">
        <f t="shared" si="24"/>
        <v>54.148449999999997</v>
      </c>
      <c r="CC47" s="108">
        <f t="shared" si="24"/>
        <v>168.46303499999999</v>
      </c>
      <c r="CD47" s="108">
        <f t="shared" si="24"/>
        <v>996.63052600000003</v>
      </c>
      <c r="CE47" s="108">
        <f t="shared" si="24"/>
        <v>0.61699999999999999</v>
      </c>
      <c r="CF47" s="108">
        <f t="shared" si="24"/>
        <v>13.436</v>
      </c>
      <c r="CG47" s="108">
        <f t="shared" si="24"/>
        <v>13.88</v>
      </c>
      <c r="CH47" s="108">
        <f t="shared" si="24"/>
        <v>14.37275</v>
      </c>
      <c r="CI47" s="108">
        <f t="shared" si="24"/>
        <v>45.568199999999997</v>
      </c>
      <c r="CJ47" s="108">
        <f t="shared" si="24"/>
        <v>47.21895</v>
      </c>
      <c r="CK47" s="108">
        <f t="shared" si="24"/>
        <v>48.869450000000001</v>
      </c>
      <c r="CL47" s="108">
        <f t="shared" si="24"/>
        <v>49.512450000000001</v>
      </c>
      <c r="CM47" s="108">
        <f t="shared" si="24"/>
        <v>50.309950000000001</v>
      </c>
      <c r="CN47" s="108">
        <f t="shared" si="24"/>
        <v>50.784950000000002</v>
      </c>
      <c r="CO47" s="108">
        <f t="shared" si="24"/>
        <v>51.654449999999997</v>
      </c>
      <c r="CP47" s="108">
        <f t="shared" si="24"/>
        <v>54.148449999999997</v>
      </c>
      <c r="CQ47" s="108">
        <f t="shared" si="24"/>
        <v>1996.2585160000001</v>
      </c>
      <c r="CR47" s="108">
        <f t="shared" si="24"/>
        <v>996.2585160000001</v>
      </c>
      <c r="CS47" s="108">
        <f t="shared" si="24"/>
        <v>1.7183999999999999</v>
      </c>
      <c r="CT47" s="108">
        <f t="shared" si="24"/>
        <v>1.9669000000000001</v>
      </c>
      <c r="CU47" s="108">
        <f t="shared" si="24"/>
        <v>2.3788999999999998</v>
      </c>
      <c r="CV47" s="108">
        <f t="shared" si="24"/>
        <v>2.6888999999999998</v>
      </c>
      <c r="CW47" s="108">
        <f t="shared" si="24"/>
        <v>3.4199000000000002</v>
      </c>
      <c r="CX47" s="108">
        <f t="shared" si="24"/>
        <v>72.662235999999993</v>
      </c>
      <c r="CY47" s="108">
        <f t="shared" si="24"/>
        <v>74.170736000000005</v>
      </c>
      <c r="CZ47" s="108">
        <f t="shared" si="24"/>
        <v>79.359486000000004</v>
      </c>
      <c r="DA47" s="108">
        <f t="shared" si="24"/>
        <v>81.932986</v>
      </c>
      <c r="DB47" s="108">
        <f t="shared" si="24"/>
        <v>82.932986</v>
      </c>
      <c r="DC47" s="108">
        <f t="shared" si="24"/>
        <v>83.932986</v>
      </c>
      <c r="DD47" s="108">
        <f t="shared" si="24"/>
        <v>339.36812300000003</v>
      </c>
      <c r="DE47" s="108">
        <f t="shared" si="24"/>
        <v>1224.276089</v>
      </c>
      <c r="DF47" s="108">
        <f t="shared" si="24"/>
        <v>450.59675700000003</v>
      </c>
      <c r="DG47" s="108">
        <f t="shared" si="24"/>
        <v>0.94350000000000001</v>
      </c>
      <c r="DH47" s="108">
        <f t="shared" si="24"/>
        <v>18.722429999999999</v>
      </c>
      <c r="DI47" s="108">
        <f t="shared" si="24"/>
        <v>45.377429999999997</v>
      </c>
      <c r="DJ47" s="108">
        <f t="shared" si="24"/>
        <v>45.377429999999997</v>
      </c>
      <c r="DK47" s="108">
        <f t="shared" si="24"/>
        <v>45.377429999999997</v>
      </c>
      <c r="DL47" s="108">
        <f t="shared" si="24"/>
        <v>45.51643</v>
      </c>
      <c r="DM47" s="108">
        <f t="shared" si="24"/>
        <v>48.515680000000003</v>
      </c>
      <c r="DN47" s="108">
        <f t="shared" si="24"/>
        <v>58.25788</v>
      </c>
      <c r="DO47" s="108">
        <f t="shared" si="24"/>
        <v>83.441950000000006</v>
      </c>
      <c r="DP47" s="108">
        <f t="shared" si="24"/>
        <v>83.446950000000001</v>
      </c>
      <c r="DQ47" s="108">
        <f t="shared" si="24"/>
        <v>95.596779999999995</v>
      </c>
      <c r="DR47" s="108">
        <f t="shared" si="24"/>
        <v>99.928939999999997</v>
      </c>
      <c r="DS47" s="108">
        <f t="shared" si="24"/>
        <v>1832.9886590000001</v>
      </c>
      <c r="DT47" s="108">
        <f>+DT48</f>
        <v>1490.0556120000001</v>
      </c>
      <c r="DU47" s="108">
        <f t="shared" si="24"/>
        <v>84.834074999999999</v>
      </c>
      <c r="DV47" s="108">
        <f t="shared" si="24"/>
        <v>84.824574999999996</v>
      </c>
      <c r="DW47" s="108">
        <f t="shared" si="24"/>
        <v>325.07910199999998</v>
      </c>
      <c r="DX47" s="108">
        <f t="shared" si="24"/>
        <v>363.07633700000002</v>
      </c>
      <c r="DY47" s="108">
        <v>524.25277500000004</v>
      </c>
      <c r="DZ47" s="108">
        <f>+DZ48</f>
        <v>527.55885499999999</v>
      </c>
      <c r="EA47" s="108">
        <f>+EA48</f>
        <v>533.87956499999996</v>
      </c>
      <c r="EB47" s="108">
        <f t="shared" ref="EB47:EF47" si="25">+EB48</f>
        <v>0</v>
      </c>
      <c r="EC47" s="108">
        <f t="shared" si="25"/>
        <v>0</v>
      </c>
      <c r="ED47" s="108">
        <f t="shared" si="25"/>
        <v>0</v>
      </c>
      <c r="EE47" s="108">
        <f t="shared" si="25"/>
        <v>0</v>
      </c>
      <c r="EF47" s="108">
        <f t="shared" si="25"/>
        <v>0</v>
      </c>
      <c r="EG47" s="110">
        <f t="shared" si="3"/>
        <v>35.829506006383873</v>
      </c>
      <c r="EH47" s="111">
        <f t="shared" si="5"/>
        <v>1000.4268413840638</v>
      </c>
      <c r="EI47" s="962">
        <f t="shared" si="4"/>
        <v>485.36388499999998</v>
      </c>
    </row>
    <row r="48" spans="1:151" ht="15" customHeight="1">
      <c r="A48" s="79" t="s">
        <v>84</v>
      </c>
      <c r="B48" s="41">
        <v>284.43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1.615837</v>
      </c>
      <c r="O48" s="41">
        <v>350</v>
      </c>
      <c r="P48" s="41">
        <v>351</v>
      </c>
      <c r="Q48" s="41">
        <v>352</v>
      </c>
      <c r="R48" s="41">
        <v>0</v>
      </c>
      <c r="S48" s="41">
        <v>354</v>
      </c>
      <c r="T48" s="41">
        <v>355</v>
      </c>
      <c r="U48" s="41">
        <v>0</v>
      </c>
      <c r="V48" s="41">
        <v>357</v>
      </c>
      <c r="W48" s="41">
        <v>358</v>
      </c>
      <c r="X48" s="41">
        <v>0</v>
      </c>
      <c r="Y48" s="41">
        <v>360</v>
      </c>
      <c r="Z48" s="41">
        <v>361</v>
      </c>
      <c r="AA48" s="41">
        <v>13.638413999999999</v>
      </c>
      <c r="AB48" s="41">
        <v>0.7</v>
      </c>
      <c r="AC48" s="41">
        <v>1.7</v>
      </c>
      <c r="AD48" s="41">
        <v>2.7</v>
      </c>
      <c r="AE48" s="41">
        <v>72.764358999999999</v>
      </c>
      <c r="AF48" s="41">
        <v>4.7</v>
      </c>
      <c r="AG48" s="41">
        <v>5.7</v>
      </c>
      <c r="AH48" s="41">
        <v>119.528255</v>
      </c>
      <c r="AI48" s="41">
        <v>7.7</v>
      </c>
      <c r="AJ48" s="41">
        <v>8.6999999999999993</v>
      </c>
      <c r="AK48" s="41">
        <v>72.764358999999999</v>
      </c>
      <c r="AL48" s="41"/>
      <c r="AM48" s="41"/>
      <c r="AN48" s="41">
        <v>309.609602</v>
      </c>
      <c r="AO48" s="41">
        <v>128.33500000000001</v>
      </c>
      <c r="AP48" s="41">
        <v>0</v>
      </c>
      <c r="AQ48" s="41">
        <v>0</v>
      </c>
      <c r="AR48" s="41">
        <v>1.8896539999999999</v>
      </c>
      <c r="AS48" s="41">
        <v>2.3041</v>
      </c>
      <c r="AT48" s="41">
        <v>2.3041</v>
      </c>
      <c r="AU48" s="41">
        <v>20.935462000000001</v>
      </c>
      <c r="AV48" s="41">
        <v>6</v>
      </c>
      <c r="AW48" s="41">
        <v>27</v>
      </c>
      <c r="AX48" s="41">
        <v>180.54741200000001</v>
      </c>
      <c r="AY48" s="41">
        <v>34</v>
      </c>
      <c r="AZ48" s="41">
        <v>36.527622000000001</v>
      </c>
      <c r="BA48" s="41">
        <v>283.84569800000003</v>
      </c>
      <c r="BB48" s="41">
        <v>135.40980500000001</v>
      </c>
      <c r="BC48" s="41">
        <v>79.879320000000007</v>
      </c>
      <c r="BD48" s="41">
        <v>2.3041</v>
      </c>
      <c r="BE48" s="41">
        <v>12.819000000000001</v>
      </c>
      <c r="BF48" s="41">
        <v>12.59155</v>
      </c>
      <c r="BG48" s="41">
        <v>47.591479</v>
      </c>
      <c r="BH48" s="41">
        <v>15.848050000000001</v>
      </c>
      <c r="BI48" s="41">
        <v>22.83605</v>
      </c>
      <c r="BJ48" s="41">
        <v>1.6505000000000001</v>
      </c>
      <c r="BK48" s="41">
        <v>54.148449999999997</v>
      </c>
      <c r="BL48" s="41">
        <v>36.205787000000001</v>
      </c>
      <c r="BM48" s="41">
        <v>166.735792</v>
      </c>
      <c r="BN48" s="41">
        <v>166.735792</v>
      </c>
      <c r="BO48" s="41">
        <v>38.176797000000001</v>
      </c>
      <c r="BP48" s="41">
        <v>483.43374399999999</v>
      </c>
      <c r="BQ48" s="41">
        <v>310</v>
      </c>
      <c r="BR48" s="41">
        <v>152.95941999999999</v>
      </c>
      <c r="BS48" s="41">
        <v>154.22891999999999</v>
      </c>
      <c r="BT48" s="41">
        <v>162.82483999999999</v>
      </c>
      <c r="BU48" s="41">
        <v>163.61434</v>
      </c>
      <c r="BV48" s="41">
        <v>164.34406899999999</v>
      </c>
      <c r="BW48" s="41">
        <v>165.55256900000001</v>
      </c>
      <c r="BX48" s="41">
        <v>164.34406899999999</v>
      </c>
      <c r="BY48" s="41">
        <v>164.34406899999999</v>
      </c>
      <c r="BZ48" s="41">
        <v>166.735792</v>
      </c>
      <c r="CA48" s="41">
        <v>54.148449999999997</v>
      </c>
      <c r="CB48" s="41">
        <v>54.148449999999997</v>
      </c>
      <c r="CC48" s="41">
        <v>168.46303499999999</v>
      </c>
      <c r="CD48" s="41">
        <v>996.63052600000003</v>
      </c>
      <c r="CE48" s="41">
        <v>0.61699999999999999</v>
      </c>
      <c r="CF48" s="41">
        <v>13.436</v>
      </c>
      <c r="CG48" s="41">
        <v>13.88</v>
      </c>
      <c r="CH48" s="41">
        <v>14.37275</v>
      </c>
      <c r="CI48" s="41">
        <v>45.568199999999997</v>
      </c>
      <c r="CJ48" s="41">
        <v>47.21895</v>
      </c>
      <c r="CK48" s="41">
        <v>48.869450000000001</v>
      </c>
      <c r="CL48" s="41">
        <v>49.512450000000001</v>
      </c>
      <c r="CM48" s="41">
        <v>50.309950000000001</v>
      </c>
      <c r="CN48" s="41">
        <v>50.784950000000002</v>
      </c>
      <c r="CO48" s="41">
        <v>51.654449999999997</v>
      </c>
      <c r="CP48" s="41">
        <v>54.148449999999997</v>
      </c>
      <c r="CQ48" s="41">
        <v>1996.2585160000001</v>
      </c>
      <c r="CR48" s="41">
        <v>996.2585160000001</v>
      </c>
      <c r="CS48" s="41">
        <v>1.7183999999999999</v>
      </c>
      <c r="CT48" s="41">
        <v>1.9669000000000001</v>
      </c>
      <c r="CU48" s="41">
        <v>2.3788999999999998</v>
      </c>
      <c r="CV48" s="41">
        <v>2.6888999999999998</v>
      </c>
      <c r="CW48" s="41">
        <v>3.4199000000000002</v>
      </c>
      <c r="CX48" s="41">
        <v>72.662235999999993</v>
      </c>
      <c r="CY48" s="41">
        <v>74.170736000000005</v>
      </c>
      <c r="CZ48" s="41">
        <v>79.359486000000004</v>
      </c>
      <c r="DA48" s="41">
        <v>81.932986</v>
      </c>
      <c r="DB48" s="41">
        <v>82.932986</v>
      </c>
      <c r="DC48" s="41">
        <v>83.932986</v>
      </c>
      <c r="DD48" s="41">
        <v>339.36812300000003</v>
      </c>
      <c r="DE48" s="43">
        <v>1224.276089</v>
      </c>
      <c r="DF48" s="43">
        <v>450.59675700000003</v>
      </c>
      <c r="DG48" s="43">
        <v>0.94350000000000001</v>
      </c>
      <c r="DH48" s="43">
        <v>18.722429999999999</v>
      </c>
      <c r="DI48" s="43">
        <v>45.377429999999997</v>
      </c>
      <c r="DJ48" s="43">
        <v>45.377429999999997</v>
      </c>
      <c r="DK48" s="43">
        <v>45.377429999999997</v>
      </c>
      <c r="DL48" s="43">
        <v>45.51643</v>
      </c>
      <c r="DM48" s="43">
        <v>48.515680000000003</v>
      </c>
      <c r="DN48" s="43">
        <v>58.25788</v>
      </c>
      <c r="DO48" s="43">
        <v>83.441950000000006</v>
      </c>
      <c r="DP48" s="43">
        <v>83.446950000000001</v>
      </c>
      <c r="DQ48" s="43">
        <v>95.596779999999995</v>
      </c>
      <c r="DR48" s="43">
        <v>99.928939999999997</v>
      </c>
      <c r="DS48" s="43">
        <v>1832.9886590000001</v>
      </c>
      <c r="DT48" s="43">
        <v>1490.0556120000001</v>
      </c>
      <c r="DU48" s="43">
        <v>84.834074999999999</v>
      </c>
      <c r="DV48" s="43">
        <v>84.824574999999996</v>
      </c>
      <c r="DW48" s="43">
        <v>325.07910199999998</v>
      </c>
      <c r="DX48" s="43">
        <v>363.07633700000002</v>
      </c>
      <c r="DY48" s="43">
        <v>524.25277500000004</v>
      </c>
      <c r="DZ48" s="43">
        <v>527.55885499999999</v>
      </c>
      <c r="EA48" s="43">
        <f>+'AI_Mapa Cons. REC_2021'!O169/1000000</f>
        <v>533.87956499999996</v>
      </c>
      <c r="EB48" s="43"/>
      <c r="EC48" s="43"/>
      <c r="ED48" s="43"/>
      <c r="EE48" s="43"/>
      <c r="EF48" s="43"/>
      <c r="EG48" s="44">
        <f t="shared" si="3"/>
        <v>35.829506006383873</v>
      </c>
      <c r="EH48" s="44">
        <f t="shared" si="5"/>
        <v>1000.4268413840638</v>
      </c>
      <c r="EI48" s="962">
        <f t="shared" si="4"/>
        <v>485.36388499999998</v>
      </c>
    </row>
    <row r="49" spans="1:139" s="4" customFormat="1" ht="15" customHeight="1" thickBot="1">
      <c r="A49" s="112" t="s">
        <v>85</v>
      </c>
      <c r="B49" s="113">
        <f>+B46+B47</f>
        <v>41021.368054000006</v>
      </c>
      <c r="C49" s="113">
        <f t="shared" ref="C49:BN49" si="26">+C46+C47</f>
        <v>3227.6532280000001</v>
      </c>
      <c r="D49" s="113">
        <f t="shared" si="26"/>
        <v>5644.6511740000005</v>
      </c>
      <c r="E49" s="113">
        <f t="shared" si="26"/>
        <v>8426.1562210000011</v>
      </c>
      <c r="F49" s="113">
        <f t="shared" si="26"/>
        <v>10585.159881000001</v>
      </c>
      <c r="G49" s="113">
        <f t="shared" si="26"/>
        <v>13800.228972999999</v>
      </c>
      <c r="H49" s="113">
        <f t="shared" si="26"/>
        <v>16415.295795999999</v>
      </c>
      <c r="I49" s="113">
        <f t="shared" si="26"/>
        <v>18832.737409000001</v>
      </c>
      <c r="J49" s="113">
        <f t="shared" si="26"/>
        <v>21314.296740999998</v>
      </c>
      <c r="K49" s="113">
        <f t="shared" si="26"/>
        <v>24729.286982000005</v>
      </c>
      <c r="L49" s="113">
        <f t="shared" si="26"/>
        <v>27438.728369999997</v>
      </c>
      <c r="M49" s="113">
        <f t="shared" si="26"/>
        <v>30618.127852524212</v>
      </c>
      <c r="N49" s="113">
        <f t="shared" si="26"/>
        <v>36689.825623000004</v>
      </c>
      <c r="O49" s="113">
        <f t="shared" si="26"/>
        <v>47322.466134000002</v>
      </c>
      <c r="P49" s="113">
        <f t="shared" si="26"/>
        <v>4040.9018650000003</v>
      </c>
      <c r="Q49" s="113">
        <f t="shared" si="26"/>
        <v>6578.5823090000013</v>
      </c>
      <c r="R49" s="113">
        <f t="shared" si="26"/>
        <v>8689.6476468741803</v>
      </c>
      <c r="S49" s="113">
        <f t="shared" si="26"/>
        <v>11204.987020999997</v>
      </c>
      <c r="T49" s="113">
        <f t="shared" si="26"/>
        <v>14205.550565999998</v>
      </c>
      <c r="U49" s="113">
        <f t="shared" si="26"/>
        <v>16793.093654169646</v>
      </c>
      <c r="V49" s="113">
        <f t="shared" si="26"/>
        <v>19802.401978999998</v>
      </c>
      <c r="W49" s="113">
        <f t="shared" si="26"/>
        <v>22488.903775999999</v>
      </c>
      <c r="X49" s="113">
        <f t="shared" si="26"/>
        <v>25833.763631999995</v>
      </c>
      <c r="Y49" s="113">
        <f t="shared" si="26"/>
        <v>28784.916797000005</v>
      </c>
      <c r="Z49" s="113">
        <f t="shared" si="26"/>
        <v>31610.784761000003</v>
      </c>
      <c r="AA49" s="113">
        <f t="shared" si="26"/>
        <v>37729.929285999999</v>
      </c>
      <c r="AB49" s="113">
        <f t="shared" si="26"/>
        <v>44622.755944999997</v>
      </c>
      <c r="AC49" s="113">
        <f t="shared" si="26"/>
        <v>3255.2393109999998</v>
      </c>
      <c r="AD49" s="113">
        <f t="shared" si="26"/>
        <v>5522.9518870000002</v>
      </c>
      <c r="AE49" s="113">
        <f t="shared" si="26"/>
        <v>8279.9596820000006</v>
      </c>
      <c r="AF49" s="113">
        <f t="shared" si="26"/>
        <v>10448.073394000001</v>
      </c>
      <c r="AG49" s="113">
        <f t="shared" si="26"/>
        <v>13616.166284999999</v>
      </c>
      <c r="AH49" s="113">
        <f t="shared" si="26"/>
        <v>16375.520436999999</v>
      </c>
      <c r="AI49" s="113">
        <f t="shared" si="26"/>
        <v>18463.538807000001</v>
      </c>
      <c r="AJ49" s="113">
        <f t="shared" si="26"/>
        <v>20731.663023000005</v>
      </c>
      <c r="AK49" s="113">
        <f t="shared" si="26"/>
        <v>25112.762870999999</v>
      </c>
      <c r="AL49" s="113">
        <f t="shared" si="26"/>
        <v>26598.180267999993</v>
      </c>
      <c r="AM49" s="113">
        <f t="shared" si="26"/>
        <v>29122.198415000003</v>
      </c>
      <c r="AN49" s="113">
        <f t="shared" si="26"/>
        <v>35636.194006999998</v>
      </c>
      <c r="AO49" s="113">
        <f t="shared" si="26"/>
        <v>44576.014511000001</v>
      </c>
      <c r="AP49" s="113">
        <f t="shared" si="26"/>
        <v>2895.7909640000003</v>
      </c>
      <c r="AQ49" s="113">
        <f t="shared" si="26"/>
        <v>5432.6386429999993</v>
      </c>
      <c r="AR49" s="113">
        <f t="shared" si="26"/>
        <v>9428.4003722023972</v>
      </c>
      <c r="AS49" s="113">
        <f t="shared" si="26"/>
        <v>12432.351628999999</v>
      </c>
      <c r="AT49" s="113">
        <f t="shared" si="26"/>
        <v>15192.302335999999</v>
      </c>
      <c r="AU49" s="113">
        <f t="shared" si="26"/>
        <v>19282.541317579278</v>
      </c>
      <c r="AV49" s="113">
        <f t="shared" si="26"/>
        <v>21936.50409043776</v>
      </c>
      <c r="AW49" s="113">
        <f t="shared" si="26"/>
        <v>24806.598362000001</v>
      </c>
      <c r="AX49" s="113">
        <f t="shared" si="26"/>
        <v>28677.483455159996</v>
      </c>
      <c r="AY49" s="113">
        <f t="shared" si="26"/>
        <v>31216.108597999999</v>
      </c>
      <c r="AZ49" s="113">
        <f t="shared" si="26"/>
        <v>34663.262497000003</v>
      </c>
      <c r="BA49" s="113">
        <f t="shared" si="26"/>
        <v>42961.524412399995</v>
      </c>
      <c r="BB49" s="113">
        <f t="shared" si="26"/>
        <v>50490.626248999994</v>
      </c>
      <c r="BC49" s="113">
        <f t="shared" si="26"/>
        <v>43299.863499399995</v>
      </c>
      <c r="BD49" s="113">
        <f t="shared" si="26"/>
        <v>3139.3419610118494</v>
      </c>
      <c r="BE49" s="113">
        <f t="shared" si="26"/>
        <v>6099.6604240000006</v>
      </c>
      <c r="BF49" s="113">
        <f t="shared" si="26"/>
        <v>9940.2502321971169</v>
      </c>
      <c r="BG49" s="113">
        <f t="shared" si="26"/>
        <v>12591.13920611</v>
      </c>
      <c r="BH49" s="113">
        <f t="shared" si="26"/>
        <v>15814.024165000003</v>
      </c>
      <c r="BI49" s="113">
        <f t="shared" si="26"/>
        <v>19550.088839837932</v>
      </c>
      <c r="BJ49" s="113">
        <f t="shared" si="26"/>
        <v>22608.689842097283</v>
      </c>
      <c r="BK49" s="113">
        <f t="shared" si="26"/>
        <v>25825.255703040712</v>
      </c>
      <c r="BL49" s="113">
        <f t="shared" si="26"/>
        <v>29922.952957199803</v>
      </c>
      <c r="BM49" s="113">
        <f t="shared" si="26"/>
        <v>33187.333626999993</v>
      </c>
      <c r="BN49" s="113">
        <f t="shared" si="26"/>
        <v>36782.526202000001</v>
      </c>
      <c r="BO49" s="113">
        <f t="shared" ref="BO49:EA49" si="27">+BO46+BO47</f>
        <v>55978.19933499999</v>
      </c>
      <c r="BP49" s="113">
        <f t="shared" si="27"/>
        <v>51020.691952999994</v>
      </c>
      <c r="BQ49" s="113">
        <f t="shared" si="27"/>
        <v>50532.029327916753</v>
      </c>
      <c r="BR49" s="113">
        <f t="shared" si="27"/>
        <v>3562.1771240000003</v>
      </c>
      <c r="BS49" s="113">
        <f t="shared" si="27"/>
        <v>6628.4108719999995</v>
      </c>
      <c r="BT49" s="113">
        <f t="shared" si="27"/>
        <v>11873.945819767123</v>
      </c>
      <c r="BU49" s="113">
        <f t="shared" si="27"/>
        <v>15242.207437999998</v>
      </c>
      <c r="BV49" s="113">
        <f t="shared" si="27"/>
        <v>18616.965881</v>
      </c>
      <c r="BW49" s="113">
        <f t="shared" si="27"/>
        <v>22521.952996</v>
      </c>
      <c r="BX49" s="113">
        <f t="shared" si="27"/>
        <v>26075.174391</v>
      </c>
      <c r="BY49" s="113">
        <f t="shared" si="27"/>
        <v>29751.645488000002</v>
      </c>
      <c r="BZ49" s="113">
        <f t="shared" si="27"/>
        <v>35251.618866999997</v>
      </c>
      <c r="CA49" s="113">
        <f t="shared" si="27"/>
        <v>50926.169426999993</v>
      </c>
      <c r="CB49" s="113">
        <f t="shared" si="27"/>
        <v>42541.302842316938</v>
      </c>
      <c r="CC49" s="113">
        <f t="shared" si="27"/>
        <v>49673.069046000004</v>
      </c>
      <c r="CD49" s="113">
        <f t="shared" si="27"/>
        <v>55557.821143999994</v>
      </c>
      <c r="CE49" s="113">
        <f t="shared" si="27"/>
        <v>3421.0809399999994</v>
      </c>
      <c r="CF49" s="113">
        <f t="shared" si="27"/>
        <v>6564.2404400000005</v>
      </c>
      <c r="CG49" s="113">
        <f t="shared" si="27"/>
        <v>11781.572972874998</v>
      </c>
      <c r="CH49" s="113">
        <f t="shared" si="27"/>
        <v>15330.579043150001</v>
      </c>
      <c r="CI49" s="113">
        <f t="shared" si="27"/>
        <v>19737.053955575</v>
      </c>
      <c r="CJ49" s="113">
        <f t="shared" si="27"/>
        <v>23674.792306999996</v>
      </c>
      <c r="CK49" s="113">
        <f t="shared" si="27"/>
        <v>26971.571604999997</v>
      </c>
      <c r="CL49" s="113">
        <f t="shared" si="27"/>
        <v>31832.756168</v>
      </c>
      <c r="CM49" s="113">
        <f t="shared" si="27"/>
        <v>36203.318636250006</v>
      </c>
      <c r="CN49" s="113">
        <f t="shared" si="27"/>
        <v>39300.523027999996</v>
      </c>
      <c r="CO49" s="113">
        <f t="shared" si="27"/>
        <v>44897.392824000002</v>
      </c>
      <c r="CP49" s="113">
        <f t="shared" si="27"/>
        <v>51324.566254999998</v>
      </c>
      <c r="CQ49" s="113">
        <f t="shared" si="27"/>
        <v>65607.189037999997</v>
      </c>
      <c r="CR49" s="113">
        <f t="shared" si="27"/>
        <v>63646.126633811844</v>
      </c>
      <c r="CS49" s="113">
        <f t="shared" si="27"/>
        <v>3792.1737260000004</v>
      </c>
      <c r="CT49" s="113">
        <f t="shared" si="27"/>
        <v>7278.7585429999999</v>
      </c>
      <c r="CU49" s="113">
        <f t="shared" si="27"/>
        <v>11893.250597</v>
      </c>
      <c r="CV49" s="113">
        <f t="shared" si="27"/>
        <v>15641.932098000001</v>
      </c>
      <c r="CW49" s="113">
        <f t="shared" si="27"/>
        <v>20880.261469999998</v>
      </c>
      <c r="CX49" s="113">
        <f t="shared" si="27"/>
        <v>25167.137276005</v>
      </c>
      <c r="CY49" s="113">
        <f t="shared" si="27"/>
        <v>28791.911426999999</v>
      </c>
      <c r="CZ49" s="113">
        <f t="shared" si="27"/>
        <v>33784.536256000007</v>
      </c>
      <c r="DA49" s="113">
        <f t="shared" si="27"/>
        <v>37884.927388999997</v>
      </c>
      <c r="DB49" s="113">
        <f t="shared" si="27"/>
        <v>42175.670795999999</v>
      </c>
      <c r="DC49" s="113">
        <f t="shared" si="27"/>
        <v>45905.117486999989</v>
      </c>
      <c r="DD49" s="113">
        <f t="shared" si="27"/>
        <v>59071.150042000008</v>
      </c>
      <c r="DE49" s="113">
        <f t="shared" si="27"/>
        <v>69619.603092000005</v>
      </c>
      <c r="DF49" s="113">
        <f t="shared" si="27"/>
        <v>54319.310721000002</v>
      </c>
      <c r="DG49" s="113">
        <f t="shared" si="27"/>
        <v>3922.677416</v>
      </c>
      <c r="DH49" s="113">
        <f t="shared" si="27"/>
        <v>7558.9222799999989</v>
      </c>
      <c r="DI49" s="113">
        <f t="shared" si="27"/>
        <v>11956.439456999999</v>
      </c>
      <c r="DJ49" s="113">
        <f t="shared" si="27"/>
        <v>15149.562338999998</v>
      </c>
      <c r="DK49" s="113">
        <f t="shared" si="27"/>
        <v>17023.421180000001</v>
      </c>
      <c r="DL49" s="113">
        <f t="shared" si="27"/>
        <v>19755.547900000001</v>
      </c>
      <c r="DM49" s="113">
        <f t="shared" si="27"/>
        <v>23025.927810000005</v>
      </c>
      <c r="DN49" s="113">
        <f t="shared" si="27"/>
        <v>27334.733318000002</v>
      </c>
      <c r="DO49" s="113">
        <f t="shared" si="27"/>
        <v>30579.694924000007</v>
      </c>
      <c r="DP49" s="113">
        <f t="shared" si="27"/>
        <v>33429.115117000001</v>
      </c>
      <c r="DQ49" s="113">
        <f t="shared" si="27"/>
        <v>36686.179278000003</v>
      </c>
      <c r="DR49" s="113">
        <f t="shared" si="27"/>
        <v>43851.190925000003</v>
      </c>
      <c r="DS49" s="113">
        <f t="shared" si="27"/>
        <v>59871.023646000009</v>
      </c>
      <c r="DT49" s="113">
        <f t="shared" si="27"/>
        <v>54009.972806999998</v>
      </c>
      <c r="DU49" s="113">
        <f t="shared" si="27"/>
        <v>2496.2729440000003</v>
      </c>
      <c r="DV49" s="113">
        <f t="shared" si="27"/>
        <v>5131.1371570000001</v>
      </c>
      <c r="DW49" s="113">
        <f t="shared" si="27"/>
        <v>8817.625802999999</v>
      </c>
      <c r="DX49" s="113">
        <f t="shared" si="27"/>
        <v>11851.385996999999</v>
      </c>
      <c r="DY49" s="113">
        <v>15490.462596000001</v>
      </c>
      <c r="DZ49" s="975">
        <f t="shared" si="27"/>
        <v>18412.409237000003</v>
      </c>
      <c r="EA49" s="975">
        <f t="shared" si="27"/>
        <v>21876.487203999997</v>
      </c>
      <c r="EB49" s="113">
        <f t="shared" ref="EB49:EF49" si="28">+EB46+EB47</f>
        <v>3149.6630890000001</v>
      </c>
      <c r="EC49" s="113">
        <f t="shared" si="28"/>
        <v>3149.6630890000001</v>
      </c>
      <c r="ED49" s="113">
        <f t="shared" si="28"/>
        <v>3149.6630890000001</v>
      </c>
      <c r="EE49" s="113">
        <f t="shared" si="28"/>
        <v>9287.8288339999999</v>
      </c>
      <c r="EF49" s="113">
        <f t="shared" si="28"/>
        <v>16602.617866000001</v>
      </c>
      <c r="EG49" s="114">
        <f t="shared" si="3"/>
        <v>40.504532898347769</v>
      </c>
      <c r="EH49" s="114">
        <f t="shared" si="5"/>
        <v>-4.9919404572301929</v>
      </c>
      <c r="EI49" s="962">
        <f t="shared" si="4"/>
        <v>-1149.4406060000074</v>
      </c>
    </row>
    <row r="50" spans="1:139">
      <c r="A50" s="968" t="s">
        <v>1107</v>
      </c>
      <c r="AB50" s="46"/>
      <c r="DY50" s="116"/>
    </row>
    <row r="51" spans="1:139" s="80" customFormat="1">
      <c r="C51" s="117"/>
      <c r="P51" s="117"/>
      <c r="AR51" s="118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119"/>
      <c r="BQ51" s="119"/>
      <c r="BR51" s="56"/>
      <c r="BS51" s="56"/>
      <c r="BT51" s="60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60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60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60"/>
      <c r="DL51" s="60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</row>
    <row r="52" spans="1:139" s="80" customFormat="1">
      <c r="O52" s="117"/>
      <c r="P52" s="117"/>
      <c r="Q52" s="117"/>
      <c r="R52" s="117"/>
      <c r="S52" s="117"/>
      <c r="T52" s="117"/>
      <c r="U52" s="117"/>
      <c r="V52" s="117">
        <f>+V28+V32+V40</f>
        <v>3575.8656999999994</v>
      </c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8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20"/>
      <c r="BU52" s="119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81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81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81"/>
      <c r="DL52" s="81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</row>
    <row r="53" spans="1:139" s="80" customFormat="1"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18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81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81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81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81"/>
      <c r="DL53" s="81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</row>
    <row r="54" spans="1:139" s="80" customFormat="1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18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4"/>
      <c r="BU54" s="123"/>
      <c r="BV54" s="123"/>
      <c r="BW54" s="123"/>
      <c r="BX54" s="125">
        <f>+BX53-BX52</f>
        <v>0</v>
      </c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4"/>
      <c r="CK54" s="123"/>
      <c r="CL54" s="123"/>
      <c r="CM54" s="123"/>
      <c r="CN54" s="123"/>
      <c r="CO54" s="123"/>
      <c r="CP54" s="123"/>
      <c r="CQ54" s="123"/>
      <c r="CR54" s="123"/>
      <c r="CS54" s="123"/>
      <c r="CT54" s="123"/>
      <c r="CU54" s="123"/>
      <c r="CV54" s="123"/>
      <c r="CW54" s="123"/>
      <c r="CX54" s="124"/>
      <c r="CY54" s="123"/>
      <c r="CZ54" s="123"/>
      <c r="DA54" s="123"/>
      <c r="DB54" s="123"/>
      <c r="DC54" s="123"/>
      <c r="DD54" s="123"/>
      <c r="DE54" s="123"/>
      <c r="DF54" s="123"/>
      <c r="DG54" s="123"/>
      <c r="DH54" s="123"/>
      <c r="DI54" s="123"/>
      <c r="DJ54" s="123"/>
      <c r="DK54" s="124"/>
      <c r="DL54" s="124"/>
      <c r="DM54" s="123"/>
      <c r="DN54" s="123"/>
      <c r="DO54" s="123"/>
      <c r="DP54" s="123"/>
      <c r="DQ54" s="123"/>
      <c r="DR54" s="123"/>
      <c r="DS54" s="123"/>
      <c r="DT54" s="123"/>
      <c r="DU54" s="123"/>
      <c r="DV54" s="123"/>
      <c r="DW54" s="123"/>
      <c r="DX54" s="123"/>
      <c r="DY54" s="123"/>
      <c r="DZ54" s="123"/>
      <c r="EA54" s="123"/>
      <c r="EB54" s="123"/>
      <c r="EC54" s="123"/>
      <c r="ED54" s="123"/>
      <c r="EE54" s="123"/>
      <c r="EF54" s="123"/>
    </row>
    <row r="55" spans="1:139" s="80" customFormat="1">
      <c r="B55" s="122"/>
      <c r="C55" s="122"/>
      <c r="D55" s="122"/>
      <c r="E55" s="122"/>
      <c r="F55" s="122"/>
      <c r="G55" s="122"/>
      <c r="H55" s="122"/>
      <c r="I55" s="122"/>
      <c r="J55" s="117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18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4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4"/>
      <c r="CK55" s="123"/>
      <c r="CL55" s="123"/>
      <c r="CM55" s="123"/>
      <c r="CN55" s="123"/>
      <c r="CO55" s="123"/>
      <c r="CP55" s="123"/>
      <c r="CQ55" s="123"/>
      <c r="CR55" s="123"/>
      <c r="CS55" s="123"/>
      <c r="CT55" s="123"/>
      <c r="CU55" s="123"/>
      <c r="CV55" s="123"/>
      <c r="CW55" s="123"/>
      <c r="CX55" s="124"/>
      <c r="CY55" s="123"/>
      <c r="CZ55" s="123"/>
      <c r="DA55" s="123"/>
      <c r="DB55" s="123"/>
      <c r="DC55" s="123"/>
      <c r="DD55" s="123"/>
      <c r="DE55" s="123"/>
      <c r="DF55" s="123"/>
      <c r="DG55" s="123"/>
      <c r="DH55" s="123"/>
      <c r="DI55" s="123"/>
      <c r="DJ55" s="123"/>
      <c r="DK55" s="124"/>
      <c r="DL55" s="124"/>
      <c r="DM55" s="123"/>
      <c r="DN55" s="123"/>
      <c r="DO55" s="123"/>
      <c r="DP55" s="123"/>
      <c r="DQ55" s="123"/>
      <c r="DR55" s="123"/>
      <c r="DS55" s="123"/>
      <c r="DT55" s="123"/>
      <c r="DU55" s="123"/>
      <c r="DV55" s="123"/>
      <c r="DW55" s="123"/>
      <c r="DX55" s="123"/>
      <c r="DY55" s="123"/>
      <c r="DZ55" s="123"/>
      <c r="EA55" s="123"/>
      <c r="EB55" s="123"/>
      <c r="EC55" s="123"/>
      <c r="ED55" s="123"/>
      <c r="EE55" s="123"/>
      <c r="EF55" s="123"/>
    </row>
    <row r="56" spans="1:139" s="80" customFormat="1">
      <c r="B56" s="122"/>
      <c r="C56" s="122"/>
      <c r="D56" s="122"/>
      <c r="E56" s="122"/>
      <c r="F56" s="122"/>
      <c r="G56" s="122"/>
      <c r="H56" s="122"/>
      <c r="I56" s="122"/>
      <c r="J56" s="117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18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4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4"/>
      <c r="CK56" s="123"/>
      <c r="CL56" s="123"/>
      <c r="CM56" s="123"/>
      <c r="CN56" s="123"/>
      <c r="CO56" s="123"/>
      <c r="CP56" s="123"/>
      <c r="CQ56" s="123"/>
      <c r="CR56" s="123"/>
      <c r="CS56" s="123"/>
      <c r="CT56" s="123"/>
      <c r="CU56" s="123"/>
      <c r="CV56" s="123"/>
      <c r="CW56" s="123"/>
      <c r="CX56" s="124"/>
      <c r="CY56" s="123"/>
      <c r="CZ56" s="123"/>
      <c r="DA56" s="123"/>
      <c r="DB56" s="123"/>
      <c r="DC56" s="123"/>
      <c r="DD56" s="123"/>
      <c r="DE56" s="123"/>
      <c r="DF56" s="123"/>
      <c r="DG56" s="123"/>
      <c r="DH56" s="123"/>
      <c r="DI56" s="123"/>
      <c r="DJ56" s="123"/>
      <c r="DK56" s="124"/>
      <c r="DL56" s="124"/>
      <c r="DM56" s="123"/>
      <c r="DN56" s="123"/>
      <c r="DO56" s="123"/>
      <c r="DP56" s="123"/>
      <c r="DQ56" s="123"/>
      <c r="DR56" s="123"/>
      <c r="DS56" s="123"/>
      <c r="DT56" s="123"/>
      <c r="DU56" s="123"/>
      <c r="DV56" s="123"/>
      <c r="DW56" s="123"/>
      <c r="DX56" s="123"/>
      <c r="DY56" s="123"/>
      <c r="DZ56" s="123"/>
      <c r="EA56" s="123"/>
      <c r="EB56" s="123"/>
      <c r="EC56" s="123"/>
      <c r="ED56" s="123"/>
      <c r="EE56" s="123"/>
      <c r="EF56" s="123"/>
    </row>
    <row r="57" spans="1:139" s="80" customFormat="1">
      <c r="B57" s="122"/>
      <c r="C57" s="122"/>
      <c r="D57" s="122"/>
      <c r="E57" s="122"/>
      <c r="F57" s="122"/>
      <c r="G57" s="122"/>
      <c r="H57" s="122"/>
      <c r="I57" s="122"/>
      <c r="J57" s="117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18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4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4"/>
      <c r="CK57" s="123"/>
      <c r="CL57" s="123"/>
      <c r="CM57" s="123"/>
      <c r="CN57" s="123"/>
      <c r="CO57" s="123"/>
      <c r="CP57" s="123"/>
      <c r="CQ57" s="123"/>
      <c r="CR57" s="123"/>
      <c r="CS57" s="123"/>
      <c r="CT57" s="123"/>
      <c r="CU57" s="123"/>
      <c r="CV57" s="123"/>
      <c r="CW57" s="123"/>
      <c r="CX57" s="124"/>
      <c r="CY57" s="123"/>
      <c r="CZ57" s="123"/>
      <c r="DA57" s="123"/>
      <c r="DB57" s="123"/>
      <c r="DC57" s="123"/>
      <c r="DD57" s="123"/>
      <c r="DE57" s="123"/>
      <c r="DF57" s="123"/>
      <c r="DG57" s="123"/>
      <c r="DH57" s="123"/>
      <c r="DI57" s="123"/>
      <c r="DJ57" s="123"/>
      <c r="DK57" s="124"/>
      <c r="DL57" s="124"/>
      <c r="DM57" s="123"/>
      <c r="DN57" s="123"/>
      <c r="DO57" s="123"/>
      <c r="DP57" s="123"/>
      <c r="DQ57" s="123"/>
      <c r="DR57" s="123"/>
      <c r="DS57" s="123"/>
      <c r="DT57" s="123"/>
      <c r="DU57" s="123"/>
      <c r="DV57" s="123"/>
      <c r="DW57" s="123"/>
      <c r="DX57" s="123"/>
      <c r="DY57" s="123"/>
      <c r="DZ57" s="123"/>
      <c r="EA57" s="123"/>
      <c r="EB57" s="123"/>
      <c r="EC57" s="123"/>
      <c r="ED57" s="123"/>
      <c r="EE57" s="123"/>
      <c r="EF57" s="123"/>
    </row>
    <row r="58" spans="1:139" s="80" customFormat="1">
      <c r="B58" s="122"/>
      <c r="C58" s="122"/>
      <c r="D58" s="122"/>
      <c r="E58" s="122"/>
      <c r="F58" s="122"/>
      <c r="G58" s="122"/>
      <c r="H58" s="122"/>
      <c r="I58" s="122"/>
      <c r="J58" s="117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18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4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4"/>
      <c r="CK58" s="123"/>
      <c r="CL58" s="123"/>
      <c r="CM58" s="123"/>
      <c r="CN58" s="123"/>
      <c r="CO58" s="123"/>
      <c r="CP58" s="123"/>
      <c r="CQ58" s="123"/>
      <c r="CR58" s="123"/>
      <c r="CS58" s="123"/>
      <c r="CT58" s="123"/>
      <c r="CU58" s="123"/>
      <c r="CV58" s="123"/>
      <c r="CW58" s="123"/>
      <c r="CX58" s="124"/>
      <c r="CY58" s="123"/>
      <c r="CZ58" s="123"/>
      <c r="DA58" s="123"/>
      <c r="DB58" s="123"/>
      <c r="DC58" s="123"/>
      <c r="DD58" s="123"/>
      <c r="DE58" s="123"/>
      <c r="DF58" s="123"/>
      <c r="DG58" s="123"/>
      <c r="DH58" s="123"/>
      <c r="DI58" s="123"/>
      <c r="DJ58" s="123"/>
      <c r="DK58" s="124"/>
      <c r="DL58" s="124"/>
      <c r="DM58" s="123"/>
      <c r="DN58" s="123"/>
      <c r="DO58" s="123"/>
      <c r="DP58" s="123"/>
      <c r="DQ58" s="123"/>
      <c r="DR58" s="123"/>
      <c r="DS58" s="123"/>
      <c r="DT58" s="123"/>
      <c r="DU58" s="123"/>
      <c r="DV58" s="123"/>
      <c r="DW58" s="123"/>
      <c r="DX58" s="123"/>
      <c r="DY58" s="123"/>
      <c r="DZ58" s="123"/>
      <c r="EA58" s="123"/>
      <c r="EB58" s="123"/>
      <c r="EC58" s="123"/>
      <c r="ED58" s="123"/>
      <c r="EE58" s="123"/>
      <c r="EF58" s="123"/>
    </row>
    <row r="59" spans="1:139" s="80" customFormat="1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18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4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4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  <c r="CW59" s="123"/>
      <c r="CX59" s="124"/>
      <c r="CY59" s="123"/>
      <c r="CZ59" s="123"/>
      <c r="DA59" s="123"/>
      <c r="DB59" s="123"/>
      <c r="DC59" s="123"/>
      <c r="DD59" s="123"/>
      <c r="DE59" s="123"/>
      <c r="DF59" s="123"/>
      <c r="DG59" s="123"/>
      <c r="DH59" s="123"/>
      <c r="DI59" s="123"/>
      <c r="DJ59" s="123"/>
      <c r="DK59" s="124"/>
      <c r="DL59" s="124"/>
      <c r="DM59" s="123"/>
      <c r="DN59" s="123"/>
      <c r="DO59" s="123"/>
      <c r="DP59" s="123"/>
      <c r="DQ59" s="123"/>
      <c r="DR59" s="123"/>
      <c r="DS59" s="123"/>
      <c r="DT59" s="123"/>
      <c r="DU59" s="123"/>
      <c r="DV59" s="123"/>
      <c r="DW59" s="123"/>
      <c r="DX59" s="123"/>
      <c r="DY59" s="123"/>
      <c r="DZ59" s="123"/>
      <c r="EA59" s="123"/>
      <c r="EB59" s="123"/>
      <c r="EC59" s="123"/>
      <c r="ED59" s="123"/>
      <c r="EE59" s="123"/>
      <c r="EF59" s="123"/>
    </row>
    <row r="60" spans="1:139" s="80" customFormat="1">
      <c r="AR60" s="118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60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60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60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60"/>
      <c r="DL60" s="60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</row>
    <row r="61" spans="1:139" s="80" customFormat="1">
      <c r="AR61" s="118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60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60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60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60"/>
      <c r="DL61" s="60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</row>
    <row r="62" spans="1:139" s="80" customFormat="1">
      <c r="AR62" s="118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60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60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60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60"/>
      <c r="DL62" s="60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</row>
    <row r="63" spans="1:139" s="80" customFormat="1">
      <c r="R63" s="80">
        <v>41.891198000000003</v>
      </c>
      <c r="AR63" s="118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60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60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60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60"/>
      <c r="DL63" s="60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</row>
    <row r="64" spans="1:139" s="80" customFormat="1">
      <c r="AR64" s="118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60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60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60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60"/>
      <c r="DL64" s="60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</row>
    <row r="65" spans="2:136" s="80" customFormat="1">
      <c r="AR65" s="118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60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60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60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60"/>
      <c r="DL65" s="60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</row>
    <row r="66" spans="2:136" s="80" customFormat="1">
      <c r="AR66" s="118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60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60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60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60"/>
      <c r="DL66" s="60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</row>
    <row r="67" spans="2:136" s="80" customFormat="1">
      <c r="AR67" s="118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60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60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60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60"/>
      <c r="DL67" s="60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</row>
    <row r="68" spans="2:136" s="80" customFormat="1">
      <c r="AR68" s="118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60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60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60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60"/>
      <c r="DL68" s="60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</row>
    <row r="69" spans="2:136" s="80" customFormat="1">
      <c r="AR69" s="118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60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60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60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60"/>
      <c r="DL69" s="60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</row>
    <row r="70" spans="2:136" s="80" customFormat="1">
      <c r="AR70" s="118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60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60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60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60"/>
      <c r="DL70" s="60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</row>
    <row r="71" spans="2:136" s="80" customFormat="1">
      <c r="AR71" s="118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60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60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60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60"/>
      <c r="DL71" s="60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</row>
    <row r="72" spans="2:136" s="80" customFormat="1">
      <c r="AR72" s="118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60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60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60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60"/>
      <c r="DL72" s="60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</row>
    <row r="73" spans="2:136" s="80" customFormat="1">
      <c r="AR73" s="118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60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60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60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60"/>
      <c r="DL73" s="60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</row>
    <row r="74" spans="2:136" s="80" customFormat="1">
      <c r="AR74" s="118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60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60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60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60"/>
      <c r="DL74" s="60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</row>
    <row r="75" spans="2:136" s="80" customFormat="1">
      <c r="AR75" s="118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60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60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60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60"/>
      <c r="DL75" s="60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</row>
    <row r="76" spans="2:136" s="80" customFormat="1">
      <c r="AR76" s="118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60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60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60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60"/>
      <c r="DL76" s="60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</row>
    <row r="77" spans="2:136" s="80" customFormat="1"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18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8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8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8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8"/>
      <c r="DL77" s="128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27"/>
      <c r="EC77" s="127"/>
      <c r="ED77" s="127"/>
      <c r="EE77" s="127"/>
      <c r="EF77" s="127"/>
    </row>
    <row r="78" spans="2:136" s="80" customFormat="1"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8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20"/>
      <c r="BU78" s="119"/>
      <c r="BV78" s="119"/>
      <c r="BW78" s="119"/>
      <c r="BX78" s="119"/>
      <c r="BY78" s="119"/>
      <c r="BZ78" s="119"/>
      <c r="CA78" s="119"/>
      <c r="CB78" s="119"/>
      <c r="CC78" s="119"/>
      <c r="CD78" s="119"/>
      <c r="CE78" s="119"/>
      <c r="CF78" s="119"/>
      <c r="CG78" s="119"/>
      <c r="CH78" s="119"/>
      <c r="CI78" s="119"/>
      <c r="CJ78" s="120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19"/>
      <c r="CX78" s="120"/>
      <c r="CY78" s="119"/>
      <c r="CZ78" s="119"/>
      <c r="DA78" s="119"/>
      <c r="DB78" s="119"/>
      <c r="DC78" s="119"/>
      <c r="DD78" s="119"/>
      <c r="DE78" s="119"/>
      <c r="DF78" s="119"/>
      <c r="DG78" s="119"/>
      <c r="DH78" s="119"/>
      <c r="DI78" s="119"/>
      <c r="DJ78" s="119"/>
      <c r="DK78" s="120"/>
      <c r="DL78" s="120"/>
      <c r="DM78" s="119"/>
      <c r="DN78" s="119"/>
      <c r="DO78" s="119"/>
      <c r="DP78" s="119"/>
      <c r="DQ78" s="119"/>
      <c r="DR78" s="119"/>
      <c r="DS78" s="119"/>
      <c r="DT78" s="119"/>
      <c r="DU78" s="119"/>
      <c r="DV78" s="119"/>
      <c r="DW78" s="119"/>
      <c r="DX78" s="119"/>
      <c r="DY78" s="119"/>
      <c r="DZ78" s="119"/>
      <c r="EA78" s="119"/>
      <c r="EB78" s="119"/>
      <c r="EC78" s="119"/>
      <c r="ED78" s="119"/>
      <c r="EE78" s="119"/>
      <c r="EF78" s="119"/>
    </row>
    <row r="79" spans="2:136" s="80" customFormat="1">
      <c r="AR79" s="118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60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60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60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60"/>
      <c r="DL79" s="60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</row>
    <row r="80" spans="2:136" s="80" customFormat="1">
      <c r="AR80" s="118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60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60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60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60"/>
      <c r="DL80" s="60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</row>
    <row r="81" spans="44:136" s="80" customFormat="1">
      <c r="AR81" s="118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60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60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60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60"/>
      <c r="DL81" s="60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</row>
    <row r="82" spans="44:136" s="80" customFormat="1">
      <c r="AR82" s="118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60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60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60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60"/>
      <c r="DL82" s="60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</row>
    <row r="83" spans="44:136" s="80" customFormat="1">
      <c r="AR83" s="118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60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60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60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60"/>
      <c r="DL83" s="60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</row>
    <row r="84" spans="44:136" s="80" customFormat="1">
      <c r="AR84" s="118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60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60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60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60"/>
      <c r="DL84" s="60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</row>
    <row r="85" spans="44:136" s="80" customFormat="1">
      <c r="AR85" s="118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60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60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60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60"/>
      <c r="DL85" s="60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</row>
    <row r="86" spans="44:136" s="80" customFormat="1">
      <c r="AR86" s="118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60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60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60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60"/>
      <c r="DL86" s="60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</row>
    <row r="87" spans="44:136" s="80" customFormat="1">
      <c r="AR87" s="118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60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60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60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60"/>
      <c r="DL87" s="60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</row>
    <row r="88" spans="44:136" s="80" customFormat="1">
      <c r="AR88" s="118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60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60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60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60"/>
      <c r="DL88" s="60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</row>
    <row r="89" spans="44:136" s="80" customFormat="1">
      <c r="AR89" s="118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60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60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60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60"/>
      <c r="DL89" s="60"/>
      <c r="DM89" s="56"/>
      <c r="DN89" s="56"/>
      <c r="DO89" s="56"/>
      <c r="DP89" s="56"/>
      <c r="DQ89" s="56"/>
      <c r="DR89" s="56"/>
      <c r="DS89" s="56"/>
      <c r="DT89" s="56"/>
      <c r="DU89" s="56"/>
      <c r="DV89" s="56"/>
      <c r="DW89" s="56"/>
      <c r="DX89" s="56"/>
      <c r="DY89" s="56"/>
      <c r="DZ89" s="56"/>
      <c r="EA89" s="56"/>
      <c r="EB89" s="56"/>
      <c r="EC89" s="56"/>
      <c r="ED89" s="56"/>
      <c r="EE89" s="56"/>
      <c r="EF89" s="56"/>
    </row>
    <row r="90" spans="44:136" s="80" customFormat="1">
      <c r="AR90" s="118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60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60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60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60"/>
      <c r="DL90" s="60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</row>
    <row r="91" spans="44:136" s="80" customFormat="1">
      <c r="AR91" s="118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60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60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60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60"/>
      <c r="DL91" s="60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</row>
    <row r="92" spans="44:136" s="80" customFormat="1">
      <c r="AR92" s="118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60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60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60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60"/>
      <c r="DL92" s="60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</row>
    <row r="93" spans="44:136" s="80" customFormat="1">
      <c r="AR93" s="118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60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60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60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60"/>
      <c r="DL93" s="60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</row>
    <row r="94" spans="44:136" s="80" customFormat="1">
      <c r="AR94" s="118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60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60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60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60"/>
      <c r="DL94" s="60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</row>
    <row r="95" spans="44:136" s="80" customFormat="1">
      <c r="AR95" s="118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60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60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60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60"/>
      <c r="DL95" s="60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</row>
    <row r="96" spans="44:136" s="80" customFormat="1">
      <c r="AR96" s="118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60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60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60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60"/>
      <c r="DL96" s="60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</row>
    <row r="97" spans="44:136" s="80" customFormat="1">
      <c r="AR97" s="118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60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60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60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60"/>
      <c r="DL97" s="60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</row>
    <row r="98" spans="44:136" s="80" customFormat="1">
      <c r="AR98" s="118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60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60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60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60"/>
      <c r="DL98" s="60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</row>
    <row r="99" spans="44:136" s="80" customFormat="1">
      <c r="AR99" s="118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60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60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60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60"/>
      <c r="DL99" s="60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</row>
    <row r="100" spans="44:136" s="80" customFormat="1">
      <c r="AR100" s="118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60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60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60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60"/>
      <c r="DL100" s="60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  <c r="EB100" s="56"/>
      <c r="EC100" s="56"/>
      <c r="ED100" s="56"/>
      <c r="EE100" s="56"/>
      <c r="EF100" s="56"/>
    </row>
    <row r="101" spans="44:136" s="80" customFormat="1">
      <c r="AR101" s="118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60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60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60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60"/>
      <c r="DL101" s="60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56"/>
      <c r="ED101" s="56"/>
      <c r="EE101" s="56"/>
      <c r="EF101" s="56"/>
    </row>
    <row r="102" spans="44:136" s="80" customFormat="1">
      <c r="AR102" s="118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60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60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60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60"/>
      <c r="DL102" s="60"/>
      <c r="DM102" s="56"/>
      <c r="DN102" s="56"/>
      <c r="DO102" s="56"/>
      <c r="DP102" s="56"/>
      <c r="DQ102" s="56"/>
      <c r="DR102" s="56"/>
      <c r="DS102" s="56"/>
      <c r="DT102" s="56"/>
      <c r="DU102" s="56"/>
      <c r="DV102" s="56"/>
      <c r="DW102" s="56"/>
      <c r="DX102" s="56"/>
      <c r="DY102" s="56"/>
      <c r="DZ102" s="56"/>
      <c r="EA102" s="56"/>
      <c r="EB102" s="56"/>
      <c r="EC102" s="56"/>
      <c r="ED102" s="56"/>
      <c r="EE102" s="56"/>
      <c r="EF102" s="56"/>
    </row>
    <row r="103" spans="44:136" s="80" customFormat="1">
      <c r="AR103" s="118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60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60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60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60"/>
      <c r="DL103" s="60"/>
      <c r="DM103" s="56"/>
      <c r="DN103" s="56"/>
      <c r="DO103" s="56"/>
      <c r="DP103" s="56"/>
      <c r="DQ103" s="56"/>
      <c r="DR103" s="56"/>
      <c r="DS103" s="56"/>
      <c r="DT103" s="56"/>
      <c r="DU103" s="56"/>
      <c r="DV103" s="56"/>
      <c r="DW103" s="56"/>
      <c r="DX103" s="56"/>
      <c r="DY103" s="56"/>
      <c r="DZ103" s="56"/>
      <c r="EA103" s="56"/>
      <c r="EB103" s="56"/>
      <c r="EC103" s="56"/>
      <c r="ED103" s="56"/>
      <c r="EE103" s="56"/>
      <c r="EF103" s="56"/>
    </row>
    <row r="104" spans="44:136" s="80" customFormat="1">
      <c r="AR104" s="118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60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60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60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60"/>
      <c r="DL104" s="60"/>
      <c r="DM104" s="56"/>
      <c r="DN104" s="56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/>
      <c r="DY104" s="56"/>
      <c r="DZ104" s="56"/>
      <c r="EA104" s="56"/>
      <c r="EB104" s="56"/>
      <c r="EC104" s="56"/>
      <c r="ED104" s="56"/>
      <c r="EE104" s="56"/>
      <c r="EF104" s="56"/>
    </row>
    <row r="105" spans="44:136" s="80" customFormat="1">
      <c r="AR105" s="118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60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60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56"/>
      <c r="CX105" s="60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60"/>
      <c r="DL105" s="60"/>
      <c r="DM105" s="56"/>
      <c r="DN105" s="56"/>
      <c r="DO105" s="56"/>
      <c r="DP105" s="56"/>
      <c r="DQ105" s="56"/>
      <c r="DR105" s="56"/>
      <c r="DS105" s="56"/>
      <c r="DT105" s="56"/>
      <c r="DU105" s="56"/>
      <c r="DV105" s="56"/>
      <c r="DW105" s="56"/>
      <c r="DX105" s="56"/>
      <c r="DY105" s="56"/>
      <c r="DZ105" s="56"/>
      <c r="EA105" s="56"/>
      <c r="EB105" s="56"/>
      <c r="EC105" s="56"/>
      <c r="ED105" s="56"/>
      <c r="EE105" s="56"/>
      <c r="EF105" s="56"/>
    </row>
    <row r="106" spans="44:136" s="80" customFormat="1">
      <c r="AR106" s="118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60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60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56"/>
      <c r="CX106" s="60"/>
      <c r="CY106" s="56"/>
      <c r="CZ106" s="56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  <c r="DK106" s="60"/>
      <c r="DL106" s="60"/>
      <c r="DM106" s="56"/>
      <c r="DN106" s="56"/>
      <c r="DO106" s="56"/>
      <c r="DP106" s="56"/>
      <c r="DQ106" s="56"/>
      <c r="DR106" s="56"/>
      <c r="DS106" s="56"/>
      <c r="DT106" s="56"/>
      <c r="DU106" s="56"/>
      <c r="DV106" s="56"/>
      <c r="DW106" s="56"/>
      <c r="DX106" s="56"/>
      <c r="DY106" s="56"/>
      <c r="DZ106" s="56"/>
      <c r="EA106" s="56"/>
      <c r="EB106" s="56"/>
      <c r="EC106" s="56"/>
      <c r="ED106" s="56"/>
      <c r="EE106" s="56"/>
      <c r="EF106" s="56"/>
    </row>
    <row r="107" spans="44:136" s="80" customFormat="1">
      <c r="AR107" s="118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60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60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6"/>
      <c r="CW107" s="56"/>
      <c r="CX107" s="60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60"/>
      <c r="DL107" s="60"/>
      <c r="DM107" s="56"/>
      <c r="DN107" s="56"/>
      <c r="DO107" s="56"/>
      <c r="DP107" s="56"/>
      <c r="DQ107" s="56"/>
      <c r="DR107" s="56"/>
      <c r="DS107" s="56"/>
      <c r="DT107" s="56"/>
      <c r="DU107" s="56"/>
      <c r="DV107" s="56"/>
      <c r="DW107" s="56"/>
      <c r="DX107" s="56"/>
      <c r="DY107" s="56"/>
      <c r="DZ107" s="56"/>
      <c r="EA107" s="56"/>
      <c r="EB107" s="56"/>
      <c r="EC107" s="56"/>
      <c r="ED107" s="56"/>
      <c r="EE107" s="56"/>
      <c r="EF107" s="56"/>
    </row>
    <row r="108" spans="44:136" s="80" customFormat="1">
      <c r="AR108" s="118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60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56"/>
      <c r="CG108" s="56"/>
      <c r="CH108" s="56"/>
      <c r="CI108" s="56"/>
      <c r="CJ108" s="60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6"/>
      <c r="CW108" s="56"/>
      <c r="CX108" s="60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60"/>
      <c r="DL108" s="60"/>
      <c r="DM108" s="56"/>
      <c r="DN108" s="56"/>
      <c r="DO108" s="56"/>
      <c r="DP108" s="56"/>
      <c r="DQ108" s="56"/>
      <c r="DR108" s="56"/>
      <c r="DS108" s="56"/>
      <c r="DT108" s="56"/>
      <c r="DU108" s="56"/>
      <c r="DV108" s="56"/>
      <c r="DW108" s="56"/>
      <c r="DX108" s="56"/>
      <c r="DY108" s="56"/>
      <c r="DZ108" s="56"/>
      <c r="EA108" s="56"/>
      <c r="EB108" s="56"/>
      <c r="EC108" s="56"/>
      <c r="ED108" s="56"/>
      <c r="EE108" s="56"/>
      <c r="EF108" s="56"/>
    </row>
    <row r="109" spans="44:136" s="80" customFormat="1">
      <c r="AR109" s="118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60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60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60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60"/>
      <c r="DL109" s="60"/>
      <c r="DM109" s="56"/>
      <c r="DN109" s="56"/>
      <c r="DO109" s="56"/>
      <c r="DP109" s="56"/>
      <c r="DQ109" s="56"/>
      <c r="DR109" s="5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56"/>
      <c r="ED109" s="56"/>
      <c r="EE109" s="56"/>
      <c r="EF109" s="56"/>
    </row>
    <row r="110" spans="44:136" s="80" customFormat="1">
      <c r="AR110" s="118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60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60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60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60"/>
      <c r="DL110" s="60"/>
      <c r="DM110" s="56"/>
      <c r="DN110" s="56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6"/>
      <c r="ED110" s="56"/>
      <c r="EE110" s="56"/>
      <c r="EF110" s="56"/>
    </row>
    <row r="111" spans="44:136" s="80" customFormat="1">
      <c r="AR111" s="118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60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60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60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60"/>
      <c r="DL111" s="60"/>
      <c r="DM111" s="56"/>
      <c r="DN111" s="56"/>
      <c r="DO111" s="56"/>
      <c r="DP111" s="56"/>
      <c r="DQ111" s="56"/>
      <c r="DR111" s="56"/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6"/>
      <c r="ED111" s="56"/>
      <c r="EE111" s="56"/>
      <c r="EF111" s="56"/>
    </row>
    <row r="112" spans="44:136" s="80" customFormat="1">
      <c r="AR112" s="118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60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60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60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60"/>
      <c r="DL112" s="60"/>
      <c r="DM112" s="56"/>
      <c r="DN112" s="56"/>
      <c r="DO112" s="56"/>
      <c r="DP112" s="56"/>
      <c r="DQ112" s="56"/>
      <c r="DR112" s="56"/>
      <c r="DS112" s="56"/>
      <c r="DT112" s="56"/>
      <c r="DU112" s="56"/>
      <c r="DV112" s="56"/>
      <c r="DW112" s="56"/>
      <c r="DX112" s="56"/>
      <c r="DY112" s="56"/>
      <c r="DZ112" s="56"/>
      <c r="EA112" s="56"/>
      <c r="EB112" s="56"/>
      <c r="EC112" s="56"/>
      <c r="ED112" s="56"/>
      <c r="EE112" s="56"/>
      <c r="EF112" s="56"/>
    </row>
    <row r="113" spans="44:136" s="80" customFormat="1">
      <c r="AR113" s="118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60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60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60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60"/>
      <c r="DL113" s="60"/>
      <c r="DM113" s="56"/>
      <c r="DN113" s="56"/>
      <c r="DO113" s="56"/>
      <c r="DP113" s="56"/>
      <c r="DQ113" s="56"/>
      <c r="DR113" s="56"/>
      <c r="DS113" s="56"/>
      <c r="DT113" s="56"/>
      <c r="DU113" s="56"/>
      <c r="DV113" s="56"/>
      <c r="DW113" s="56"/>
      <c r="DX113" s="56"/>
      <c r="DY113" s="56"/>
      <c r="DZ113" s="56"/>
      <c r="EA113" s="56"/>
      <c r="EB113" s="56"/>
      <c r="EC113" s="56"/>
      <c r="ED113" s="56"/>
      <c r="EE113" s="56"/>
      <c r="EF113" s="56"/>
    </row>
    <row r="114" spans="44:136" s="80" customFormat="1">
      <c r="AR114" s="118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60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60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6"/>
      <c r="CW114" s="56"/>
      <c r="CX114" s="60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60"/>
      <c r="DL114" s="60"/>
      <c r="DM114" s="56"/>
      <c r="DN114" s="56"/>
      <c r="DO114" s="56"/>
      <c r="DP114" s="56"/>
      <c r="DQ114" s="56"/>
      <c r="DR114" s="56"/>
      <c r="DS114" s="56"/>
      <c r="DT114" s="56"/>
      <c r="DU114" s="56"/>
      <c r="DV114" s="56"/>
      <c r="DW114" s="56"/>
      <c r="DX114" s="56"/>
      <c r="DY114" s="56"/>
      <c r="DZ114" s="56"/>
      <c r="EA114" s="56"/>
      <c r="EB114" s="56"/>
      <c r="EC114" s="56"/>
      <c r="ED114" s="56"/>
      <c r="EE114" s="56"/>
      <c r="EF114" s="56"/>
    </row>
    <row r="115" spans="44:136" s="80" customFormat="1">
      <c r="AR115" s="118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60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60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60"/>
      <c r="CY115" s="56"/>
      <c r="CZ115" s="56"/>
      <c r="DA115" s="56"/>
      <c r="DB115" s="56"/>
      <c r="DC115" s="56"/>
      <c r="DD115" s="56"/>
      <c r="DE115" s="56"/>
      <c r="DF115" s="56"/>
      <c r="DG115" s="56"/>
      <c r="DH115" s="56"/>
      <c r="DI115" s="56"/>
      <c r="DJ115" s="56"/>
      <c r="DK115" s="60"/>
      <c r="DL115" s="60"/>
      <c r="DM115" s="56"/>
      <c r="DN115" s="56"/>
      <c r="DO115" s="56"/>
      <c r="DP115" s="56"/>
      <c r="DQ115" s="56"/>
      <c r="DR115" s="56"/>
      <c r="DS115" s="56"/>
      <c r="DT115" s="56"/>
      <c r="DU115" s="56"/>
      <c r="DV115" s="56"/>
      <c r="DW115" s="56"/>
      <c r="DX115" s="56"/>
      <c r="DY115" s="56"/>
      <c r="DZ115" s="56"/>
      <c r="EA115" s="56"/>
      <c r="EB115" s="56"/>
      <c r="EC115" s="56"/>
      <c r="ED115" s="56"/>
      <c r="EE115" s="56"/>
      <c r="EF115" s="56"/>
    </row>
    <row r="116" spans="44:136" s="80" customFormat="1">
      <c r="AR116" s="118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60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60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60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60"/>
      <c r="DL116" s="60"/>
      <c r="DM116" s="56"/>
      <c r="DN116" s="56"/>
      <c r="DO116" s="56"/>
      <c r="DP116" s="56"/>
      <c r="DQ116" s="56"/>
      <c r="DR116" s="56"/>
      <c r="DS116" s="56"/>
      <c r="DT116" s="56"/>
      <c r="DU116" s="56"/>
      <c r="DV116" s="56"/>
      <c r="DW116" s="56"/>
      <c r="DX116" s="56"/>
      <c r="DY116" s="56"/>
      <c r="DZ116" s="56"/>
      <c r="EA116" s="56"/>
      <c r="EB116" s="56"/>
      <c r="EC116" s="56"/>
      <c r="ED116" s="56"/>
      <c r="EE116" s="56"/>
      <c r="EF116" s="56"/>
    </row>
    <row r="117" spans="44:136" s="80" customFormat="1">
      <c r="AR117" s="118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60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60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60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60"/>
      <c r="DL117" s="60"/>
      <c r="DM117" s="56"/>
      <c r="DN117" s="56"/>
      <c r="DO117" s="56"/>
      <c r="DP117" s="56"/>
      <c r="DQ117" s="56"/>
      <c r="DR117" s="56"/>
      <c r="DS117" s="56"/>
      <c r="DT117" s="56"/>
      <c r="DU117" s="56"/>
      <c r="DV117" s="56"/>
      <c r="DW117" s="56"/>
      <c r="DX117" s="56"/>
      <c r="DY117" s="56"/>
      <c r="DZ117" s="56"/>
      <c r="EA117" s="56"/>
      <c r="EB117" s="56"/>
      <c r="EC117" s="56"/>
      <c r="ED117" s="56"/>
      <c r="EE117" s="56"/>
      <c r="EF117" s="56"/>
    </row>
    <row r="118" spans="44:136" s="80" customFormat="1">
      <c r="AR118" s="118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60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60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60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60"/>
      <c r="DL118" s="60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</row>
    <row r="119" spans="44:136" s="80" customFormat="1">
      <c r="AR119" s="118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60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  <c r="CG119" s="56"/>
      <c r="CH119" s="56"/>
      <c r="CI119" s="56"/>
      <c r="CJ119" s="60"/>
      <c r="CK119" s="56"/>
      <c r="CL119" s="56"/>
      <c r="CM119" s="56"/>
      <c r="CN119" s="56"/>
      <c r="CO119" s="56"/>
      <c r="CP119" s="56"/>
      <c r="CQ119" s="56"/>
      <c r="CR119" s="56"/>
      <c r="CS119" s="56"/>
      <c r="CT119" s="56"/>
      <c r="CU119" s="56"/>
      <c r="CV119" s="56"/>
      <c r="CW119" s="56"/>
      <c r="CX119" s="60"/>
      <c r="CY119" s="56"/>
      <c r="CZ119" s="56"/>
      <c r="DA119" s="56"/>
      <c r="DB119" s="56"/>
      <c r="DC119" s="56"/>
      <c r="DD119" s="56"/>
      <c r="DE119" s="56"/>
      <c r="DF119" s="56"/>
      <c r="DG119" s="56"/>
      <c r="DH119" s="56"/>
      <c r="DI119" s="56"/>
      <c r="DJ119" s="56"/>
      <c r="DK119" s="60"/>
      <c r="DL119" s="60"/>
      <c r="DM119" s="56"/>
      <c r="DN119" s="56"/>
      <c r="DO119" s="56"/>
      <c r="DP119" s="56"/>
      <c r="DQ119" s="56"/>
      <c r="DR119" s="56"/>
      <c r="DS119" s="56"/>
      <c r="DT119" s="56"/>
      <c r="DU119" s="56"/>
      <c r="DV119" s="56"/>
      <c r="DW119" s="56"/>
      <c r="DX119" s="56"/>
      <c r="DY119" s="56"/>
      <c r="DZ119" s="56"/>
      <c r="EA119" s="56"/>
      <c r="EB119" s="56"/>
      <c r="EC119" s="56"/>
      <c r="ED119" s="56"/>
      <c r="EE119" s="56"/>
      <c r="EF119" s="56"/>
    </row>
    <row r="120" spans="44:136" s="80" customFormat="1">
      <c r="AR120" s="118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60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/>
      <c r="CI120" s="56"/>
      <c r="CJ120" s="60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6"/>
      <c r="CW120" s="56"/>
      <c r="CX120" s="60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60"/>
      <c r="DL120" s="60"/>
      <c r="DM120" s="56"/>
      <c r="DN120" s="56"/>
      <c r="DO120" s="56"/>
      <c r="DP120" s="56"/>
      <c r="DQ120" s="56"/>
      <c r="DR120" s="56"/>
      <c r="DS120" s="56"/>
      <c r="DT120" s="56"/>
      <c r="DU120" s="56"/>
      <c r="DV120" s="56"/>
      <c r="DW120" s="56"/>
      <c r="DX120" s="56"/>
      <c r="DY120" s="56"/>
      <c r="DZ120" s="56"/>
      <c r="EA120" s="56"/>
      <c r="EB120" s="56"/>
      <c r="EC120" s="56"/>
      <c r="ED120" s="56"/>
      <c r="EE120" s="56"/>
      <c r="EF120" s="56"/>
    </row>
    <row r="121" spans="44:136" s="80" customFormat="1">
      <c r="AR121" s="118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60"/>
      <c r="BU121" s="56"/>
      <c r="BV121" s="56"/>
      <c r="BW121" s="56"/>
      <c r="BX121" s="56"/>
      <c r="BY121" s="56"/>
      <c r="BZ121" s="56"/>
      <c r="CA121" s="56"/>
      <c r="CB121" s="56"/>
      <c r="CC121" s="56"/>
      <c r="CD121" s="56"/>
      <c r="CE121" s="56"/>
      <c r="CF121" s="56"/>
      <c r="CG121" s="56"/>
      <c r="CH121" s="56"/>
      <c r="CI121" s="56"/>
      <c r="CJ121" s="60"/>
      <c r="CK121" s="56"/>
      <c r="CL121" s="56"/>
      <c r="CM121" s="56"/>
      <c r="CN121" s="56"/>
      <c r="CO121" s="56"/>
      <c r="CP121" s="56"/>
      <c r="CQ121" s="56"/>
      <c r="CR121" s="56"/>
      <c r="CS121" s="56"/>
      <c r="CT121" s="56"/>
      <c r="CU121" s="56"/>
      <c r="CV121" s="56"/>
      <c r="CW121" s="56"/>
      <c r="CX121" s="60"/>
      <c r="CY121" s="56"/>
      <c r="CZ121" s="56"/>
      <c r="DA121" s="56"/>
      <c r="DB121" s="56"/>
      <c r="DC121" s="56"/>
      <c r="DD121" s="56"/>
      <c r="DE121" s="56"/>
      <c r="DF121" s="56"/>
      <c r="DG121" s="56"/>
      <c r="DH121" s="56"/>
      <c r="DI121" s="56"/>
      <c r="DJ121" s="56"/>
      <c r="DK121" s="60"/>
      <c r="DL121" s="60"/>
      <c r="DM121" s="56"/>
      <c r="DN121" s="56"/>
      <c r="DO121" s="56"/>
      <c r="DP121" s="56"/>
      <c r="DQ121" s="56"/>
      <c r="DR121" s="56"/>
      <c r="DS121" s="56"/>
      <c r="DT121" s="56"/>
      <c r="DU121" s="56"/>
      <c r="DV121" s="56"/>
      <c r="DW121" s="56"/>
      <c r="DX121" s="56"/>
      <c r="DY121" s="56"/>
      <c r="DZ121" s="56"/>
      <c r="EA121" s="56"/>
      <c r="EB121" s="56"/>
      <c r="EC121" s="56"/>
      <c r="ED121" s="56"/>
      <c r="EE121" s="56"/>
      <c r="EF121" s="56"/>
    </row>
    <row r="122" spans="44:136" s="80" customFormat="1">
      <c r="AR122" s="118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60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/>
      <c r="CI122" s="56"/>
      <c r="CJ122" s="60"/>
      <c r="CK122" s="56"/>
      <c r="CL122" s="56"/>
      <c r="CM122" s="56"/>
      <c r="CN122" s="56"/>
      <c r="CO122" s="56"/>
      <c r="CP122" s="56"/>
      <c r="CQ122" s="56"/>
      <c r="CR122" s="56"/>
      <c r="CS122" s="56"/>
      <c r="CT122" s="56"/>
      <c r="CU122" s="56"/>
      <c r="CV122" s="56"/>
      <c r="CW122" s="56"/>
      <c r="CX122" s="60"/>
      <c r="CY122" s="56"/>
      <c r="CZ122" s="56"/>
      <c r="DA122" s="56"/>
      <c r="DB122" s="56"/>
      <c r="DC122" s="56"/>
      <c r="DD122" s="56"/>
      <c r="DE122" s="56"/>
      <c r="DF122" s="56"/>
      <c r="DG122" s="56"/>
      <c r="DH122" s="56"/>
      <c r="DI122" s="56"/>
      <c r="DJ122" s="56"/>
      <c r="DK122" s="60"/>
      <c r="DL122" s="60"/>
      <c r="DM122" s="56"/>
      <c r="DN122" s="56"/>
      <c r="DO122" s="56"/>
      <c r="DP122" s="56"/>
      <c r="DQ122" s="56"/>
      <c r="DR122" s="56"/>
      <c r="DS122" s="56"/>
      <c r="DT122" s="56"/>
      <c r="DU122" s="56"/>
      <c r="DV122" s="56"/>
      <c r="DW122" s="56"/>
      <c r="DX122" s="56"/>
      <c r="DY122" s="56"/>
      <c r="DZ122" s="56"/>
      <c r="EA122" s="56"/>
      <c r="EB122" s="56"/>
      <c r="EC122" s="56"/>
      <c r="ED122" s="56"/>
      <c r="EE122" s="56"/>
      <c r="EF122" s="56"/>
    </row>
    <row r="123" spans="44:136" s="80" customFormat="1">
      <c r="AR123" s="118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60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60"/>
      <c r="CK123" s="56"/>
      <c r="CL123" s="56"/>
      <c r="CM123" s="56"/>
      <c r="CN123" s="56"/>
      <c r="CO123" s="56"/>
      <c r="CP123" s="56"/>
      <c r="CQ123" s="56"/>
      <c r="CR123" s="56"/>
      <c r="CS123" s="56"/>
      <c r="CT123" s="56"/>
      <c r="CU123" s="56"/>
      <c r="CV123" s="56"/>
      <c r="CW123" s="56"/>
      <c r="CX123" s="60"/>
      <c r="CY123" s="56"/>
      <c r="CZ123" s="56"/>
      <c r="DA123" s="56"/>
      <c r="DB123" s="56"/>
      <c r="DC123" s="56"/>
      <c r="DD123" s="56"/>
      <c r="DE123" s="56"/>
      <c r="DF123" s="56"/>
      <c r="DG123" s="56"/>
      <c r="DH123" s="56"/>
      <c r="DI123" s="56"/>
      <c r="DJ123" s="56"/>
      <c r="DK123" s="60"/>
      <c r="DL123" s="60"/>
      <c r="DM123" s="56"/>
      <c r="DN123" s="56"/>
      <c r="DO123" s="56"/>
      <c r="DP123" s="56"/>
      <c r="DQ123" s="56"/>
      <c r="DR123" s="56"/>
      <c r="DS123" s="56"/>
      <c r="DT123" s="56"/>
      <c r="DU123" s="56"/>
      <c r="DV123" s="56"/>
      <c r="DW123" s="56"/>
      <c r="DX123" s="56"/>
      <c r="DY123" s="56"/>
      <c r="DZ123" s="56"/>
      <c r="EA123" s="56"/>
      <c r="EB123" s="56"/>
      <c r="EC123" s="56"/>
      <c r="ED123" s="56"/>
      <c r="EE123" s="56"/>
      <c r="EF123" s="56"/>
    </row>
    <row r="124" spans="44:136" s="80" customFormat="1">
      <c r="AR124" s="118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60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60"/>
      <c r="CK124" s="56"/>
      <c r="CL124" s="56"/>
      <c r="CM124" s="56"/>
      <c r="CN124" s="56"/>
      <c r="CO124" s="56"/>
      <c r="CP124" s="56"/>
      <c r="CQ124" s="56"/>
      <c r="CR124" s="56"/>
      <c r="CS124" s="56"/>
      <c r="CT124" s="56"/>
      <c r="CU124" s="56"/>
      <c r="CV124" s="56"/>
      <c r="CW124" s="56"/>
      <c r="CX124" s="60"/>
      <c r="CY124" s="56"/>
      <c r="CZ124" s="56"/>
      <c r="DA124" s="56"/>
      <c r="DB124" s="56"/>
      <c r="DC124" s="56"/>
      <c r="DD124" s="56"/>
      <c r="DE124" s="56"/>
      <c r="DF124" s="56"/>
      <c r="DG124" s="56"/>
      <c r="DH124" s="56"/>
      <c r="DI124" s="56"/>
      <c r="DJ124" s="56"/>
      <c r="DK124" s="60"/>
      <c r="DL124" s="60"/>
      <c r="DM124" s="56"/>
      <c r="DN124" s="56"/>
      <c r="DO124" s="56"/>
      <c r="DP124" s="56"/>
      <c r="DQ124" s="56"/>
      <c r="DR124" s="56"/>
      <c r="DS124" s="56"/>
      <c r="DT124" s="56"/>
      <c r="DU124" s="56"/>
      <c r="DV124" s="56"/>
      <c r="DW124" s="56"/>
      <c r="DX124" s="56"/>
      <c r="DY124" s="56"/>
      <c r="DZ124" s="56"/>
      <c r="EA124" s="56"/>
      <c r="EB124" s="56"/>
      <c r="EC124" s="56"/>
      <c r="ED124" s="56"/>
      <c r="EE124" s="56"/>
      <c r="EF124" s="56"/>
    </row>
    <row r="125" spans="44:136" s="80" customFormat="1">
      <c r="AR125" s="118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60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/>
      <c r="CI125" s="56"/>
      <c r="CJ125" s="60"/>
      <c r="CK125" s="56"/>
      <c r="CL125" s="56"/>
      <c r="CM125" s="56"/>
      <c r="CN125" s="56"/>
      <c r="CO125" s="56"/>
      <c r="CP125" s="56"/>
      <c r="CQ125" s="56"/>
      <c r="CR125" s="56"/>
      <c r="CS125" s="56"/>
      <c r="CT125" s="56"/>
      <c r="CU125" s="56"/>
      <c r="CV125" s="56"/>
      <c r="CW125" s="56"/>
      <c r="CX125" s="60"/>
      <c r="CY125" s="56"/>
      <c r="CZ125" s="56"/>
      <c r="DA125" s="56"/>
      <c r="DB125" s="56"/>
      <c r="DC125" s="56"/>
      <c r="DD125" s="56"/>
      <c r="DE125" s="56"/>
      <c r="DF125" s="56"/>
      <c r="DG125" s="56"/>
      <c r="DH125" s="56"/>
      <c r="DI125" s="56"/>
      <c r="DJ125" s="56"/>
      <c r="DK125" s="60"/>
      <c r="DL125" s="60"/>
      <c r="DM125" s="56"/>
      <c r="DN125" s="56"/>
      <c r="DO125" s="56"/>
      <c r="DP125" s="56"/>
      <c r="DQ125" s="56"/>
      <c r="DR125" s="56"/>
      <c r="DS125" s="56"/>
      <c r="DT125" s="56"/>
      <c r="DU125" s="56"/>
      <c r="DV125" s="56"/>
      <c r="DW125" s="56"/>
      <c r="DX125" s="56"/>
      <c r="DY125" s="56"/>
      <c r="DZ125" s="56"/>
      <c r="EA125" s="56"/>
      <c r="EB125" s="56"/>
      <c r="EC125" s="56"/>
      <c r="ED125" s="56"/>
      <c r="EE125" s="56"/>
      <c r="EF125" s="56"/>
    </row>
    <row r="126" spans="44:136" s="80" customFormat="1">
      <c r="AR126" s="118"/>
      <c r="BD126" s="5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60"/>
      <c r="BU126" s="56"/>
      <c r="BV126" s="56"/>
      <c r="BW126" s="56"/>
      <c r="BX126" s="56"/>
      <c r="BY126" s="56"/>
      <c r="BZ126" s="56"/>
      <c r="CA126" s="56"/>
      <c r="CB126" s="56"/>
      <c r="CC126" s="56"/>
      <c r="CD126" s="56"/>
      <c r="CE126" s="56"/>
      <c r="CF126" s="56"/>
      <c r="CG126" s="56"/>
      <c r="CH126" s="56"/>
      <c r="CI126" s="56"/>
      <c r="CJ126" s="60"/>
      <c r="CK126" s="56"/>
      <c r="CL126" s="56"/>
      <c r="CM126" s="56"/>
      <c r="CN126" s="56"/>
      <c r="CO126" s="56"/>
      <c r="CP126" s="56"/>
      <c r="CQ126" s="56"/>
      <c r="CR126" s="56"/>
      <c r="CS126" s="56"/>
      <c r="CT126" s="56"/>
      <c r="CU126" s="56"/>
      <c r="CV126" s="56"/>
      <c r="CW126" s="56"/>
      <c r="CX126" s="60"/>
      <c r="CY126" s="56"/>
      <c r="CZ126" s="56"/>
      <c r="DA126" s="56"/>
      <c r="DB126" s="56"/>
      <c r="DC126" s="56"/>
      <c r="DD126" s="56"/>
      <c r="DE126" s="56"/>
      <c r="DF126" s="56"/>
      <c r="DG126" s="56"/>
      <c r="DH126" s="56"/>
      <c r="DI126" s="56"/>
      <c r="DJ126" s="56"/>
      <c r="DK126" s="60"/>
      <c r="DL126" s="60"/>
      <c r="DM126" s="56"/>
      <c r="DN126" s="56"/>
      <c r="DO126" s="56"/>
      <c r="DP126" s="56"/>
      <c r="DQ126" s="56"/>
      <c r="DR126" s="56"/>
      <c r="DS126" s="56"/>
      <c r="DT126" s="56"/>
      <c r="DU126" s="56"/>
      <c r="DV126" s="56"/>
      <c r="DW126" s="56"/>
      <c r="DX126" s="56"/>
      <c r="DY126" s="56"/>
      <c r="DZ126" s="56"/>
      <c r="EA126" s="56"/>
      <c r="EB126" s="56"/>
      <c r="EC126" s="56"/>
      <c r="ED126" s="56"/>
      <c r="EE126" s="56"/>
      <c r="EF126" s="56"/>
    </row>
    <row r="127" spans="44:136" s="80" customFormat="1">
      <c r="AR127" s="118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60"/>
      <c r="BU127" s="56"/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/>
      <c r="CG127" s="56"/>
      <c r="CH127" s="56"/>
      <c r="CI127" s="56"/>
      <c r="CJ127" s="60"/>
      <c r="CK127" s="56"/>
      <c r="CL127" s="56"/>
      <c r="CM127" s="56"/>
      <c r="CN127" s="56"/>
      <c r="CO127" s="56"/>
      <c r="CP127" s="56"/>
      <c r="CQ127" s="56"/>
      <c r="CR127" s="56"/>
      <c r="CS127" s="56"/>
      <c r="CT127" s="56"/>
      <c r="CU127" s="56"/>
      <c r="CV127" s="56"/>
      <c r="CW127" s="56"/>
      <c r="CX127" s="60"/>
      <c r="CY127" s="56"/>
      <c r="CZ127" s="56"/>
      <c r="DA127" s="56"/>
      <c r="DB127" s="56"/>
      <c r="DC127" s="56"/>
      <c r="DD127" s="56"/>
      <c r="DE127" s="56"/>
      <c r="DF127" s="56"/>
      <c r="DG127" s="56"/>
      <c r="DH127" s="56"/>
      <c r="DI127" s="56"/>
      <c r="DJ127" s="56"/>
      <c r="DK127" s="60"/>
      <c r="DL127" s="60"/>
      <c r="DM127" s="56"/>
      <c r="DN127" s="56"/>
      <c r="DO127" s="56"/>
      <c r="DP127" s="56"/>
      <c r="DQ127" s="56"/>
      <c r="DR127" s="56"/>
      <c r="DS127" s="56"/>
      <c r="DT127" s="56"/>
      <c r="DU127" s="56"/>
      <c r="DV127" s="56"/>
      <c r="DW127" s="56"/>
      <c r="DX127" s="56"/>
      <c r="DY127" s="56"/>
      <c r="DZ127" s="56"/>
      <c r="EA127" s="56"/>
      <c r="EB127" s="56"/>
      <c r="EC127" s="56"/>
      <c r="ED127" s="56"/>
      <c r="EE127" s="56"/>
      <c r="EF127" s="56"/>
    </row>
    <row r="128" spans="44:136" s="80" customFormat="1">
      <c r="AR128" s="118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60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60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60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60"/>
      <c r="DL128" s="60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</row>
    <row r="129" spans="44:136" s="80" customFormat="1">
      <c r="AR129" s="118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60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60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60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60"/>
      <c r="DL129" s="60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</row>
    <row r="130" spans="44:136" s="80" customFormat="1">
      <c r="AR130" s="118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60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60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60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60"/>
      <c r="DL130" s="60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</row>
    <row r="131" spans="44:136" s="80" customFormat="1">
      <c r="AR131" s="118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60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60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60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60"/>
      <c r="DL131" s="60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</row>
    <row r="132" spans="44:136" s="80" customFormat="1">
      <c r="AR132" s="118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60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60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60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60"/>
      <c r="DL132" s="60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</row>
    <row r="133" spans="44:136" s="80" customFormat="1">
      <c r="AR133" s="118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60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6"/>
      <c r="CH133" s="56"/>
      <c r="CI133" s="56"/>
      <c r="CJ133" s="60"/>
      <c r="CK133" s="56"/>
      <c r="CL133" s="56"/>
      <c r="CM133" s="56"/>
      <c r="CN133" s="56"/>
      <c r="CO133" s="56"/>
      <c r="CP133" s="56"/>
      <c r="CQ133" s="56"/>
      <c r="CR133" s="56"/>
      <c r="CS133" s="56"/>
      <c r="CT133" s="56"/>
      <c r="CU133" s="56"/>
      <c r="CV133" s="56"/>
      <c r="CW133" s="56"/>
      <c r="CX133" s="60"/>
      <c r="CY133" s="56"/>
      <c r="CZ133" s="56"/>
      <c r="DA133" s="56"/>
      <c r="DB133" s="56"/>
      <c r="DC133" s="56"/>
      <c r="DD133" s="56"/>
      <c r="DE133" s="56"/>
      <c r="DF133" s="56"/>
      <c r="DG133" s="56"/>
      <c r="DH133" s="56"/>
      <c r="DI133" s="56"/>
      <c r="DJ133" s="56"/>
      <c r="DK133" s="60"/>
      <c r="DL133" s="60"/>
      <c r="DM133" s="56"/>
      <c r="DN133" s="56"/>
      <c r="DO133" s="56"/>
      <c r="DP133" s="56"/>
      <c r="DQ133" s="56"/>
      <c r="DR133" s="56"/>
      <c r="DS133" s="56"/>
      <c r="DT133" s="56"/>
      <c r="DU133" s="56"/>
      <c r="DV133" s="56"/>
      <c r="DW133" s="56"/>
      <c r="DX133" s="56"/>
      <c r="DY133" s="56"/>
      <c r="DZ133" s="56"/>
      <c r="EA133" s="56"/>
      <c r="EB133" s="56"/>
      <c r="EC133" s="56"/>
      <c r="ED133" s="56"/>
      <c r="EE133" s="56"/>
      <c r="EF133" s="56"/>
    </row>
    <row r="134" spans="44:136" s="80" customFormat="1">
      <c r="AR134" s="118"/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60"/>
      <c r="BU134" s="56"/>
      <c r="BV134" s="56"/>
      <c r="BW134" s="56"/>
      <c r="BX134" s="56"/>
      <c r="BY134" s="56"/>
      <c r="BZ134" s="56"/>
      <c r="CA134" s="56"/>
      <c r="CB134" s="56"/>
      <c r="CC134" s="56"/>
      <c r="CD134" s="56"/>
      <c r="CE134" s="56"/>
      <c r="CF134" s="56"/>
      <c r="CG134" s="56"/>
      <c r="CH134" s="56"/>
      <c r="CI134" s="56"/>
      <c r="CJ134" s="60"/>
      <c r="CK134" s="56"/>
      <c r="CL134" s="56"/>
      <c r="CM134" s="56"/>
      <c r="CN134" s="56"/>
      <c r="CO134" s="56"/>
      <c r="CP134" s="56"/>
      <c r="CQ134" s="56"/>
      <c r="CR134" s="56"/>
      <c r="CS134" s="56"/>
      <c r="CT134" s="56"/>
      <c r="CU134" s="56"/>
      <c r="CV134" s="56"/>
      <c r="CW134" s="56"/>
      <c r="CX134" s="60"/>
      <c r="CY134" s="56"/>
      <c r="CZ134" s="56"/>
      <c r="DA134" s="56"/>
      <c r="DB134" s="56"/>
      <c r="DC134" s="56"/>
      <c r="DD134" s="56"/>
      <c r="DE134" s="56"/>
      <c r="DF134" s="56"/>
      <c r="DG134" s="56"/>
      <c r="DH134" s="56"/>
      <c r="DI134" s="56"/>
      <c r="DJ134" s="56"/>
      <c r="DK134" s="60"/>
      <c r="DL134" s="60"/>
      <c r="DM134" s="56"/>
      <c r="DN134" s="56"/>
      <c r="DO134" s="56"/>
      <c r="DP134" s="56"/>
      <c r="DQ134" s="56"/>
      <c r="DR134" s="56"/>
      <c r="DS134" s="56"/>
      <c r="DT134" s="56"/>
      <c r="DU134" s="56"/>
      <c r="DV134" s="56"/>
      <c r="DW134" s="56"/>
      <c r="DX134" s="56"/>
      <c r="DY134" s="56"/>
      <c r="DZ134" s="56"/>
      <c r="EA134" s="56"/>
      <c r="EB134" s="56"/>
      <c r="EC134" s="56"/>
      <c r="ED134" s="56"/>
      <c r="EE134" s="56"/>
      <c r="EF134" s="56"/>
    </row>
    <row r="135" spans="44:136" s="80" customFormat="1">
      <c r="AR135" s="118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60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60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60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  <c r="DI135" s="56"/>
      <c r="DJ135" s="56"/>
      <c r="DK135" s="60"/>
      <c r="DL135" s="60"/>
      <c r="DM135" s="56"/>
      <c r="DN135" s="56"/>
      <c r="DO135" s="56"/>
      <c r="DP135" s="56"/>
      <c r="DQ135" s="56"/>
      <c r="DR135" s="56"/>
      <c r="DS135" s="56"/>
      <c r="DT135" s="56"/>
      <c r="DU135" s="56"/>
      <c r="DV135" s="56"/>
      <c r="DW135" s="56"/>
      <c r="DX135" s="56"/>
      <c r="DY135" s="56"/>
      <c r="DZ135" s="56"/>
      <c r="EA135" s="56"/>
      <c r="EB135" s="56"/>
      <c r="EC135" s="56"/>
      <c r="ED135" s="56"/>
      <c r="EE135" s="56"/>
      <c r="EF135" s="56"/>
    </row>
    <row r="136" spans="44:136" s="80" customFormat="1">
      <c r="AR136" s="118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60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60"/>
      <c r="CK136" s="56"/>
      <c r="CL136" s="56"/>
      <c r="CM136" s="56"/>
      <c r="CN136" s="56"/>
      <c r="CO136" s="56"/>
      <c r="CP136" s="56"/>
      <c r="CQ136" s="56"/>
      <c r="CR136" s="56"/>
      <c r="CS136" s="56"/>
      <c r="CT136" s="56"/>
      <c r="CU136" s="56"/>
      <c r="CV136" s="56"/>
      <c r="CW136" s="56"/>
      <c r="CX136" s="60"/>
      <c r="CY136" s="56"/>
      <c r="CZ136" s="56"/>
      <c r="DA136" s="56"/>
      <c r="DB136" s="56"/>
      <c r="DC136" s="56"/>
      <c r="DD136" s="56"/>
      <c r="DE136" s="56"/>
      <c r="DF136" s="56"/>
      <c r="DG136" s="56"/>
      <c r="DH136" s="56"/>
      <c r="DI136" s="56"/>
      <c r="DJ136" s="56"/>
      <c r="DK136" s="60"/>
      <c r="DL136" s="60"/>
      <c r="DM136" s="56"/>
      <c r="DN136" s="56"/>
      <c r="DO136" s="56"/>
      <c r="DP136" s="56"/>
      <c r="DQ136" s="56"/>
      <c r="DR136" s="56"/>
      <c r="DS136" s="56"/>
      <c r="DT136" s="56"/>
      <c r="DU136" s="56"/>
      <c r="DV136" s="56"/>
      <c r="DW136" s="56"/>
      <c r="DX136" s="56"/>
      <c r="DY136" s="56"/>
      <c r="DZ136" s="56"/>
      <c r="EA136" s="56"/>
      <c r="EB136" s="56"/>
      <c r="EC136" s="56"/>
      <c r="ED136" s="56"/>
      <c r="EE136" s="56"/>
      <c r="EF136" s="56"/>
    </row>
    <row r="137" spans="44:136" s="80" customFormat="1">
      <c r="AR137" s="118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60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60"/>
      <c r="CK137" s="56"/>
      <c r="CL137" s="56"/>
      <c r="CM137" s="56"/>
      <c r="CN137" s="56"/>
      <c r="CO137" s="56"/>
      <c r="CP137" s="56"/>
      <c r="CQ137" s="56"/>
      <c r="CR137" s="56"/>
      <c r="CS137" s="56"/>
      <c r="CT137" s="56"/>
      <c r="CU137" s="56"/>
      <c r="CV137" s="56"/>
      <c r="CW137" s="56"/>
      <c r="CX137" s="60"/>
      <c r="CY137" s="56"/>
      <c r="CZ137" s="56"/>
      <c r="DA137" s="56"/>
      <c r="DB137" s="56"/>
      <c r="DC137" s="56"/>
      <c r="DD137" s="56"/>
      <c r="DE137" s="56"/>
      <c r="DF137" s="56"/>
      <c r="DG137" s="56"/>
      <c r="DH137" s="56"/>
      <c r="DI137" s="56"/>
      <c r="DJ137" s="56"/>
      <c r="DK137" s="60"/>
      <c r="DL137" s="60"/>
      <c r="DM137" s="56"/>
      <c r="DN137" s="56"/>
      <c r="DO137" s="56"/>
      <c r="DP137" s="56"/>
      <c r="DQ137" s="56"/>
      <c r="DR137" s="56"/>
      <c r="DS137" s="56"/>
      <c r="DT137" s="56"/>
      <c r="DU137" s="56"/>
      <c r="DV137" s="56"/>
      <c r="DW137" s="56"/>
      <c r="DX137" s="56"/>
      <c r="DY137" s="56"/>
      <c r="DZ137" s="56"/>
      <c r="EA137" s="56"/>
      <c r="EB137" s="56"/>
      <c r="EC137" s="56"/>
      <c r="ED137" s="56"/>
      <c r="EE137" s="56"/>
      <c r="EF137" s="56"/>
    </row>
    <row r="138" spans="44:136" s="80" customFormat="1">
      <c r="AR138" s="118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60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  <c r="CG138" s="56"/>
      <c r="CH138" s="56"/>
      <c r="CI138" s="56"/>
      <c r="CJ138" s="60"/>
      <c r="CK138" s="56"/>
      <c r="CL138" s="56"/>
      <c r="CM138" s="56"/>
      <c r="CN138" s="56"/>
      <c r="CO138" s="56"/>
      <c r="CP138" s="56"/>
      <c r="CQ138" s="56"/>
      <c r="CR138" s="56"/>
      <c r="CS138" s="56"/>
      <c r="CT138" s="56"/>
      <c r="CU138" s="56"/>
      <c r="CV138" s="56"/>
      <c r="CW138" s="56"/>
      <c r="CX138" s="60"/>
      <c r="CY138" s="56"/>
      <c r="CZ138" s="56"/>
      <c r="DA138" s="56"/>
      <c r="DB138" s="56"/>
      <c r="DC138" s="56"/>
      <c r="DD138" s="56"/>
      <c r="DE138" s="56"/>
      <c r="DF138" s="56"/>
      <c r="DG138" s="56"/>
      <c r="DH138" s="56"/>
      <c r="DI138" s="56"/>
      <c r="DJ138" s="56"/>
      <c r="DK138" s="60"/>
      <c r="DL138" s="60"/>
      <c r="DM138" s="56"/>
      <c r="DN138" s="56"/>
      <c r="DO138" s="56"/>
      <c r="DP138" s="56"/>
      <c r="DQ138" s="56"/>
      <c r="DR138" s="56"/>
      <c r="DS138" s="56"/>
      <c r="DT138" s="56"/>
      <c r="DU138" s="56"/>
      <c r="DV138" s="56"/>
      <c r="DW138" s="56"/>
      <c r="DX138" s="56"/>
      <c r="DY138" s="56"/>
      <c r="DZ138" s="56"/>
      <c r="EA138" s="56"/>
      <c r="EB138" s="56"/>
      <c r="EC138" s="56"/>
      <c r="ED138" s="56"/>
      <c r="EE138" s="56"/>
      <c r="EF138" s="56"/>
    </row>
    <row r="139" spans="44:136" s="80" customFormat="1">
      <c r="AR139" s="118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60"/>
      <c r="BU139" s="56"/>
      <c r="BV139" s="56"/>
      <c r="BW139" s="56"/>
      <c r="BX139" s="56"/>
      <c r="BY139" s="56"/>
      <c r="BZ139" s="56"/>
      <c r="CA139" s="56"/>
      <c r="CB139" s="56"/>
      <c r="CC139" s="56"/>
      <c r="CD139" s="56"/>
      <c r="CE139" s="56"/>
      <c r="CF139" s="56"/>
      <c r="CG139" s="56"/>
      <c r="CH139" s="56"/>
      <c r="CI139" s="56"/>
      <c r="CJ139" s="60"/>
      <c r="CK139" s="56"/>
      <c r="CL139" s="56"/>
      <c r="CM139" s="56"/>
      <c r="CN139" s="56"/>
      <c r="CO139" s="56"/>
      <c r="CP139" s="56"/>
      <c r="CQ139" s="56"/>
      <c r="CR139" s="56"/>
      <c r="CS139" s="56"/>
      <c r="CT139" s="56"/>
      <c r="CU139" s="56"/>
      <c r="CV139" s="56"/>
      <c r="CW139" s="56"/>
      <c r="CX139" s="60"/>
      <c r="CY139" s="56"/>
      <c r="CZ139" s="56"/>
      <c r="DA139" s="56"/>
      <c r="DB139" s="56"/>
      <c r="DC139" s="56"/>
      <c r="DD139" s="56"/>
      <c r="DE139" s="56"/>
      <c r="DF139" s="56"/>
      <c r="DG139" s="56"/>
      <c r="DH139" s="56"/>
      <c r="DI139" s="56"/>
      <c r="DJ139" s="56"/>
      <c r="DK139" s="60"/>
      <c r="DL139" s="60"/>
      <c r="DM139" s="56"/>
      <c r="DN139" s="56"/>
      <c r="DO139" s="56"/>
      <c r="DP139" s="56"/>
      <c r="DQ139" s="56"/>
      <c r="DR139" s="56"/>
      <c r="DS139" s="56"/>
      <c r="DT139" s="56"/>
      <c r="DU139" s="56"/>
      <c r="DV139" s="56"/>
      <c r="DW139" s="56"/>
      <c r="DX139" s="56"/>
      <c r="DY139" s="56"/>
      <c r="DZ139" s="56"/>
      <c r="EA139" s="56"/>
      <c r="EB139" s="56"/>
      <c r="EC139" s="56"/>
      <c r="ED139" s="56"/>
      <c r="EE139" s="56"/>
      <c r="EF139" s="56"/>
    </row>
    <row r="140" spans="44:136" s="80" customFormat="1">
      <c r="AR140" s="118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60"/>
      <c r="BU140" s="56"/>
      <c r="BV140" s="56"/>
      <c r="BW140" s="56"/>
      <c r="BX140" s="56"/>
      <c r="BY140" s="56"/>
      <c r="BZ140" s="56"/>
      <c r="CA140" s="56"/>
      <c r="CB140" s="56"/>
      <c r="CC140" s="56"/>
      <c r="CD140" s="56"/>
      <c r="CE140" s="56"/>
      <c r="CF140" s="56"/>
      <c r="CG140" s="56"/>
      <c r="CH140" s="56"/>
      <c r="CI140" s="56"/>
      <c r="CJ140" s="60"/>
      <c r="CK140" s="56"/>
      <c r="CL140" s="56"/>
      <c r="CM140" s="56"/>
      <c r="CN140" s="56"/>
      <c r="CO140" s="56"/>
      <c r="CP140" s="56"/>
      <c r="CQ140" s="56"/>
      <c r="CR140" s="56"/>
      <c r="CS140" s="56"/>
      <c r="CT140" s="56"/>
      <c r="CU140" s="56"/>
      <c r="CV140" s="56"/>
      <c r="CW140" s="56"/>
      <c r="CX140" s="60"/>
      <c r="CY140" s="56"/>
      <c r="CZ140" s="56"/>
      <c r="DA140" s="56"/>
      <c r="DB140" s="56"/>
      <c r="DC140" s="56"/>
      <c r="DD140" s="56"/>
      <c r="DE140" s="56"/>
      <c r="DF140" s="56"/>
      <c r="DG140" s="56"/>
      <c r="DH140" s="56"/>
      <c r="DI140" s="56"/>
      <c r="DJ140" s="56"/>
      <c r="DK140" s="60"/>
      <c r="DL140" s="60"/>
      <c r="DM140" s="56"/>
      <c r="DN140" s="56"/>
      <c r="DO140" s="56"/>
      <c r="DP140" s="56"/>
      <c r="DQ140" s="56"/>
      <c r="DR140" s="56"/>
      <c r="DS140" s="56"/>
      <c r="DT140" s="56"/>
      <c r="DU140" s="56"/>
      <c r="DV140" s="56"/>
      <c r="DW140" s="56"/>
      <c r="DX140" s="56"/>
      <c r="DY140" s="56"/>
      <c r="DZ140" s="56"/>
      <c r="EA140" s="56"/>
      <c r="EB140" s="56"/>
      <c r="EC140" s="56"/>
      <c r="ED140" s="56"/>
      <c r="EE140" s="56"/>
      <c r="EF140" s="56"/>
    </row>
    <row r="141" spans="44:136" s="80" customFormat="1">
      <c r="AR141" s="118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56"/>
      <c r="BT141" s="60"/>
      <c r="BU141" s="56"/>
      <c r="BV141" s="56"/>
      <c r="BW141" s="56"/>
      <c r="BX141" s="56"/>
      <c r="BY141" s="56"/>
      <c r="BZ141" s="56"/>
      <c r="CA141" s="56"/>
      <c r="CB141" s="56"/>
      <c r="CC141" s="56"/>
      <c r="CD141" s="56"/>
      <c r="CE141" s="56"/>
      <c r="CF141" s="56"/>
      <c r="CG141" s="56"/>
      <c r="CH141" s="56"/>
      <c r="CI141" s="56"/>
      <c r="CJ141" s="60"/>
      <c r="CK141" s="56"/>
      <c r="CL141" s="56"/>
      <c r="CM141" s="56"/>
      <c r="CN141" s="56"/>
      <c r="CO141" s="56"/>
      <c r="CP141" s="56"/>
      <c r="CQ141" s="56"/>
      <c r="CR141" s="56"/>
      <c r="CS141" s="56"/>
      <c r="CT141" s="56"/>
      <c r="CU141" s="56"/>
      <c r="CV141" s="56"/>
      <c r="CW141" s="56"/>
      <c r="CX141" s="60"/>
      <c r="CY141" s="56"/>
      <c r="CZ141" s="56"/>
      <c r="DA141" s="56"/>
      <c r="DB141" s="56"/>
      <c r="DC141" s="56"/>
      <c r="DD141" s="56"/>
      <c r="DE141" s="56"/>
      <c r="DF141" s="56"/>
      <c r="DG141" s="56"/>
      <c r="DH141" s="56"/>
      <c r="DI141" s="56"/>
      <c r="DJ141" s="56"/>
      <c r="DK141" s="60"/>
      <c r="DL141" s="60"/>
      <c r="DM141" s="56"/>
      <c r="DN141" s="56"/>
      <c r="DO141" s="56"/>
      <c r="DP141" s="56"/>
      <c r="DQ141" s="56"/>
      <c r="DR141" s="56"/>
      <c r="DS141" s="56"/>
      <c r="DT141" s="56"/>
      <c r="DU141" s="56"/>
      <c r="DV141" s="56"/>
      <c r="DW141" s="56"/>
      <c r="DX141" s="56"/>
      <c r="DY141" s="56"/>
      <c r="DZ141" s="56"/>
      <c r="EA141" s="56"/>
      <c r="EB141" s="56"/>
      <c r="EC141" s="56"/>
      <c r="ED141" s="56"/>
      <c r="EE141" s="56"/>
      <c r="EF141" s="56"/>
    </row>
    <row r="142" spans="44:136" s="80" customFormat="1">
      <c r="AR142" s="118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60"/>
      <c r="BU142" s="56"/>
      <c r="BV142" s="56"/>
      <c r="BW142" s="56"/>
      <c r="BX142" s="56"/>
      <c r="BY142" s="56"/>
      <c r="BZ142" s="56"/>
      <c r="CA142" s="56"/>
      <c r="CB142" s="56"/>
      <c r="CC142" s="56"/>
      <c r="CD142" s="56"/>
      <c r="CE142" s="56"/>
      <c r="CF142" s="56"/>
      <c r="CG142" s="56"/>
      <c r="CH142" s="56"/>
      <c r="CI142" s="56"/>
      <c r="CJ142" s="60"/>
      <c r="CK142" s="56"/>
      <c r="CL142" s="56"/>
      <c r="CM142" s="56"/>
      <c r="CN142" s="56"/>
      <c r="CO142" s="56"/>
      <c r="CP142" s="56"/>
      <c r="CQ142" s="56"/>
      <c r="CR142" s="56"/>
      <c r="CS142" s="56"/>
      <c r="CT142" s="56"/>
      <c r="CU142" s="56"/>
      <c r="CV142" s="56"/>
      <c r="CW142" s="56"/>
      <c r="CX142" s="60"/>
      <c r="CY142" s="56"/>
      <c r="CZ142" s="56"/>
      <c r="DA142" s="56"/>
      <c r="DB142" s="56"/>
      <c r="DC142" s="56"/>
      <c r="DD142" s="56"/>
      <c r="DE142" s="56"/>
      <c r="DF142" s="56"/>
      <c r="DG142" s="56"/>
      <c r="DH142" s="56"/>
      <c r="DI142" s="56"/>
      <c r="DJ142" s="56"/>
      <c r="DK142" s="60"/>
      <c r="DL142" s="60"/>
      <c r="DM142" s="56"/>
      <c r="DN142" s="56"/>
      <c r="DO142" s="56"/>
      <c r="DP142" s="56"/>
      <c r="DQ142" s="56"/>
      <c r="DR142" s="56"/>
      <c r="DS142" s="56"/>
      <c r="DT142" s="56"/>
      <c r="DU142" s="56"/>
      <c r="DV142" s="56"/>
      <c r="DW142" s="56"/>
      <c r="DX142" s="56"/>
      <c r="DY142" s="56"/>
      <c r="DZ142" s="56"/>
      <c r="EA142" s="56"/>
      <c r="EB142" s="56"/>
      <c r="EC142" s="56"/>
      <c r="ED142" s="56"/>
      <c r="EE142" s="56"/>
      <c r="EF142" s="56"/>
    </row>
    <row r="143" spans="44:136" s="80" customFormat="1">
      <c r="AR143" s="118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60"/>
      <c r="BU143" s="56"/>
      <c r="BV143" s="56"/>
      <c r="BW143" s="56"/>
      <c r="BX143" s="56"/>
      <c r="BY143" s="56"/>
      <c r="BZ143" s="56"/>
      <c r="CA143" s="56"/>
      <c r="CB143" s="56"/>
      <c r="CC143" s="56"/>
      <c r="CD143" s="56"/>
      <c r="CE143" s="56"/>
      <c r="CF143" s="56"/>
      <c r="CG143" s="56"/>
      <c r="CH143" s="56"/>
      <c r="CI143" s="56"/>
      <c r="CJ143" s="60"/>
      <c r="CK143" s="56"/>
      <c r="CL143" s="56"/>
      <c r="CM143" s="56"/>
      <c r="CN143" s="56"/>
      <c r="CO143" s="56"/>
      <c r="CP143" s="56"/>
      <c r="CQ143" s="56"/>
      <c r="CR143" s="56"/>
      <c r="CS143" s="56"/>
      <c r="CT143" s="56"/>
      <c r="CU143" s="56"/>
      <c r="CV143" s="56"/>
      <c r="CW143" s="56"/>
      <c r="CX143" s="60"/>
      <c r="CY143" s="56"/>
      <c r="CZ143" s="56"/>
      <c r="DA143" s="56"/>
      <c r="DB143" s="56"/>
      <c r="DC143" s="56"/>
      <c r="DD143" s="56"/>
      <c r="DE143" s="56"/>
      <c r="DF143" s="56"/>
      <c r="DG143" s="56"/>
      <c r="DH143" s="56"/>
      <c r="DI143" s="56"/>
      <c r="DJ143" s="56"/>
      <c r="DK143" s="60"/>
      <c r="DL143" s="60"/>
      <c r="DM143" s="56"/>
      <c r="DN143" s="56"/>
      <c r="DO143" s="56"/>
      <c r="DP143" s="56"/>
      <c r="DQ143" s="56"/>
      <c r="DR143" s="56"/>
      <c r="DS143" s="56"/>
      <c r="DT143" s="56"/>
      <c r="DU143" s="56"/>
      <c r="DV143" s="56"/>
      <c r="DW143" s="56"/>
      <c r="DX143" s="56"/>
      <c r="DY143" s="56"/>
      <c r="DZ143" s="56"/>
      <c r="EA143" s="56"/>
      <c r="EB143" s="56"/>
      <c r="EC143" s="56"/>
      <c r="ED143" s="56"/>
      <c r="EE143" s="56"/>
      <c r="EF143" s="56"/>
    </row>
    <row r="144" spans="44:136" s="80" customFormat="1">
      <c r="AR144" s="118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60"/>
      <c r="BU144" s="56"/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56"/>
      <c r="CH144" s="56"/>
      <c r="CI144" s="56"/>
      <c r="CJ144" s="60"/>
      <c r="CK144" s="56"/>
      <c r="CL144" s="56"/>
      <c r="CM144" s="56"/>
      <c r="CN144" s="56"/>
      <c r="CO144" s="56"/>
      <c r="CP144" s="56"/>
      <c r="CQ144" s="56"/>
      <c r="CR144" s="56"/>
      <c r="CS144" s="56"/>
      <c r="CT144" s="56"/>
      <c r="CU144" s="56"/>
      <c r="CV144" s="56"/>
      <c r="CW144" s="56"/>
      <c r="CX144" s="60"/>
      <c r="CY144" s="56"/>
      <c r="CZ144" s="56"/>
      <c r="DA144" s="56"/>
      <c r="DB144" s="56"/>
      <c r="DC144" s="56"/>
      <c r="DD144" s="56"/>
      <c r="DE144" s="56"/>
      <c r="DF144" s="56"/>
      <c r="DG144" s="56"/>
      <c r="DH144" s="56"/>
      <c r="DI144" s="56"/>
      <c r="DJ144" s="56"/>
      <c r="DK144" s="60"/>
      <c r="DL144" s="60"/>
      <c r="DM144" s="56"/>
      <c r="DN144" s="56"/>
      <c r="DO144" s="56"/>
      <c r="DP144" s="56"/>
      <c r="DQ144" s="56"/>
      <c r="DR144" s="56"/>
      <c r="DS144" s="56"/>
      <c r="DT144" s="56"/>
      <c r="DU144" s="56"/>
      <c r="DV144" s="56"/>
      <c r="DW144" s="56"/>
      <c r="DX144" s="56"/>
      <c r="DY144" s="56"/>
      <c r="DZ144" s="56"/>
      <c r="EA144" s="56"/>
      <c r="EB144" s="56"/>
      <c r="EC144" s="56"/>
      <c r="ED144" s="56"/>
      <c r="EE144" s="56"/>
      <c r="EF144" s="56"/>
    </row>
    <row r="145" spans="44:136" s="80" customFormat="1">
      <c r="AR145" s="118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60"/>
      <c r="BU145" s="56"/>
      <c r="BV145" s="56"/>
      <c r="BW145" s="56"/>
      <c r="BX145" s="56"/>
      <c r="BY145" s="56"/>
      <c r="BZ145" s="56"/>
      <c r="CA145" s="56"/>
      <c r="CB145" s="56"/>
      <c r="CC145" s="56"/>
      <c r="CD145" s="56"/>
      <c r="CE145" s="56"/>
      <c r="CF145" s="56"/>
      <c r="CG145" s="56"/>
      <c r="CH145" s="56"/>
      <c r="CI145" s="56"/>
      <c r="CJ145" s="60"/>
      <c r="CK145" s="56"/>
      <c r="CL145" s="56"/>
      <c r="CM145" s="56"/>
      <c r="CN145" s="56"/>
      <c r="CO145" s="56"/>
      <c r="CP145" s="56"/>
      <c r="CQ145" s="56"/>
      <c r="CR145" s="56"/>
      <c r="CS145" s="56"/>
      <c r="CT145" s="56"/>
      <c r="CU145" s="56"/>
      <c r="CV145" s="56"/>
      <c r="CW145" s="56"/>
      <c r="CX145" s="60"/>
      <c r="CY145" s="56"/>
      <c r="CZ145" s="56"/>
      <c r="DA145" s="56"/>
      <c r="DB145" s="56"/>
      <c r="DC145" s="56"/>
      <c r="DD145" s="56"/>
      <c r="DE145" s="56"/>
      <c r="DF145" s="56"/>
      <c r="DG145" s="56"/>
      <c r="DH145" s="56"/>
      <c r="DI145" s="56"/>
      <c r="DJ145" s="56"/>
      <c r="DK145" s="60"/>
      <c r="DL145" s="60"/>
      <c r="DM145" s="56"/>
      <c r="DN145" s="56"/>
      <c r="DO145" s="56"/>
      <c r="DP145" s="56"/>
      <c r="DQ145" s="56"/>
      <c r="DR145" s="56"/>
      <c r="DS145" s="56"/>
      <c r="DT145" s="56"/>
      <c r="DU145" s="56"/>
      <c r="DV145" s="56"/>
      <c r="DW145" s="56"/>
      <c r="DX145" s="56"/>
      <c r="DY145" s="56"/>
      <c r="DZ145" s="56"/>
      <c r="EA145" s="56"/>
      <c r="EB145" s="56"/>
      <c r="EC145" s="56"/>
      <c r="ED145" s="56"/>
      <c r="EE145" s="56"/>
      <c r="EF145" s="56"/>
    </row>
    <row r="146" spans="44:136" s="80" customFormat="1">
      <c r="AR146" s="118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60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  <c r="CG146" s="56"/>
      <c r="CH146" s="56"/>
      <c r="CI146" s="56"/>
      <c r="CJ146" s="60"/>
      <c r="CK146" s="56"/>
      <c r="CL146" s="56"/>
      <c r="CM146" s="56"/>
      <c r="CN146" s="56"/>
      <c r="CO146" s="56"/>
      <c r="CP146" s="56"/>
      <c r="CQ146" s="56"/>
      <c r="CR146" s="56"/>
      <c r="CS146" s="56"/>
      <c r="CT146" s="56"/>
      <c r="CU146" s="56"/>
      <c r="CV146" s="56"/>
      <c r="CW146" s="56"/>
      <c r="CX146" s="60"/>
      <c r="CY146" s="56"/>
      <c r="CZ146" s="56"/>
      <c r="DA146" s="56"/>
      <c r="DB146" s="56"/>
      <c r="DC146" s="56"/>
      <c r="DD146" s="56"/>
      <c r="DE146" s="56"/>
      <c r="DF146" s="56"/>
      <c r="DG146" s="56"/>
      <c r="DH146" s="56"/>
      <c r="DI146" s="56"/>
      <c r="DJ146" s="56"/>
      <c r="DK146" s="60"/>
      <c r="DL146" s="60"/>
      <c r="DM146" s="56"/>
      <c r="DN146" s="56"/>
      <c r="DO146" s="56"/>
      <c r="DP146" s="56"/>
      <c r="DQ146" s="56"/>
      <c r="DR146" s="56"/>
      <c r="DS146" s="56"/>
      <c r="DT146" s="56"/>
      <c r="DU146" s="56"/>
      <c r="DV146" s="56"/>
      <c r="DW146" s="56"/>
      <c r="DX146" s="56"/>
      <c r="DY146" s="56"/>
      <c r="DZ146" s="56"/>
      <c r="EA146" s="56"/>
      <c r="EB146" s="56"/>
      <c r="EC146" s="56"/>
      <c r="ED146" s="56"/>
      <c r="EE146" s="56"/>
      <c r="EF146" s="56"/>
    </row>
    <row r="147" spans="44:136" s="80" customFormat="1">
      <c r="AR147" s="118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60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  <c r="CI147" s="56"/>
      <c r="CJ147" s="60"/>
      <c r="CK147" s="56"/>
      <c r="CL147" s="56"/>
      <c r="CM147" s="56"/>
      <c r="CN147" s="56"/>
      <c r="CO147" s="56"/>
      <c r="CP147" s="56"/>
      <c r="CQ147" s="56"/>
      <c r="CR147" s="56"/>
      <c r="CS147" s="56"/>
      <c r="CT147" s="56"/>
      <c r="CU147" s="56"/>
      <c r="CV147" s="56"/>
      <c r="CW147" s="56"/>
      <c r="CX147" s="60"/>
      <c r="CY147" s="56"/>
      <c r="CZ147" s="56"/>
      <c r="DA147" s="56"/>
      <c r="DB147" s="56"/>
      <c r="DC147" s="56"/>
      <c r="DD147" s="56"/>
      <c r="DE147" s="56"/>
      <c r="DF147" s="56"/>
      <c r="DG147" s="56"/>
      <c r="DH147" s="56"/>
      <c r="DI147" s="56"/>
      <c r="DJ147" s="56"/>
      <c r="DK147" s="60"/>
      <c r="DL147" s="60"/>
      <c r="DM147" s="56"/>
      <c r="DN147" s="56"/>
      <c r="DO147" s="56"/>
      <c r="DP147" s="56"/>
      <c r="DQ147" s="56"/>
      <c r="DR147" s="56"/>
      <c r="DS147" s="56"/>
      <c r="DT147" s="56"/>
      <c r="DU147" s="56"/>
      <c r="DV147" s="56"/>
      <c r="DW147" s="56"/>
      <c r="DX147" s="56"/>
      <c r="DY147" s="56"/>
      <c r="DZ147" s="56"/>
      <c r="EA147" s="56"/>
      <c r="EB147" s="56"/>
      <c r="EC147" s="56"/>
      <c r="ED147" s="56"/>
      <c r="EE147" s="56"/>
      <c r="EF147" s="56"/>
    </row>
    <row r="148" spans="44:136" s="80" customFormat="1">
      <c r="AR148" s="118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60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60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60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60"/>
      <c r="DL148" s="60"/>
      <c r="DM148" s="56"/>
      <c r="DN148" s="56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6"/>
      <c r="EE148" s="56"/>
      <c r="EF148" s="56"/>
    </row>
    <row r="149" spans="44:136" s="80" customFormat="1">
      <c r="AR149" s="118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60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60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  <c r="CU149" s="56"/>
      <c r="CV149" s="56"/>
      <c r="CW149" s="56"/>
      <c r="CX149" s="60"/>
      <c r="CY149" s="56"/>
      <c r="CZ149" s="56"/>
      <c r="DA149" s="56"/>
      <c r="DB149" s="56"/>
      <c r="DC149" s="56"/>
      <c r="DD149" s="56"/>
      <c r="DE149" s="56"/>
      <c r="DF149" s="56"/>
      <c r="DG149" s="56"/>
      <c r="DH149" s="56"/>
      <c r="DI149" s="56"/>
      <c r="DJ149" s="56"/>
      <c r="DK149" s="60"/>
      <c r="DL149" s="60"/>
      <c r="DM149" s="56"/>
      <c r="DN149" s="56"/>
      <c r="DO149" s="56"/>
      <c r="DP149" s="56"/>
      <c r="DQ149" s="56"/>
      <c r="DR149" s="56"/>
      <c r="DS149" s="56"/>
      <c r="DT149" s="56"/>
      <c r="DU149" s="56"/>
      <c r="DV149" s="56"/>
      <c r="DW149" s="56"/>
      <c r="DX149" s="56"/>
      <c r="DY149" s="56"/>
      <c r="DZ149" s="56"/>
      <c r="EA149" s="56"/>
      <c r="EB149" s="56"/>
      <c r="EC149" s="56"/>
      <c r="ED149" s="56"/>
      <c r="EE149" s="56"/>
      <c r="EF149" s="56"/>
    </row>
    <row r="150" spans="44:136" s="80" customFormat="1">
      <c r="AR150" s="118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60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60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6"/>
      <c r="CX150" s="60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60"/>
      <c r="DL150" s="60"/>
      <c r="DM150" s="56"/>
      <c r="DN150" s="56"/>
      <c r="DO150" s="56"/>
      <c r="DP150" s="56"/>
      <c r="DQ150" s="56"/>
      <c r="DR150" s="56"/>
      <c r="DS150" s="56"/>
      <c r="DT150" s="56"/>
      <c r="DU150" s="56"/>
      <c r="DV150" s="56"/>
      <c r="DW150" s="56"/>
      <c r="DX150" s="56"/>
      <c r="DY150" s="56"/>
      <c r="DZ150" s="56"/>
      <c r="EA150" s="56"/>
      <c r="EB150" s="56"/>
      <c r="EC150" s="56"/>
      <c r="ED150" s="56"/>
      <c r="EE150" s="56"/>
      <c r="EF150" s="56"/>
    </row>
    <row r="151" spans="44:136" s="80" customFormat="1">
      <c r="AR151" s="118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60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60"/>
      <c r="CK151" s="56"/>
      <c r="CL151" s="56"/>
      <c r="CM151" s="56"/>
      <c r="CN151" s="56"/>
      <c r="CO151" s="56"/>
      <c r="CP151" s="56"/>
      <c r="CQ151" s="56"/>
      <c r="CR151" s="56"/>
      <c r="CS151" s="56"/>
      <c r="CT151" s="56"/>
      <c r="CU151" s="56"/>
      <c r="CV151" s="56"/>
      <c r="CW151" s="56"/>
      <c r="CX151" s="60"/>
      <c r="CY151" s="56"/>
      <c r="CZ151" s="56"/>
      <c r="DA151" s="56"/>
      <c r="DB151" s="56"/>
      <c r="DC151" s="56"/>
      <c r="DD151" s="56"/>
      <c r="DE151" s="56"/>
      <c r="DF151" s="56"/>
      <c r="DG151" s="56"/>
      <c r="DH151" s="56"/>
      <c r="DI151" s="56"/>
      <c r="DJ151" s="56"/>
      <c r="DK151" s="60"/>
      <c r="DL151" s="60"/>
      <c r="DM151" s="56"/>
      <c r="DN151" s="56"/>
      <c r="DO151" s="56"/>
      <c r="DP151" s="56"/>
      <c r="DQ151" s="56"/>
      <c r="DR151" s="56"/>
      <c r="DS151" s="56"/>
      <c r="DT151" s="56"/>
      <c r="DU151" s="56"/>
      <c r="DV151" s="56"/>
      <c r="DW151" s="56"/>
      <c r="DX151" s="56"/>
      <c r="DY151" s="56"/>
      <c r="DZ151" s="56"/>
      <c r="EA151" s="56"/>
      <c r="EB151" s="56"/>
      <c r="EC151" s="56"/>
      <c r="ED151" s="56"/>
      <c r="EE151" s="56"/>
      <c r="EF151" s="56"/>
    </row>
    <row r="152" spans="44:136" s="80" customFormat="1">
      <c r="AR152" s="118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60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60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6"/>
      <c r="CW152" s="56"/>
      <c r="CX152" s="60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60"/>
      <c r="DL152" s="60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56"/>
      <c r="EB152" s="56"/>
      <c r="EC152" s="56"/>
      <c r="ED152" s="56"/>
      <c r="EE152" s="56"/>
      <c r="EF152" s="56"/>
    </row>
    <row r="153" spans="44:136" s="80" customFormat="1">
      <c r="AR153" s="118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60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60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6"/>
      <c r="CX153" s="60"/>
      <c r="CY153" s="56"/>
      <c r="CZ153" s="56"/>
      <c r="DA153" s="56"/>
      <c r="DB153" s="56"/>
      <c r="DC153" s="56"/>
      <c r="DD153" s="56"/>
      <c r="DE153" s="56"/>
      <c r="DF153" s="56"/>
      <c r="DG153" s="56"/>
      <c r="DH153" s="56"/>
      <c r="DI153" s="56"/>
      <c r="DJ153" s="56"/>
      <c r="DK153" s="60"/>
      <c r="DL153" s="60"/>
      <c r="DM153" s="56"/>
      <c r="DN153" s="56"/>
      <c r="DO153" s="56"/>
      <c r="DP153" s="56"/>
      <c r="DQ153" s="56"/>
      <c r="DR153" s="56"/>
      <c r="DS153" s="56"/>
      <c r="DT153" s="56"/>
      <c r="DU153" s="56"/>
      <c r="DV153" s="56"/>
      <c r="DW153" s="56"/>
      <c r="DX153" s="56"/>
      <c r="DY153" s="56"/>
      <c r="DZ153" s="56"/>
      <c r="EA153" s="56"/>
      <c r="EB153" s="56"/>
      <c r="EC153" s="56"/>
      <c r="ED153" s="56"/>
      <c r="EE153" s="56"/>
      <c r="EF153" s="56"/>
    </row>
    <row r="154" spans="44:136" s="80" customFormat="1">
      <c r="AR154" s="118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60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60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60"/>
      <c r="CY154" s="56"/>
      <c r="CZ154" s="56"/>
      <c r="DA154" s="56"/>
      <c r="DB154" s="56"/>
      <c r="DC154" s="56"/>
      <c r="DD154" s="56"/>
      <c r="DE154" s="56"/>
      <c r="DF154" s="56"/>
      <c r="DG154" s="56"/>
      <c r="DH154" s="56"/>
      <c r="DI154" s="56"/>
      <c r="DJ154" s="56"/>
      <c r="DK154" s="60"/>
      <c r="DL154" s="60"/>
      <c r="DM154" s="56"/>
      <c r="DN154" s="56"/>
      <c r="DO154" s="56"/>
      <c r="DP154" s="56"/>
      <c r="DQ154" s="56"/>
      <c r="DR154" s="56"/>
      <c r="DS154" s="56"/>
      <c r="DT154" s="56"/>
      <c r="DU154" s="56"/>
      <c r="DV154" s="56"/>
      <c r="DW154" s="56"/>
      <c r="DX154" s="56"/>
      <c r="DY154" s="56"/>
      <c r="DZ154" s="56"/>
      <c r="EA154" s="56"/>
      <c r="EB154" s="56"/>
      <c r="EC154" s="56"/>
      <c r="ED154" s="56"/>
      <c r="EE154" s="56"/>
      <c r="EF154" s="56"/>
    </row>
    <row r="155" spans="44:136" s="80" customFormat="1">
      <c r="AR155" s="118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60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60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  <c r="CU155" s="56"/>
      <c r="CV155" s="56"/>
      <c r="CW155" s="56"/>
      <c r="CX155" s="60"/>
      <c r="CY155" s="56"/>
      <c r="CZ155" s="56"/>
      <c r="DA155" s="56"/>
      <c r="DB155" s="56"/>
      <c r="DC155" s="56"/>
      <c r="DD155" s="56"/>
      <c r="DE155" s="56"/>
      <c r="DF155" s="56"/>
      <c r="DG155" s="56"/>
      <c r="DH155" s="56"/>
      <c r="DI155" s="56"/>
      <c r="DJ155" s="56"/>
      <c r="DK155" s="60"/>
      <c r="DL155" s="60"/>
      <c r="DM155" s="56"/>
      <c r="DN155" s="56"/>
      <c r="DO155" s="56"/>
      <c r="DP155" s="56"/>
      <c r="DQ155" s="56"/>
      <c r="DR155" s="56"/>
      <c r="DS155" s="56"/>
      <c r="DT155" s="56"/>
      <c r="DU155" s="56"/>
      <c r="DV155" s="56"/>
      <c r="DW155" s="56"/>
      <c r="DX155" s="56"/>
      <c r="DY155" s="56"/>
      <c r="DZ155" s="56"/>
      <c r="EA155" s="56"/>
      <c r="EB155" s="56"/>
      <c r="EC155" s="56"/>
      <c r="ED155" s="56"/>
      <c r="EE155" s="56"/>
      <c r="EF155" s="56"/>
    </row>
    <row r="156" spans="44:136" s="80" customFormat="1">
      <c r="AR156" s="118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60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60"/>
      <c r="CK156" s="56"/>
      <c r="CL156" s="56"/>
      <c r="CM156" s="56"/>
      <c r="CN156" s="56"/>
      <c r="CO156" s="56"/>
      <c r="CP156" s="56"/>
      <c r="CQ156" s="56"/>
      <c r="CR156" s="56"/>
      <c r="CS156" s="56"/>
      <c r="CT156" s="56"/>
      <c r="CU156" s="56"/>
      <c r="CV156" s="56"/>
      <c r="CW156" s="56"/>
      <c r="CX156" s="60"/>
      <c r="CY156" s="56"/>
      <c r="CZ156" s="56"/>
      <c r="DA156" s="56"/>
      <c r="DB156" s="56"/>
      <c r="DC156" s="56"/>
      <c r="DD156" s="56"/>
      <c r="DE156" s="56"/>
      <c r="DF156" s="56"/>
      <c r="DG156" s="56"/>
      <c r="DH156" s="56"/>
      <c r="DI156" s="56"/>
      <c r="DJ156" s="56"/>
      <c r="DK156" s="60"/>
      <c r="DL156" s="60"/>
      <c r="DM156" s="56"/>
      <c r="DN156" s="56"/>
      <c r="DO156" s="56"/>
      <c r="DP156" s="56"/>
      <c r="DQ156" s="56"/>
      <c r="DR156" s="56"/>
      <c r="DS156" s="56"/>
      <c r="DT156" s="56"/>
      <c r="DU156" s="56"/>
      <c r="DV156" s="56"/>
      <c r="DW156" s="56"/>
      <c r="DX156" s="56"/>
      <c r="DY156" s="56"/>
      <c r="DZ156" s="56"/>
      <c r="EA156" s="56"/>
      <c r="EB156" s="56"/>
      <c r="EC156" s="56"/>
      <c r="ED156" s="56"/>
      <c r="EE156" s="56"/>
      <c r="EF156" s="56"/>
    </row>
    <row r="157" spans="44:136" s="80" customFormat="1">
      <c r="AR157" s="118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60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60"/>
      <c r="CK157" s="56"/>
      <c r="CL157" s="56"/>
      <c r="CM157" s="56"/>
      <c r="CN157" s="56"/>
      <c r="CO157" s="56"/>
      <c r="CP157" s="56"/>
      <c r="CQ157" s="56"/>
      <c r="CR157" s="56"/>
      <c r="CS157" s="56"/>
      <c r="CT157" s="56"/>
      <c r="CU157" s="56"/>
      <c r="CV157" s="56"/>
      <c r="CW157" s="56"/>
      <c r="CX157" s="60"/>
      <c r="CY157" s="56"/>
      <c r="CZ157" s="56"/>
      <c r="DA157" s="56"/>
      <c r="DB157" s="56"/>
      <c r="DC157" s="56"/>
      <c r="DD157" s="56"/>
      <c r="DE157" s="56"/>
      <c r="DF157" s="56"/>
      <c r="DG157" s="56"/>
      <c r="DH157" s="56"/>
      <c r="DI157" s="56"/>
      <c r="DJ157" s="56"/>
      <c r="DK157" s="60"/>
      <c r="DL157" s="60"/>
      <c r="DM157" s="56"/>
      <c r="DN157" s="56"/>
      <c r="DO157" s="56"/>
      <c r="DP157" s="56"/>
      <c r="DQ157" s="56"/>
      <c r="DR157" s="56"/>
      <c r="DS157" s="56"/>
      <c r="DT157" s="56"/>
      <c r="DU157" s="56"/>
      <c r="DV157" s="56"/>
      <c r="DW157" s="56"/>
      <c r="DX157" s="56"/>
      <c r="DY157" s="56"/>
      <c r="DZ157" s="56"/>
      <c r="EA157" s="56"/>
      <c r="EB157" s="56"/>
      <c r="EC157" s="56"/>
      <c r="ED157" s="56"/>
      <c r="EE157" s="56"/>
      <c r="EF157" s="56"/>
    </row>
    <row r="158" spans="44:136" s="80" customFormat="1">
      <c r="AR158" s="118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60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60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  <c r="CU158" s="56"/>
      <c r="CV158" s="56"/>
      <c r="CW158" s="56"/>
      <c r="CX158" s="60"/>
      <c r="CY158" s="56"/>
      <c r="CZ158" s="56"/>
      <c r="DA158" s="56"/>
      <c r="DB158" s="56"/>
      <c r="DC158" s="56"/>
      <c r="DD158" s="56"/>
      <c r="DE158" s="56"/>
      <c r="DF158" s="56"/>
      <c r="DG158" s="56"/>
      <c r="DH158" s="56"/>
      <c r="DI158" s="56"/>
      <c r="DJ158" s="56"/>
      <c r="DK158" s="60"/>
      <c r="DL158" s="60"/>
      <c r="DM158" s="56"/>
      <c r="DN158" s="56"/>
      <c r="DO158" s="56"/>
      <c r="DP158" s="56"/>
      <c r="DQ158" s="56"/>
      <c r="DR158" s="56"/>
      <c r="DS158" s="56"/>
      <c r="DT158" s="56"/>
      <c r="DU158" s="56"/>
      <c r="DV158" s="56"/>
      <c r="DW158" s="56"/>
      <c r="DX158" s="56"/>
      <c r="DY158" s="56"/>
      <c r="DZ158" s="56"/>
      <c r="EA158" s="56"/>
      <c r="EB158" s="56"/>
      <c r="EC158" s="56"/>
      <c r="ED158" s="56"/>
      <c r="EE158" s="56"/>
      <c r="EF158" s="56"/>
    </row>
    <row r="159" spans="44:136" s="80" customFormat="1">
      <c r="AR159" s="118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60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60"/>
      <c r="CK159" s="56"/>
      <c r="CL159" s="56"/>
      <c r="CM159" s="56"/>
      <c r="CN159" s="56"/>
      <c r="CO159" s="56"/>
      <c r="CP159" s="56"/>
      <c r="CQ159" s="56"/>
      <c r="CR159" s="56"/>
      <c r="CS159" s="56"/>
      <c r="CT159" s="56"/>
      <c r="CU159" s="56"/>
      <c r="CV159" s="56"/>
      <c r="CW159" s="56"/>
      <c r="CX159" s="60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  <c r="DK159" s="60"/>
      <c r="DL159" s="60"/>
      <c r="DM159" s="56"/>
      <c r="DN159" s="56"/>
      <c r="DO159" s="56"/>
      <c r="DP159" s="56"/>
      <c r="DQ159" s="56"/>
      <c r="DR159" s="56"/>
      <c r="DS159" s="56"/>
      <c r="DT159" s="56"/>
      <c r="DU159" s="56"/>
      <c r="DV159" s="56"/>
      <c r="DW159" s="56"/>
      <c r="DX159" s="56"/>
      <c r="DY159" s="56"/>
      <c r="DZ159" s="56"/>
      <c r="EA159" s="56"/>
      <c r="EB159" s="56"/>
      <c r="EC159" s="56"/>
      <c r="ED159" s="56"/>
      <c r="EE159" s="56"/>
      <c r="EF159" s="56"/>
    </row>
    <row r="160" spans="44:136" s="80" customFormat="1">
      <c r="AR160" s="118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60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60"/>
      <c r="CK160" s="56"/>
      <c r="CL160" s="56"/>
      <c r="CM160" s="56"/>
      <c r="CN160" s="56"/>
      <c r="CO160" s="56"/>
      <c r="CP160" s="56"/>
      <c r="CQ160" s="56"/>
      <c r="CR160" s="56"/>
      <c r="CS160" s="56"/>
      <c r="CT160" s="56"/>
      <c r="CU160" s="56"/>
      <c r="CV160" s="56"/>
      <c r="CW160" s="56"/>
      <c r="CX160" s="60"/>
      <c r="CY160" s="56"/>
      <c r="CZ160" s="56"/>
      <c r="DA160" s="56"/>
      <c r="DB160" s="56"/>
      <c r="DC160" s="56"/>
      <c r="DD160" s="56"/>
      <c r="DE160" s="56"/>
      <c r="DF160" s="56"/>
      <c r="DG160" s="56"/>
      <c r="DH160" s="56"/>
      <c r="DI160" s="56"/>
      <c r="DJ160" s="56"/>
      <c r="DK160" s="60"/>
      <c r="DL160" s="60"/>
      <c r="DM160" s="56"/>
      <c r="DN160" s="56"/>
      <c r="DO160" s="56"/>
      <c r="DP160" s="56"/>
      <c r="DQ160" s="56"/>
      <c r="DR160" s="56"/>
      <c r="DS160" s="56"/>
      <c r="DT160" s="56"/>
      <c r="DU160" s="56"/>
      <c r="DV160" s="56"/>
      <c r="DW160" s="56"/>
      <c r="DX160" s="56"/>
      <c r="DY160" s="56"/>
      <c r="DZ160" s="56"/>
      <c r="EA160" s="56"/>
      <c r="EB160" s="56"/>
      <c r="EC160" s="56"/>
      <c r="ED160" s="56"/>
      <c r="EE160" s="56"/>
      <c r="EF160" s="56"/>
    </row>
    <row r="161" spans="44:136" s="80" customFormat="1">
      <c r="AR161" s="118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60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60"/>
      <c r="CK161" s="56"/>
      <c r="CL161" s="56"/>
      <c r="CM161" s="56"/>
      <c r="CN161" s="56"/>
      <c r="CO161" s="56"/>
      <c r="CP161" s="56"/>
      <c r="CQ161" s="56"/>
      <c r="CR161" s="56"/>
      <c r="CS161" s="56"/>
      <c r="CT161" s="56"/>
      <c r="CU161" s="56"/>
      <c r="CV161" s="56"/>
      <c r="CW161" s="56"/>
      <c r="CX161" s="60"/>
      <c r="CY161" s="56"/>
      <c r="CZ161" s="56"/>
      <c r="DA161" s="56"/>
      <c r="DB161" s="56"/>
      <c r="DC161" s="56"/>
      <c r="DD161" s="56"/>
      <c r="DE161" s="56"/>
      <c r="DF161" s="56"/>
      <c r="DG161" s="56"/>
      <c r="DH161" s="56"/>
      <c r="DI161" s="56"/>
      <c r="DJ161" s="56"/>
      <c r="DK161" s="60"/>
      <c r="DL161" s="60"/>
      <c r="DM161" s="56"/>
      <c r="DN161" s="56"/>
      <c r="DO161" s="56"/>
      <c r="DP161" s="56"/>
      <c r="DQ161" s="56"/>
      <c r="DR161" s="56"/>
      <c r="DS161" s="56"/>
      <c r="DT161" s="56"/>
      <c r="DU161" s="56"/>
      <c r="DV161" s="56"/>
      <c r="DW161" s="56"/>
      <c r="DX161" s="56"/>
      <c r="DY161" s="56"/>
      <c r="DZ161" s="56"/>
      <c r="EA161" s="56"/>
      <c r="EB161" s="56"/>
      <c r="EC161" s="56"/>
      <c r="ED161" s="56"/>
      <c r="EE161" s="56"/>
      <c r="EF161" s="56"/>
    </row>
    <row r="162" spans="44:136" s="80" customFormat="1">
      <c r="AR162" s="118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60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60"/>
      <c r="CK162" s="56"/>
      <c r="CL162" s="56"/>
      <c r="CM162" s="56"/>
      <c r="CN162" s="56"/>
      <c r="CO162" s="56"/>
      <c r="CP162" s="56"/>
      <c r="CQ162" s="56"/>
      <c r="CR162" s="56"/>
      <c r="CS162" s="56"/>
      <c r="CT162" s="56"/>
      <c r="CU162" s="56"/>
      <c r="CV162" s="56"/>
      <c r="CW162" s="56"/>
      <c r="CX162" s="60"/>
      <c r="CY162" s="56"/>
      <c r="CZ162" s="56"/>
      <c r="DA162" s="56"/>
      <c r="DB162" s="56"/>
      <c r="DC162" s="56"/>
      <c r="DD162" s="56"/>
      <c r="DE162" s="56"/>
      <c r="DF162" s="56"/>
      <c r="DG162" s="56"/>
      <c r="DH162" s="56"/>
      <c r="DI162" s="56"/>
      <c r="DJ162" s="56"/>
      <c r="DK162" s="60"/>
      <c r="DL162" s="60"/>
      <c r="DM162" s="56"/>
      <c r="DN162" s="56"/>
      <c r="DO162" s="56"/>
      <c r="DP162" s="56"/>
      <c r="DQ162" s="56"/>
      <c r="DR162" s="56"/>
      <c r="DS162" s="56"/>
      <c r="DT162" s="56"/>
      <c r="DU162" s="56"/>
      <c r="DV162" s="56"/>
      <c r="DW162" s="56"/>
      <c r="DX162" s="56"/>
      <c r="DY162" s="56"/>
      <c r="DZ162" s="56"/>
      <c r="EA162" s="56"/>
      <c r="EB162" s="56"/>
      <c r="EC162" s="56"/>
      <c r="ED162" s="56"/>
      <c r="EE162" s="56"/>
      <c r="EF162" s="56"/>
    </row>
    <row r="163" spans="44:136" s="80" customFormat="1">
      <c r="AR163" s="118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60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60"/>
      <c r="CK163" s="56"/>
      <c r="CL163" s="56"/>
      <c r="CM163" s="56"/>
      <c r="CN163" s="56"/>
      <c r="CO163" s="56"/>
      <c r="CP163" s="56"/>
      <c r="CQ163" s="56"/>
      <c r="CR163" s="56"/>
      <c r="CS163" s="56"/>
      <c r="CT163" s="56"/>
      <c r="CU163" s="56"/>
      <c r="CV163" s="56"/>
      <c r="CW163" s="56"/>
      <c r="CX163" s="60"/>
      <c r="CY163" s="56"/>
      <c r="CZ163" s="56"/>
      <c r="DA163" s="56"/>
      <c r="DB163" s="56"/>
      <c r="DC163" s="56"/>
      <c r="DD163" s="56"/>
      <c r="DE163" s="56"/>
      <c r="DF163" s="56"/>
      <c r="DG163" s="56"/>
      <c r="DH163" s="56"/>
      <c r="DI163" s="56"/>
      <c r="DJ163" s="56"/>
      <c r="DK163" s="60"/>
      <c r="DL163" s="60"/>
      <c r="DM163" s="56"/>
      <c r="DN163" s="56"/>
      <c r="DO163" s="56"/>
      <c r="DP163" s="56"/>
      <c r="DQ163" s="56"/>
      <c r="DR163" s="56"/>
      <c r="DS163" s="56"/>
      <c r="DT163" s="56"/>
      <c r="DU163" s="56"/>
      <c r="DV163" s="56"/>
      <c r="DW163" s="56"/>
      <c r="DX163" s="56"/>
      <c r="DY163" s="56"/>
      <c r="DZ163" s="56"/>
      <c r="EA163" s="56"/>
      <c r="EB163" s="56"/>
      <c r="EC163" s="56"/>
      <c r="ED163" s="56"/>
      <c r="EE163" s="56"/>
      <c r="EF163" s="56"/>
    </row>
    <row r="164" spans="44:136" s="80" customFormat="1">
      <c r="AR164" s="118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60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60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  <c r="CU164" s="56"/>
      <c r="CV164" s="56"/>
      <c r="CW164" s="56"/>
      <c r="CX164" s="60"/>
      <c r="CY164" s="56"/>
      <c r="CZ164" s="56"/>
      <c r="DA164" s="56"/>
      <c r="DB164" s="56"/>
      <c r="DC164" s="56"/>
      <c r="DD164" s="56"/>
      <c r="DE164" s="56"/>
      <c r="DF164" s="56"/>
      <c r="DG164" s="56"/>
      <c r="DH164" s="56"/>
      <c r="DI164" s="56"/>
      <c r="DJ164" s="56"/>
      <c r="DK164" s="60"/>
      <c r="DL164" s="60"/>
      <c r="DM164" s="56"/>
      <c r="DN164" s="56"/>
      <c r="DO164" s="56"/>
      <c r="DP164" s="56"/>
      <c r="DQ164" s="56"/>
      <c r="DR164" s="56"/>
      <c r="DS164" s="56"/>
      <c r="DT164" s="56"/>
      <c r="DU164" s="56"/>
      <c r="DV164" s="56"/>
      <c r="DW164" s="56"/>
      <c r="DX164" s="56"/>
      <c r="DY164" s="56"/>
      <c r="DZ164" s="56"/>
      <c r="EA164" s="56"/>
      <c r="EB164" s="56"/>
      <c r="EC164" s="56"/>
      <c r="ED164" s="56"/>
      <c r="EE164" s="56"/>
      <c r="EF164" s="56"/>
    </row>
    <row r="165" spans="44:136" s="80" customFormat="1">
      <c r="AR165" s="118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60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60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60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60"/>
      <c r="DL165" s="60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6"/>
      <c r="EE165" s="56"/>
      <c r="EF165" s="56"/>
    </row>
    <row r="166" spans="44:136" s="80" customFormat="1">
      <c r="AR166" s="118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60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60"/>
      <c r="CK166" s="56"/>
      <c r="CL166" s="56"/>
      <c r="CM166" s="56"/>
      <c r="CN166" s="56"/>
      <c r="CO166" s="56"/>
      <c r="CP166" s="56"/>
      <c r="CQ166" s="56"/>
      <c r="CR166" s="56"/>
      <c r="CS166" s="56"/>
      <c r="CT166" s="56"/>
      <c r="CU166" s="56"/>
      <c r="CV166" s="56"/>
      <c r="CW166" s="56"/>
      <c r="CX166" s="60"/>
      <c r="CY166" s="56"/>
      <c r="CZ166" s="56"/>
      <c r="DA166" s="56"/>
      <c r="DB166" s="56"/>
      <c r="DC166" s="56"/>
      <c r="DD166" s="56"/>
      <c r="DE166" s="56"/>
      <c r="DF166" s="56"/>
      <c r="DG166" s="56"/>
      <c r="DH166" s="56"/>
      <c r="DI166" s="56"/>
      <c r="DJ166" s="56"/>
      <c r="DK166" s="60"/>
      <c r="DL166" s="60"/>
      <c r="DM166" s="56"/>
      <c r="DN166" s="56"/>
      <c r="DO166" s="56"/>
      <c r="DP166" s="56"/>
      <c r="DQ166" s="56"/>
      <c r="DR166" s="56"/>
      <c r="DS166" s="56"/>
      <c r="DT166" s="56"/>
      <c r="DU166" s="56"/>
      <c r="DV166" s="56"/>
      <c r="DW166" s="56"/>
      <c r="DX166" s="56"/>
      <c r="DY166" s="56"/>
      <c r="DZ166" s="56"/>
      <c r="EA166" s="56"/>
      <c r="EB166" s="56"/>
      <c r="EC166" s="56"/>
      <c r="ED166" s="56"/>
      <c r="EE166" s="56"/>
      <c r="EF166" s="56"/>
    </row>
    <row r="167" spans="44:136" s="80" customFormat="1">
      <c r="AR167" s="118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60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60"/>
      <c r="CK167" s="56"/>
      <c r="CL167" s="56"/>
      <c r="CM167" s="56"/>
      <c r="CN167" s="56"/>
      <c r="CO167" s="56"/>
      <c r="CP167" s="56"/>
      <c r="CQ167" s="56"/>
      <c r="CR167" s="56"/>
      <c r="CS167" s="56"/>
      <c r="CT167" s="56"/>
      <c r="CU167" s="56"/>
      <c r="CV167" s="56"/>
      <c r="CW167" s="56"/>
      <c r="CX167" s="60"/>
      <c r="CY167" s="56"/>
      <c r="CZ167" s="56"/>
      <c r="DA167" s="56"/>
      <c r="DB167" s="56"/>
      <c r="DC167" s="56"/>
      <c r="DD167" s="56"/>
      <c r="DE167" s="56"/>
      <c r="DF167" s="56"/>
      <c r="DG167" s="56"/>
      <c r="DH167" s="56"/>
      <c r="DI167" s="56"/>
      <c r="DJ167" s="56"/>
      <c r="DK167" s="60"/>
      <c r="DL167" s="60"/>
      <c r="DM167" s="56"/>
      <c r="DN167" s="56"/>
      <c r="DO167" s="56"/>
      <c r="DP167" s="56"/>
      <c r="DQ167" s="56"/>
      <c r="DR167" s="56"/>
      <c r="DS167" s="56"/>
      <c r="DT167" s="56"/>
      <c r="DU167" s="56"/>
      <c r="DV167" s="56"/>
      <c r="DW167" s="56"/>
      <c r="DX167" s="56"/>
      <c r="DY167" s="56"/>
      <c r="DZ167" s="56"/>
      <c r="EA167" s="56"/>
      <c r="EB167" s="56"/>
      <c r="EC167" s="56"/>
      <c r="ED167" s="56"/>
      <c r="EE167" s="56"/>
      <c r="EF167" s="56"/>
    </row>
    <row r="168" spans="44:136" s="80" customFormat="1">
      <c r="AR168" s="118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60"/>
      <c r="BU168" s="56"/>
      <c r="BV168" s="56"/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  <c r="CG168" s="56"/>
      <c r="CH168" s="56"/>
      <c r="CI168" s="56"/>
      <c r="CJ168" s="60"/>
      <c r="CK168" s="56"/>
      <c r="CL168" s="56"/>
      <c r="CM168" s="56"/>
      <c r="CN168" s="56"/>
      <c r="CO168" s="56"/>
      <c r="CP168" s="56"/>
      <c r="CQ168" s="56"/>
      <c r="CR168" s="56"/>
      <c r="CS168" s="56"/>
      <c r="CT168" s="56"/>
      <c r="CU168" s="56"/>
      <c r="CV168" s="56"/>
      <c r="CW168" s="56"/>
      <c r="CX168" s="60"/>
      <c r="CY168" s="56"/>
      <c r="CZ168" s="56"/>
      <c r="DA168" s="56"/>
      <c r="DB168" s="56"/>
      <c r="DC168" s="56"/>
      <c r="DD168" s="56"/>
      <c r="DE168" s="56"/>
      <c r="DF168" s="56"/>
      <c r="DG168" s="56"/>
      <c r="DH168" s="56"/>
      <c r="DI168" s="56"/>
      <c r="DJ168" s="56"/>
      <c r="DK168" s="60"/>
      <c r="DL168" s="60"/>
      <c r="DM168" s="56"/>
      <c r="DN168" s="56"/>
      <c r="DO168" s="56"/>
      <c r="DP168" s="56"/>
      <c r="DQ168" s="56"/>
      <c r="DR168" s="56"/>
      <c r="DS168" s="56"/>
      <c r="DT168" s="56"/>
      <c r="DU168" s="56"/>
      <c r="DV168" s="56"/>
      <c r="DW168" s="56"/>
      <c r="DX168" s="56"/>
      <c r="DY168" s="56"/>
      <c r="DZ168" s="56"/>
      <c r="EA168" s="56"/>
      <c r="EB168" s="56"/>
      <c r="EC168" s="56"/>
      <c r="ED168" s="56"/>
      <c r="EE168" s="56"/>
      <c r="EF168" s="56"/>
    </row>
    <row r="169" spans="44:136" s="80" customFormat="1">
      <c r="AR169" s="118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60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60"/>
      <c r="CK169" s="56"/>
      <c r="CL169" s="56"/>
      <c r="CM169" s="56"/>
      <c r="CN169" s="56"/>
      <c r="CO169" s="56"/>
      <c r="CP169" s="56"/>
      <c r="CQ169" s="56"/>
      <c r="CR169" s="56"/>
      <c r="CS169" s="56"/>
      <c r="CT169" s="56"/>
      <c r="CU169" s="56"/>
      <c r="CV169" s="56"/>
      <c r="CW169" s="56"/>
      <c r="CX169" s="60"/>
      <c r="CY169" s="56"/>
      <c r="CZ169" s="56"/>
      <c r="DA169" s="56"/>
      <c r="DB169" s="56"/>
      <c r="DC169" s="56"/>
      <c r="DD169" s="56"/>
      <c r="DE169" s="56"/>
      <c r="DF169" s="56"/>
      <c r="DG169" s="56"/>
      <c r="DH169" s="56"/>
      <c r="DI169" s="56"/>
      <c r="DJ169" s="56"/>
      <c r="DK169" s="60"/>
      <c r="DL169" s="60"/>
      <c r="DM169" s="56"/>
      <c r="DN169" s="56"/>
      <c r="DO169" s="56"/>
      <c r="DP169" s="56"/>
      <c r="DQ169" s="56"/>
      <c r="DR169" s="56"/>
      <c r="DS169" s="56"/>
      <c r="DT169" s="56"/>
      <c r="DU169" s="56"/>
      <c r="DV169" s="56"/>
      <c r="DW169" s="56"/>
      <c r="DX169" s="56"/>
      <c r="DY169" s="56"/>
      <c r="DZ169" s="56"/>
      <c r="EA169" s="56"/>
      <c r="EB169" s="56"/>
      <c r="EC169" s="56"/>
      <c r="ED169" s="56"/>
      <c r="EE169" s="56"/>
      <c r="EF169" s="56"/>
    </row>
    <row r="170" spans="44:136" s="80" customFormat="1">
      <c r="AR170" s="118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60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60"/>
      <c r="CK170" s="56"/>
      <c r="CL170" s="56"/>
      <c r="CM170" s="56"/>
      <c r="CN170" s="56"/>
      <c r="CO170" s="56"/>
      <c r="CP170" s="56"/>
      <c r="CQ170" s="56"/>
      <c r="CR170" s="56"/>
      <c r="CS170" s="56"/>
      <c r="CT170" s="56"/>
      <c r="CU170" s="56"/>
      <c r="CV170" s="56"/>
      <c r="CW170" s="56"/>
      <c r="CX170" s="60"/>
      <c r="CY170" s="56"/>
      <c r="CZ170" s="56"/>
      <c r="DA170" s="56"/>
      <c r="DB170" s="56"/>
      <c r="DC170" s="56"/>
      <c r="DD170" s="56"/>
      <c r="DE170" s="56"/>
      <c r="DF170" s="56"/>
      <c r="DG170" s="56"/>
      <c r="DH170" s="56"/>
      <c r="DI170" s="56"/>
      <c r="DJ170" s="56"/>
      <c r="DK170" s="60"/>
      <c r="DL170" s="60"/>
      <c r="DM170" s="56"/>
      <c r="DN170" s="56"/>
      <c r="DO170" s="56"/>
      <c r="DP170" s="56"/>
      <c r="DQ170" s="56"/>
      <c r="DR170" s="56"/>
      <c r="DS170" s="56"/>
      <c r="DT170" s="56"/>
      <c r="DU170" s="56"/>
      <c r="DV170" s="56"/>
      <c r="DW170" s="56"/>
      <c r="DX170" s="56"/>
      <c r="DY170" s="56"/>
      <c r="DZ170" s="56"/>
      <c r="EA170" s="56"/>
      <c r="EB170" s="56"/>
      <c r="EC170" s="56"/>
      <c r="ED170" s="56"/>
      <c r="EE170" s="56"/>
      <c r="EF170" s="56"/>
    </row>
    <row r="171" spans="44:136" s="80" customFormat="1">
      <c r="AR171" s="118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60"/>
      <c r="BU171" s="56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  <c r="CG171" s="56"/>
      <c r="CH171" s="56"/>
      <c r="CI171" s="56"/>
      <c r="CJ171" s="60"/>
      <c r="CK171" s="56"/>
      <c r="CL171" s="56"/>
      <c r="CM171" s="56"/>
      <c r="CN171" s="56"/>
      <c r="CO171" s="56"/>
      <c r="CP171" s="56"/>
      <c r="CQ171" s="56"/>
      <c r="CR171" s="56"/>
      <c r="CS171" s="56"/>
      <c r="CT171" s="56"/>
      <c r="CU171" s="56"/>
      <c r="CV171" s="56"/>
      <c r="CW171" s="56"/>
      <c r="CX171" s="60"/>
      <c r="CY171" s="56"/>
      <c r="CZ171" s="56"/>
      <c r="DA171" s="56"/>
      <c r="DB171" s="56"/>
      <c r="DC171" s="56"/>
      <c r="DD171" s="56"/>
      <c r="DE171" s="56"/>
      <c r="DF171" s="56"/>
      <c r="DG171" s="56"/>
      <c r="DH171" s="56"/>
      <c r="DI171" s="56"/>
      <c r="DJ171" s="56"/>
      <c r="DK171" s="60"/>
      <c r="DL171" s="60"/>
      <c r="DM171" s="56"/>
      <c r="DN171" s="56"/>
      <c r="DO171" s="56"/>
      <c r="DP171" s="56"/>
      <c r="DQ171" s="56"/>
      <c r="DR171" s="56"/>
      <c r="DS171" s="56"/>
      <c r="DT171" s="56"/>
      <c r="DU171" s="56"/>
      <c r="DV171" s="56"/>
      <c r="DW171" s="56"/>
      <c r="DX171" s="56"/>
      <c r="DY171" s="56"/>
      <c r="DZ171" s="56"/>
      <c r="EA171" s="56"/>
      <c r="EB171" s="56"/>
      <c r="EC171" s="56"/>
      <c r="ED171" s="56"/>
      <c r="EE171" s="56"/>
      <c r="EF171" s="56"/>
    </row>
    <row r="172" spans="44:136" s="80" customFormat="1">
      <c r="AR172" s="118"/>
      <c r="BD172" s="56"/>
      <c r="BE172" s="56"/>
      <c r="BF172" s="56"/>
      <c r="BG172" s="56"/>
      <c r="BH172" s="56"/>
      <c r="BI172" s="56"/>
      <c r="BJ172" s="56"/>
      <c r="BK172" s="56"/>
      <c r="BL172" s="56"/>
      <c r="BM172" s="56"/>
      <c r="BN172" s="56"/>
      <c r="BO172" s="56"/>
      <c r="BP172" s="56"/>
      <c r="BQ172" s="56"/>
      <c r="BR172" s="56"/>
      <c r="BS172" s="56"/>
      <c r="BT172" s="60"/>
      <c r="BU172" s="56"/>
      <c r="BV172" s="56"/>
      <c r="BW172" s="56"/>
      <c r="BX172" s="56"/>
      <c r="BY172" s="56"/>
      <c r="BZ172" s="56"/>
      <c r="CA172" s="56"/>
      <c r="CB172" s="56"/>
      <c r="CC172" s="56"/>
      <c r="CD172" s="56"/>
      <c r="CE172" s="56"/>
      <c r="CF172" s="56"/>
      <c r="CG172" s="56"/>
      <c r="CH172" s="56"/>
      <c r="CI172" s="56"/>
      <c r="CJ172" s="60"/>
      <c r="CK172" s="56"/>
      <c r="CL172" s="56"/>
      <c r="CM172" s="56"/>
      <c r="CN172" s="56"/>
      <c r="CO172" s="56"/>
      <c r="CP172" s="56"/>
      <c r="CQ172" s="56"/>
      <c r="CR172" s="56"/>
      <c r="CS172" s="56"/>
      <c r="CT172" s="56"/>
      <c r="CU172" s="56"/>
      <c r="CV172" s="56"/>
      <c r="CW172" s="56"/>
      <c r="CX172" s="60"/>
      <c r="CY172" s="56"/>
      <c r="CZ172" s="56"/>
      <c r="DA172" s="56"/>
      <c r="DB172" s="56"/>
      <c r="DC172" s="56"/>
      <c r="DD172" s="56"/>
      <c r="DE172" s="56"/>
      <c r="DF172" s="56"/>
      <c r="DG172" s="56"/>
      <c r="DH172" s="56"/>
      <c r="DI172" s="56"/>
      <c r="DJ172" s="56"/>
      <c r="DK172" s="60"/>
      <c r="DL172" s="60"/>
      <c r="DM172" s="56"/>
      <c r="DN172" s="56"/>
      <c r="DO172" s="56"/>
      <c r="DP172" s="56"/>
      <c r="DQ172" s="56"/>
      <c r="DR172" s="56"/>
      <c r="DS172" s="56"/>
      <c r="DT172" s="56"/>
      <c r="DU172" s="56"/>
      <c r="DV172" s="56"/>
      <c r="DW172" s="56"/>
      <c r="DX172" s="56"/>
      <c r="DY172" s="56"/>
      <c r="DZ172" s="56"/>
      <c r="EA172" s="56"/>
      <c r="EB172" s="56"/>
      <c r="EC172" s="56"/>
      <c r="ED172" s="56"/>
      <c r="EE172" s="56"/>
      <c r="EF172" s="56"/>
    </row>
    <row r="173" spans="44:136" s="80" customFormat="1">
      <c r="AR173" s="118"/>
      <c r="BD173" s="56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S173" s="56"/>
      <c r="BT173" s="60"/>
      <c r="BU173" s="56"/>
      <c r="BV173" s="56"/>
      <c r="BW173" s="56"/>
      <c r="BX173" s="56"/>
      <c r="BY173" s="56"/>
      <c r="BZ173" s="56"/>
      <c r="CA173" s="56"/>
      <c r="CB173" s="56"/>
      <c r="CC173" s="56"/>
      <c r="CD173" s="56"/>
      <c r="CE173" s="56"/>
      <c r="CF173" s="56"/>
      <c r="CG173" s="56"/>
      <c r="CH173" s="56"/>
      <c r="CI173" s="56"/>
      <c r="CJ173" s="60"/>
      <c r="CK173" s="56"/>
      <c r="CL173" s="56"/>
      <c r="CM173" s="56"/>
      <c r="CN173" s="56"/>
      <c r="CO173" s="56"/>
      <c r="CP173" s="56"/>
      <c r="CQ173" s="56"/>
      <c r="CR173" s="56"/>
      <c r="CS173" s="56"/>
      <c r="CT173" s="56"/>
      <c r="CU173" s="56"/>
      <c r="CV173" s="56"/>
      <c r="CW173" s="56"/>
      <c r="CX173" s="60"/>
      <c r="CY173" s="56"/>
      <c r="CZ173" s="56"/>
      <c r="DA173" s="56"/>
      <c r="DB173" s="56"/>
      <c r="DC173" s="56"/>
      <c r="DD173" s="56"/>
      <c r="DE173" s="56"/>
      <c r="DF173" s="56"/>
      <c r="DG173" s="56"/>
      <c r="DH173" s="56"/>
      <c r="DI173" s="56"/>
      <c r="DJ173" s="56"/>
      <c r="DK173" s="60"/>
      <c r="DL173" s="60"/>
      <c r="DM173" s="56"/>
      <c r="DN173" s="56"/>
      <c r="DO173" s="56"/>
      <c r="DP173" s="56"/>
      <c r="DQ173" s="56"/>
      <c r="DR173" s="56"/>
      <c r="DS173" s="56"/>
      <c r="DT173" s="56"/>
      <c r="DU173" s="56"/>
      <c r="DV173" s="56"/>
      <c r="DW173" s="56"/>
      <c r="DX173" s="56"/>
      <c r="DY173" s="56"/>
      <c r="DZ173" s="56"/>
      <c r="EA173" s="56"/>
      <c r="EB173" s="56"/>
      <c r="EC173" s="56"/>
      <c r="ED173" s="56"/>
      <c r="EE173" s="56"/>
      <c r="EF173" s="56"/>
    </row>
    <row r="174" spans="44:136" s="80" customFormat="1">
      <c r="AR174" s="118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60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  <c r="CI174" s="56"/>
      <c r="CJ174" s="60"/>
      <c r="CK174" s="56"/>
      <c r="CL174" s="56"/>
      <c r="CM174" s="56"/>
      <c r="CN174" s="56"/>
      <c r="CO174" s="56"/>
      <c r="CP174" s="56"/>
      <c r="CQ174" s="56"/>
      <c r="CR174" s="56"/>
      <c r="CS174" s="56"/>
      <c r="CT174" s="56"/>
      <c r="CU174" s="56"/>
      <c r="CV174" s="56"/>
      <c r="CW174" s="56"/>
      <c r="CX174" s="60"/>
      <c r="CY174" s="56"/>
      <c r="CZ174" s="56"/>
      <c r="DA174" s="56"/>
      <c r="DB174" s="56"/>
      <c r="DC174" s="56"/>
      <c r="DD174" s="56"/>
      <c r="DE174" s="56"/>
      <c r="DF174" s="56"/>
      <c r="DG174" s="56"/>
      <c r="DH174" s="56"/>
      <c r="DI174" s="56"/>
      <c r="DJ174" s="56"/>
      <c r="DK174" s="60"/>
      <c r="DL174" s="60"/>
      <c r="DM174" s="56"/>
      <c r="DN174" s="56"/>
      <c r="DO174" s="56"/>
      <c r="DP174" s="56"/>
      <c r="DQ174" s="56"/>
      <c r="DR174" s="56"/>
      <c r="DS174" s="56"/>
      <c r="DT174" s="56"/>
      <c r="DU174" s="56"/>
      <c r="DV174" s="56"/>
      <c r="DW174" s="56"/>
      <c r="DX174" s="56"/>
      <c r="DY174" s="56"/>
      <c r="DZ174" s="56"/>
      <c r="EA174" s="56"/>
      <c r="EB174" s="56"/>
      <c r="EC174" s="56"/>
      <c r="ED174" s="56"/>
      <c r="EE174" s="56"/>
      <c r="EF174" s="56"/>
    </row>
    <row r="175" spans="44:136" s="80" customFormat="1">
      <c r="AR175" s="118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60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60"/>
      <c r="CK175" s="56"/>
      <c r="CL175" s="56"/>
      <c r="CM175" s="56"/>
      <c r="CN175" s="56"/>
      <c r="CO175" s="56"/>
      <c r="CP175" s="56"/>
      <c r="CQ175" s="56"/>
      <c r="CR175" s="56"/>
      <c r="CS175" s="56"/>
      <c r="CT175" s="56"/>
      <c r="CU175" s="56"/>
      <c r="CV175" s="56"/>
      <c r="CW175" s="56"/>
      <c r="CX175" s="60"/>
      <c r="CY175" s="56"/>
      <c r="CZ175" s="56"/>
      <c r="DA175" s="56"/>
      <c r="DB175" s="56"/>
      <c r="DC175" s="56"/>
      <c r="DD175" s="56"/>
      <c r="DE175" s="56"/>
      <c r="DF175" s="56"/>
      <c r="DG175" s="56"/>
      <c r="DH175" s="56"/>
      <c r="DI175" s="56"/>
      <c r="DJ175" s="56"/>
      <c r="DK175" s="60"/>
      <c r="DL175" s="60"/>
      <c r="DM175" s="56"/>
      <c r="DN175" s="56"/>
      <c r="DO175" s="56"/>
      <c r="DP175" s="56"/>
      <c r="DQ175" s="56"/>
      <c r="DR175" s="56"/>
      <c r="DS175" s="56"/>
      <c r="DT175" s="56"/>
      <c r="DU175" s="56"/>
      <c r="DV175" s="56"/>
      <c r="DW175" s="56"/>
      <c r="DX175" s="56"/>
      <c r="DY175" s="56"/>
      <c r="DZ175" s="56"/>
      <c r="EA175" s="56"/>
      <c r="EB175" s="56"/>
      <c r="EC175" s="56"/>
      <c r="ED175" s="56"/>
      <c r="EE175" s="56"/>
      <c r="EF175" s="56"/>
    </row>
    <row r="176" spans="44:136" s="80" customFormat="1">
      <c r="AR176" s="118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60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60"/>
      <c r="CK176" s="56"/>
      <c r="CL176" s="56"/>
      <c r="CM176" s="56"/>
      <c r="CN176" s="56"/>
      <c r="CO176" s="56"/>
      <c r="CP176" s="56"/>
      <c r="CQ176" s="56"/>
      <c r="CR176" s="56"/>
      <c r="CS176" s="56"/>
      <c r="CT176" s="56"/>
      <c r="CU176" s="56"/>
      <c r="CV176" s="56"/>
      <c r="CW176" s="56"/>
      <c r="CX176" s="60"/>
      <c r="CY176" s="56"/>
      <c r="CZ176" s="56"/>
      <c r="DA176" s="56"/>
      <c r="DB176" s="56"/>
      <c r="DC176" s="56"/>
      <c r="DD176" s="56"/>
      <c r="DE176" s="56"/>
      <c r="DF176" s="56"/>
      <c r="DG176" s="56"/>
      <c r="DH176" s="56"/>
      <c r="DI176" s="56"/>
      <c r="DJ176" s="56"/>
      <c r="DK176" s="60"/>
      <c r="DL176" s="60"/>
      <c r="DM176" s="56"/>
      <c r="DN176" s="56"/>
      <c r="DO176" s="56"/>
      <c r="DP176" s="56"/>
      <c r="DQ176" s="56"/>
      <c r="DR176" s="56"/>
      <c r="DS176" s="56"/>
      <c r="DT176" s="56"/>
      <c r="DU176" s="56"/>
      <c r="DV176" s="56"/>
      <c r="DW176" s="56"/>
      <c r="DX176" s="56"/>
      <c r="DY176" s="56"/>
      <c r="DZ176" s="56"/>
      <c r="EA176" s="56"/>
      <c r="EB176" s="56"/>
      <c r="EC176" s="56"/>
      <c r="ED176" s="56"/>
      <c r="EE176" s="56"/>
      <c r="EF176" s="56"/>
    </row>
    <row r="177" spans="44:136" s="80" customFormat="1">
      <c r="AR177" s="118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60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  <c r="CG177" s="56"/>
      <c r="CH177" s="56"/>
      <c r="CI177" s="56"/>
      <c r="CJ177" s="60"/>
      <c r="CK177" s="56"/>
      <c r="CL177" s="56"/>
      <c r="CM177" s="56"/>
      <c r="CN177" s="56"/>
      <c r="CO177" s="56"/>
      <c r="CP177" s="56"/>
      <c r="CQ177" s="56"/>
      <c r="CR177" s="56"/>
      <c r="CS177" s="56"/>
      <c r="CT177" s="56"/>
      <c r="CU177" s="56"/>
      <c r="CV177" s="56"/>
      <c r="CW177" s="56"/>
      <c r="CX177" s="60"/>
      <c r="CY177" s="56"/>
      <c r="CZ177" s="56"/>
      <c r="DA177" s="56"/>
      <c r="DB177" s="56"/>
      <c r="DC177" s="56"/>
      <c r="DD177" s="56"/>
      <c r="DE177" s="56"/>
      <c r="DF177" s="56"/>
      <c r="DG177" s="56"/>
      <c r="DH177" s="56"/>
      <c r="DI177" s="56"/>
      <c r="DJ177" s="56"/>
      <c r="DK177" s="60"/>
      <c r="DL177" s="60"/>
      <c r="DM177" s="56"/>
      <c r="DN177" s="56"/>
      <c r="DO177" s="56"/>
      <c r="DP177" s="56"/>
      <c r="DQ177" s="56"/>
      <c r="DR177" s="56"/>
      <c r="DS177" s="56"/>
      <c r="DT177" s="56"/>
      <c r="DU177" s="56"/>
      <c r="DV177" s="56"/>
      <c r="DW177" s="56"/>
      <c r="DX177" s="56"/>
      <c r="DY177" s="56"/>
      <c r="DZ177" s="56"/>
      <c r="EA177" s="56"/>
      <c r="EB177" s="56"/>
      <c r="EC177" s="56"/>
      <c r="ED177" s="56"/>
      <c r="EE177" s="56"/>
      <c r="EF177" s="56"/>
    </row>
    <row r="178" spans="44:136" s="80" customFormat="1">
      <c r="AR178" s="118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60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60"/>
      <c r="CK178" s="56"/>
      <c r="CL178" s="56"/>
      <c r="CM178" s="56"/>
      <c r="CN178" s="56"/>
      <c r="CO178" s="56"/>
      <c r="CP178" s="56"/>
      <c r="CQ178" s="56"/>
      <c r="CR178" s="56"/>
      <c r="CS178" s="56"/>
      <c r="CT178" s="56"/>
      <c r="CU178" s="56"/>
      <c r="CV178" s="56"/>
      <c r="CW178" s="56"/>
      <c r="CX178" s="60"/>
      <c r="CY178" s="56"/>
      <c r="CZ178" s="56"/>
      <c r="DA178" s="56"/>
      <c r="DB178" s="56"/>
      <c r="DC178" s="56"/>
      <c r="DD178" s="56"/>
      <c r="DE178" s="56"/>
      <c r="DF178" s="56"/>
      <c r="DG178" s="56"/>
      <c r="DH178" s="56"/>
      <c r="DI178" s="56"/>
      <c r="DJ178" s="56"/>
      <c r="DK178" s="60"/>
      <c r="DL178" s="60"/>
      <c r="DM178" s="56"/>
      <c r="DN178" s="56"/>
      <c r="DO178" s="56"/>
      <c r="DP178" s="56"/>
      <c r="DQ178" s="56"/>
      <c r="DR178" s="56"/>
      <c r="DS178" s="56"/>
      <c r="DT178" s="56"/>
      <c r="DU178" s="56"/>
      <c r="DV178" s="56"/>
      <c r="DW178" s="56"/>
      <c r="DX178" s="56"/>
      <c r="DY178" s="56"/>
      <c r="DZ178" s="56"/>
      <c r="EA178" s="56"/>
      <c r="EB178" s="56"/>
      <c r="EC178" s="56"/>
      <c r="ED178" s="56"/>
      <c r="EE178" s="56"/>
      <c r="EF178" s="56"/>
    </row>
    <row r="179" spans="44:136" s="80" customFormat="1">
      <c r="AR179" s="118"/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6"/>
      <c r="BT179" s="60"/>
      <c r="BU179" s="56"/>
      <c r="BV179" s="56"/>
      <c r="BW179" s="56"/>
      <c r="BX179" s="56"/>
      <c r="BY179" s="56"/>
      <c r="BZ179" s="56"/>
      <c r="CA179" s="56"/>
      <c r="CB179" s="56"/>
      <c r="CC179" s="56"/>
      <c r="CD179" s="56"/>
      <c r="CE179" s="56"/>
      <c r="CF179" s="56"/>
      <c r="CG179" s="56"/>
      <c r="CH179" s="56"/>
      <c r="CI179" s="56"/>
      <c r="CJ179" s="60"/>
      <c r="CK179" s="56"/>
      <c r="CL179" s="56"/>
      <c r="CM179" s="56"/>
      <c r="CN179" s="56"/>
      <c r="CO179" s="56"/>
      <c r="CP179" s="56"/>
      <c r="CQ179" s="56"/>
      <c r="CR179" s="56"/>
      <c r="CS179" s="56"/>
      <c r="CT179" s="56"/>
      <c r="CU179" s="56"/>
      <c r="CV179" s="56"/>
      <c r="CW179" s="56"/>
      <c r="CX179" s="60"/>
      <c r="CY179" s="56"/>
      <c r="CZ179" s="56"/>
      <c r="DA179" s="56"/>
      <c r="DB179" s="56"/>
      <c r="DC179" s="56"/>
      <c r="DD179" s="56"/>
      <c r="DE179" s="56"/>
      <c r="DF179" s="56"/>
      <c r="DG179" s="56"/>
      <c r="DH179" s="56"/>
      <c r="DI179" s="56"/>
      <c r="DJ179" s="56"/>
      <c r="DK179" s="60"/>
      <c r="DL179" s="60"/>
      <c r="DM179" s="56"/>
      <c r="DN179" s="56"/>
      <c r="DO179" s="56"/>
      <c r="DP179" s="56"/>
      <c r="DQ179" s="56"/>
      <c r="DR179" s="56"/>
      <c r="DS179" s="56"/>
      <c r="DT179" s="56"/>
      <c r="DU179" s="56"/>
      <c r="DV179" s="56"/>
      <c r="DW179" s="56"/>
      <c r="DX179" s="56"/>
      <c r="DY179" s="56"/>
      <c r="DZ179" s="56"/>
      <c r="EA179" s="56"/>
      <c r="EB179" s="56"/>
      <c r="EC179" s="56"/>
      <c r="ED179" s="56"/>
      <c r="EE179" s="56"/>
      <c r="EF179" s="56"/>
    </row>
    <row r="180" spans="44:136" s="80" customFormat="1">
      <c r="AR180" s="118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60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  <c r="CG180" s="56"/>
      <c r="CH180" s="56"/>
      <c r="CI180" s="56"/>
      <c r="CJ180" s="60"/>
      <c r="CK180" s="56"/>
      <c r="CL180" s="56"/>
      <c r="CM180" s="56"/>
      <c r="CN180" s="56"/>
      <c r="CO180" s="56"/>
      <c r="CP180" s="56"/>
      <c r="CQ180" s="56"/>
      <c r="CR180" s="56"/>
      <c r="CS180" s="56"/>
      <c r="CT180" s="56"/>
      <c r="CU180" s="56"/>
      <c r="CV180" s="56"/>
      <c r="CW180" s="56"/>
      <c r="CX180" s="60"/>
      <c r="CY180" s="56"/>
      <c r="CZ180" s="56"/>
      <c r="DA180" s="56"/>
      <c r="DB180" s="56"/>
      <c r="DC180" s="56"/>
      <c r="DD180" s="56"/>
      <c r="DE180" s="56"/>
      <c r="DF180" s="56"/>
      <c r="DG180" s="56"/>
      <c r="DH180" s="56"/>
      <c r="DI180" s="56"/>
      <c r="DJ180" s="56"/>
      <c r="DK180" s="60"/>
      <c r="DL180" s="60"/>
      <c r="DM180" s="56"/>
      <c r="DN180" s="56"/>
      <c r="DO180" s="56"/>
      <c r="DP180" s="56"/>
      <c r="DQ180" s="56"/>
      <c r="DR180" s="56"/>
      <c r="DS180" s="56"/>
      <c r="DT180" s="56"/>
      <c r="DU180" s="56"/>
      <c r="DV180" s="56"/>
      <c r="DW180" s="56"/>
      <c r="DX180" s="56"/>
      <c r="DY180" s="56"/>
      <c r="DZ180" s="56"/>
      <c r="EA180" s="56"/>
      <c r="EB180" s="56"/>
      <c r="EC180" s="56"/>
      <c r="ED180" s="56"/>
      <c r="EE180" s="56"/>
      <c r="EF180" s="56"/>
    </row>
    <row r="181" spans="44:136" s="80" customFormat="1">
      <c r="AR181" s="118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60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  <c r="CG181" s="56"/>
      <c r="CH181" s="56"/>
      <c r="CI181" s="56"/>
      <c r="CJ181" s="60"/>
      <c r="CK181" s="56"/>
      <c r="CL181" s="56"/>
      <c r="CM181" s="56"/>
      <c r="CN181" s="56"/>
      <c r="CO181" s="56"/>
      <c r="CP181" s="56"/>
      <c r="CQ181" s="56"/>
      <c r="CR181" s="56"/>
      <c r="CS181" s="56"/>
      <c r="CT181" s="56"/>
      <c r="CU181" s="56"/>
      <c r="CV181" s="56"/>
      <c r="CW181" s="56"/>
      <c r="CX181" s="60"/>
      <c r="CY181" s="56"/>
      <c r="CZ181" s="56"/>
      <c r="DA181" s="56"/>
      <c r="DB181" s="56"/>
      <c r="DC181" s="56"/>
      <c r="DD181" s="56"/>
      <c r="DE181" s="56"/>
      <c r="DF181" s="56"/>
      <c r="DG181" s="56"/>
      <c r="DH181" s="56"/>
      <c r="DI181" s="56"/>
      <c r="DJ181" s="56"/>
      <c r="DK181" s="60"/>
      <c r="DL181" s="60"/>
      <c r="DM181" s="56"/>
      <c r="DN181" s="56"/>
      <c r="DO181" s="56"/>
      <c r="DP181" s="56"/>
      <c r="DQ181" s="56"/>
      <c r="DR181" s="56"/>
      <c r="DS181" s="56"/>
      <c r="DT181" s="56"/>
      <c r="DU181" s="56"/>
      <c r="DV181" s="56"/>
      <c r="DW181" s="56"/>
      <c r="DX181" s="56"/>
      <c r="DY181" s="56"/>
      <c r="DZ181" s="56"/>
      <c r="EA181" s="56"/>
      <c r="EB181" s="56"/>
      <c r="EC181" s="56"/>
      <c r="ED181" s="56"/>
      <c r="EE181" s="56"/>
      <c r="EF181" s="56"/>
    </row>
    <row r="182" spans="44:136" s="80" customFormat="1">
      <c r="AR182" s="118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60"/>
      <c r="BU182" s="56"/>
      <c r="BV182" s="56"/>
      <c r="BW182" s="56"/>
      <c r="BX182" s="56"/>
      <c r="BY182" s="56"/>
      <c r="BZ182" s="56"/>
      <c r="CA182" s="56"/>
      <c r="CB182" s="56"/>
      <c r="CC182" s="56"/>
      <c r="CD182" s="56"/>
      <c r="CE182" s="56"/>
      <c r="CF182" s="56"/>
      <c r="CG182" s="56"/>
      <c r="CH182" s="56"/>
      <c r="CI182" s="56"/>
      <c r="CJ182" s="60"/>
      <c r="CK182" s="56"/>
      <c r="CL182" s="56"/>
      <c r="CM182" s="56"/>
      <c r="CN182" s="56"/>
      <c r="CO182" s="56"/>
      <c r="CP182" s="56"/>
      <c r="CQ182" s="56"/>
      <c r="CR182" s="56"/>
      <c r="CS182" s="56"/>
      <c r="CT182" s="56"/>
      <c r="CU182" s="56"/>
      <c r="CV182" s="56"/>
      <c r="CW182" s="56"/>
      <c r="CX182" s="60"/>
      <c r="CY182" s="56"/>
      <c r="CZ182" s="56"/>
      <c r="DA182" s="56"/>
      <c r="DB182" s="56"/>
      <c r="DC182" s="56"/>
      <c r="DD182" s="56"/>
      <c r="DE182" s="56"/>
      <c r="DF182" s="56"/>
      <c r="DG182" s="56"/>
      <c r="DH182" s="56"/>
      <c r="DI182" s="56"/>
      <c r="DJ182" s="56"/>
      <c r="DK182" s="60"/>
      <c r="DL182" s="60"/>
      <c r="DM182" s="56"/>
      <c r="DN182" s="56"/>
      <c r="DO182" s="56"/>
      <c r="DP182" s="56"/>
      <c r="DQ182" s="56"/>
      <c r="DR182" s="56"/>
      <c r="DS182" s="56"/>
      <c r="DT182" s="56"/>
      <c r="DU182" s="56"/>
      <c r="DV182" s="56"/>
      <c r="DW182" s="56"/>
      <c r="DX182" s="56"/>
      <c r="DY182" s="56"/>
      <c r="DZ182" s="56"/>
      <c r="EA182" s="56"/>
      <c r="EB182" s="56"/>
      <c r="EC182" s="56"/>
      <c r="ED182" s="56"/>
      <c r="EE182" s="56"/>
      <c r="EF182" s="56"/>
    </row>
    <row r="183" spans="44:136" s="80" customFormat="1">
      <c r="AR183" s="118"/>
      <c r="BD183" s="56"/>
      <c r="BE183" s="56"/>
      <c r="BF183" s="56"/>
      <c r="BG183" s="56"/>
      <c r="BH183" s="56"/>
      <c r="BI183" s="56"/>
      <c r="BJ183" s="56"/>
      <c r="BK183" s="56"/>
      <c r="BL183" s="56"/>
      <c r="BM183" s="56"/>
      <c r="BN183" s="56"/>
      <c r="BO183" s="56"/>
      <c r="BP183" s="56"/>
      <c r="BQ183" s="56"/>
      <c r="BR183" s="56"/>
      <c r="BS183" s="56"/>
      <c r="BT183" s="60"/>
      <c r="BU183" s="56"/>
      <c r="BV183" s="56"/>
      <c r="BW183" s="56"/>
      <c r="BX183" s="56"/>
      <c r="BY183" s="56"/>
      <c r="BZ183" s="56"/>
      <c r="CA183" s="56"/>
      <c r="CB183" s="56"/>
      <c r="CC183" s="56"/>
      <c r="CD183" s="56"/>
      <c r="CE183" s="56"/>
      <c r="CF183" s="56"/>
      <c r="CG183" s="56"/>
      <c r="CH183" s="56"/>
      <c r="CI183" s="56"/>
      <c r="CJ183" s="60"/>
      <c r="CK183" s="56"/>
      <c r="CL183" s="56"/>
      <c r="CM183" s="56"/>
      <c r="CN183" s="56"/>
      <c r="CO183" s="56"/>
      <c r="CP183" s="56"/>
      <c r="CQ183" s="56"/>
      <c r="CR183" s="56"/>
      <c r="CS183" s="56"/>
      <c r="CT183" s="56"/>
      <c r="CU183" s="56"/>
      <c r="CV183" s="56"/>
      <c r="CW183" s="56"/>
      <c r="CX183" s="60"/>
      <c r="CY183" s="56"/>
      <c r="CZ183" s="56"/>
      <c r="DA183" s="56"/>
      <c r="DB183" s="56"/>
      <c r="DC183" s="56"/>
      <c r="DD183" s="56"/>
      <c r="DE183" s="56"/>
      <c r="DF183" s="56"/>
      <c r="DG183" s="56"/>
      <c r="DH183" s="56"/>
      <c r="DI183" s="56"/>
      <c r="DJ183" s="56"/>
      <c r="DK183" s="60"/>
      <c r="DL183" s="60"/>
      <c r="DM183" s="56"/>
      <c r="DN183" s="56"/>
      <c r="DO183" s="56"/>
      <c r="DP183" s="56"/>
      <c r="DQ183" s="56"/>
      <c r="DR183" s="56"/>
      <c r="DS183" s="56"/>
      <c r="DT183" s="56"/>
      <c r="DU183" s="56"/>
      <c r="DV183" s="56"/>
      <c r="DW183" s="56"/>
      <c r="DX183" s="56"/>
      <c r="DY183" s="56"/>
      <c r="DZ183" s="56"/>
      <c r="EA183" s="56"/>
      <c r="EB183" s="56"/>
      <c r="EC183" s="56"/>
      <c r="ED183" s="56"/>
      <c r="EE183" s="56"/>
      <c r="EF183" s="56"/>
    </row>
    <row r="184" spans="44:136" s="80" customFormat="1">
      <c r="AR184" s="118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60"/>
      <c r="BU184" s="56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  <c r="CG184" s="56"/>
      <c r="CH184" s="56"/>
      <c r="CI184" s="56"/>
      <c r="CJ184" s="60"/>
      <c r="CK184" s="56"/>
      <c r="CL184" s="56"/>
      <c r="CM184" s="56"/>
      <c r="CN184" s="56"/>
      <c r="CO184" s="56"/>
      <c r="CP184" s="56"/>
      <c r="CQ184" s="56"/>
      <c r="CR184" s="56"/>
      <c r="CS184" s="56"/>
      <c r="CT184" s="56"/>
      <c r="CU184" s="56"/>
      <c r="CV184" s="56"/>
      <c r="CW184" s="56"/>
      <c r="CX184" s="60"/>
      <c r="CY184" s="56"/>
      <c r="CZ184" s="56"/>
      <c r="DA184" s="56"/>
      <c r="DB184" s="56"/>
      <c r="DC184" s="56"/>
      <c r="DD184" s="56"/>
      <c r="DE184" s="56"/>
      <c r="DF184" s="56"/>
      <c r="DG184" s="56"/>
      <c r="DH184" s="56"/>
      <c r="DI184" s="56"/>
      <c r="DJ184" s="56"/>
      <c r="DK184" s="60"/>
      <c r="DL184" s="60"/>
      <c r="DM184" s="56"/>
      <c r="DN184" s="56"/>
      <c r="DO184" s="56"/>
      <c r="DP184" s="56"/>
      <c r="DQ184" s="56"/>
      <c r="DR184" s="56"/>
      <c r="DS184" s="56"/>
      <c r="DT184" s="56"/>
      <c r="DU184" s="56"/>
      <c r="DV184" s="56"/>
      <c r="DW184" s="56"/>
      <c r="DX184" s="56"/>
      <c r="DY184" s="56"/>
      <c r="DZ184" s="56"/>
      <c r="EA184" s="56"/>
      <c r="EB184" s="56"/>
      <c r="EC184" s="56"/>
      <c r="ED184" s="56"/>
      <c r="EE184" s="56"/>
      <c r="EF184" s="56"/>
    </row>
    <row r="185" spans="44:136" s="80" customFormat="1">
      <c r="AR185" s="118"/>
      <c r="BD185" s="56"/>
      <c r="BE185" s="56"/>
      <c r="BF185" s="56"/>
      <c r="BG185" s="56"/>
      <c r="BH185" s="56"/>
      <c r="BI185" s="56"/>
      <c r="BJ185" s="56"/>
      <c r="BK185" s="56"/>
      <c r="BL185" s="56"/>
      <c r="BM185" s="56"/>
      <c r="BN185" s="56"/>
      <c r="BO185" s="56"/>
      <c r="BP185" s="56"/>
      <c r="BQ185" s="56"/>
      <c r="BR185" s="56"/>
      <c r="BS185" s="56"/>
      <c r="BT185" s="60"/>
      <c r="BU185" s="56"/>
      <c r="BV185" s="56"/>
      <c r="BW185" s="56"/>
      <c r="BX185" s="56"/>
      <c r="BY185" s="56"/>
      <c r="BZ185" s="56"/>
      <c r="CA185" s="56"/>
      <c r="CB185" s="56"/>
      <c r="CC185" s="56"/>
      <c r="CD185" s="56"/>
      <c r="CE185" s="56"/>
      <c r="CF185" s="56"/>
      <c r="CG185" s="56"/>
      <c r="CH185" s="56"/>
      <c r="CI185" s="56"/>
      <c r="CJ185" s="60"/>
      <c r="CK185" s="56"/>
      <c r="CL185" s="56"/>
      <c r="CM185" s="56"/>
      <c r="CN185" s="56"/>
      <c r="CO185" s="56"/>
      <c r="CP185" s="56"/>
      <c r="CQ185" s="56"/>
      <c r="CR185" s="56"/>
      <c r="CS185" s="56"/>
      <c r="CT185" s="56"/>
      <c r="CU185" s="56"/>
      <c r="CV185" s="56"/>
      <c r="CW185" s="56"/>
      <c r="CX185" s="60"/>
      <c r="CY185" s="56"/>
      <c r="CZ185" s="56"/>
      <c r="DA185" s="56"/>
      <c r="DB185" s="56"/>
      <c r="DC185" s="56"/>
      <c r="DD185" s="56"/>
      <c r="DE185" s="56"/>
      <c r="DF185" s="56"/>
      <c r="DG185" s="56"/>
      <c r="DH185" s="56"/>
      <c r="DI185" s="56"/>
      <c r="DJ185" s="56"/>
      <c r="DK185" s="60"/>
      <c r="DL185" s="60"/>
      <c r="DM185" s="56"/>
      <c r="DN185" s="56"/>
      <c r="DO185" s="56"/>
      <c r="DP185" s="56"/>
      <c r="DQ185" s="56"/>
      <c r="DR185" s="56"/>
      <c r="DS185" s="56"/>
      <c r="DT185" s="56"/>
      <c r="DU185" s="56"/>
      <c r="DV185" s="56"/>
      <c r="DW185" s="56"/>
      <c r="DX185" s="56"/>
      <c r="DY185" s="56"/>
      <c r="DZ185" s="56"/>
      <c r="EA185" s="56"/>
      <c r="EB185" s="56"/>
      <c r="EC185" s="56"/>
      <c r="ED185" s="56"/>
      <c r="EE185" s="56"/>
      <c r="EF185" s="56"/>
    </row>
    <row r="186" spans="44:136" s="80" customFormat="1">
      <c r="AR186" s="118"/>
      <c r="BD186" s="56"/>
      <c r="BE186" s="56"/>
      <c r="BF186" s="56"/>
      <c r="BG186" s="56"/>
      <c r="BH186" s="56"/>
      <c r="BI186" s="56"/>
      <c r="BJ186" s="56"/>
      <c r="BK186" s="56"/>
      <c r="BL186" s="56"/>
      <c r="BM186" s="56"/>
      <c r="BN186" s="56"/>
      <c r="BO186" s="56"/>
      <c r="BP186" s="56"/>
      <c r="BQ186" s="56"/>
      <c r="BR186" s="56"/>
      <c r="BS186" s="56"/>
      <c r="BT186" s="60"/>
      <c r="BU186" s="56"/>
      <c r="BV186" s="56"/>
      <c r="BW186" s="56"/>
      <c r="BX186" s="56"/>
      <c r="BY186" s="56"/>
      <c r="BZ186" s="56"/>
      <c r="CA186" s="56"/>
      <c r="CB186" s="56"/>
      <c r="CC186" s="56"/>
      <c r="CD186" s="56"/>
      <c r="CE186" s="56"/>
      <c r="CF186" s="56"/>
      <c r="CG186" s="56"/>
      <c r="CH186" s="56"/>
      <c r="CI186" s="56"/>
      <c r="CJ186" s="60"/>
      <c r="CK186" s="56"/>
      <c r="CL186" s="56"/>
      <c r="CM186" s="56"/>
      <c r="CN186" s="56"/>
      <c r="CO186" s="56"/>
      <c r="CP186" s="56"/>
      <c r="CQ186" s="56"/>
      <c r="CR186" s="56"/>
      <c r="CS186" s="56"/>
      <c r="CT186" s="56"/>
      <c r="CU186" s="56"/>
      <c r="CV186" s="56"/>
      <c r="CW186" s="56"/>
      <c r="CX186" s="60"/>
      <c r="CY186" s="56"/>
      <c r="CZ186" s="56"/>
      <c r="DA186" s="56"/>
      <c r="DB186" s="56"/>
      <c r="DC186" s="56"/>
      <c r="DD186" s="56"/>
      <c r="DE186" s="56"/>
      <c r="DF186" s="56"/>
      <c r="DG186" s="56"/>
      <c r="DH186" s="56"/>
      <c r="DI186" s="56"/>
      <c r="DJ186" s="56"/>
      <c r="DK186" s="60"/>
      <c r="DL186" s="60"/>
      <c r="DM186" s="56"/>
      <c r="DN186" s="56"/>
      <c r="DO186" s="56"/>
      <c r="DP186" s="56"/>
      <c r="DQ186" s="56"/>
      <c r="DR186" s="56"/>
      <c r="DS186" s="56"/>
      <c r="DT186" s="56"/>
      <c r="DU186" s="56"/>
      <c r="DV186" s="56"/>
      <c r="DW186" s="56"/>
      <c r="DX186" s="56"/>
      <c r="DY186" s="56"/>
      <c r="DZ186" s="56"/>
      <c r="EA186" s="56"/>
      <c r="EB186" s="56"/>
      <c r="EC186" s="56"/>
      <c r="ED186" s="56"/>
      <c r="EE186" s="56"/>
      <c r="EF186" s="56"/>
    </row>
    <row r="187" spans="44:136" s="80" customFormat="1">
      <c r="AR187" s="118"/>
      <c r="BD187" s="56"/>
      <c r="BE187" s="56"/>
      <c r="BF187" s="56"/>
      <c r="BG187" s="56"/>
      <c r="BH187" s="56"/>
      <c r="BI187" s="56"/>
      <c r="BJ187" s="56"/>
      <c r="BK187" s="56"/>
      <c r="BL187" s="56"/>
      <c r="BM187" s="56"/>
      <c r="BN187" s="56"/>
      <c r="BO187" s="56"/>
      <c r="BP187" s="56"/>
      <c r="BQ187" s="56"/>
      <c r="BR187" s="56"/>
      <c r="BS187" s="56"/>
      <c r="BT187" s="60"/>
      <c r="BU187" s="56"/>
      <c r="BV187" s="56"/>
      <c r="BW187" s="56"/>
      <c r="BX187" s="56"/>
      <c r="BY187" s="56"/>
      <c r="BZ187" s="56"/>
      <c r="CA187" s="56"/>
      <c r="CB187" s="56"/>
      <c r="CC187" s="56"/>
      <c r="CD187" s="56"/>
      <c r="CE187" s="56"/>
      <c r="CF187" s="56"/>
      <c r="CG187" s="56"/>
      <c r="CH187" s="56"/>
      <c r="CI187" s="56"/>
      <c r="CJ187" s="60"/>
      <c r="CK187" s="56"/>
      <c r="CL187" s="56"/>
      <c r="CM187" s="56"/>
      <c r="CN187" s="56"/>
      <c r="CO187" s="56"/>
      <c r="CP187" s="56"/>
      <c r="CQ187" s="56"/>
      <c r="CR187" s="56"/>
      <c r="CS187" s="56"/>
      <c r="CT187" s="56"/>
      <c r="CU187" s="56"/>
      <c r="CV187" s="56"/>
      <c r="CW187" s="56"/>
      <c r="CX187" s="60"/>
      <c r="CY187" s="56"/>
      <c r="CZ187" s="56"/>
      <c r="DA187" s="56"/>
      <c r="DB187" s="56"/>
      <c r="DC187" s="56"/>
      <c r="DD187" s="56"/>
      <c r="DE187" s="56"/>
      <c r="DF187" s="56"/>
      <c r="DG187" s="56"/>
      <c r="DH187" s="56"/>
      <c r="DI187" s="56"/>
      <c r="DJ187" s="56"/>
      <c r="DK187" s="60"/>
      <c r="DL187" s="60"/>
      <c r="DM187" s="56"/>
      <c r="DN187" s="56"/>
      <c r="DO187" s="56"/>
      <c r="DP187" s="56"/>
      <c r="DQ187" s="56"/>
      <c r="DR187" s="56"/>
      <c r="DS187" s="56"/>
      <c r="DT187" s="56"/>
      <c r="DU187" s="56"/>
      <c r="DV187" s="56"/>
      <c r="DW187" s="56"/>
      <c r="DX187" s="56"/>
      <c r="DY187" s="56"/>
      <c r="DZ187" s="56"/>
      <c r="EA187" s="56"/>
      <c r="EB187" s="56"/>
      <c r="EC187" s="56"/>
      <c r="ED187" s="56"/>
      <c r="EE187" s="56"/>
      <c r="EF187" s="56"/>
    </row>
    <row r="188" spans="44:136" s="80" customFormat="1">
      <c r="AR188" s="118"/>
      <c r="BD188" s="56"/>
      <c r="BE188" s="56"/>
      <c r="BF188" s="56"/>
      <c r="BG188" s="56"/>
      <c r="BH188" s="56"/>
      <c r="BI188" s="56"/>
      <c r="BJ188" s="56"/>
      <c r="BK188" s="56"/>
      <c r="BL188" s="56"/>
      <c r="BM188" s="56"/>
      <c r="BN188" s="56"/>
      <c r="BO188" s="56"/>
      <c r="BP188" s="56"/>
      <c r="BQ188" s="56"/>
      <c r="BR188" s="56"/>
      <c r="BS188" s="56"/>
      <c r="BT188" s="60"/>
      <c r="BU188" s="56"/>
      <c r="BV188" s="56"/>
      <c r="BW188" s="56"/>
      <c r="BX188" s="56"/>
      <c r="BY188" s="56"/>
      <c r="BZ188" s="56"/>
      <c r="CA188" s="56"/>
      <c r="CB188" s="56"/>
      <c r="CC188" s="56"/>
      <c r="CD188" s="56"/>
      <c r="CE188" s="56"/>
      <c r="CF188" s="56"/>
      <c r="CG188" s="56"/>
      <c r="CH188" s="56"/>
      <c r="CI188" s="56"/>
      <c r="CJ188" s="60"/>
      <c r="CK188" s="56"/>
      <c r="CL188" s="56"/>
      <c r="CM188" s="56"/>
      <c r="CN188" s="56"/>
      <c r="CO188" s="56"/>
      <c r="CP188" s="56"/>
      <c r="CQ188" s="56"/>
      <c r="CR188" s="56"/>
      <c r="CS188" s="56"/>
      <c r="CT188" s="56"/>
      <c r="CU188" s="56"/>
      <c r="CV188" s="56"/>
      <c r="CW188" s="56"/>
      <c r="CX188" s="60"/>
      <c r="CY188" s="56"/>
      <c r="CZ188" s="56"/>
      <c r="DA188" s="56"/>
      <c r="DB188" s="56"/>
      <c r="DC188" s="56"/>
      <c r="DD188" s="56"/>
      <c r="DE188" s="56"/>
      <c r="DF188" s="56"/>
      <c r="DG188" s="56"/>
      <c r="DH188" s="56"/>
      <c r="DI188" s="56"/>
      <c r="DJ188" s="56"/>
      <c r="DK188" s="60"/>
      <c r="DL188" s="60"/>
      <c r="DM188" s="56"/>
      <c r="DN188" s="56"/>
      <c r="DO188" s="56"/>
      <c r="DP188" s="56"/>
      <c r="DQ188" s="56"/>
      <c r="DR188" s="56"/>
      <c r="DS188" s="56"/>
      <c r="DT188" s="56"/>
      <c r="DU188" s="56"/>
      <c r="DV188" s="56"/>
      <c r="DW188" s="56"/>
      <c r="DX188" s="56"/>
      <c r="DY188" s="56"/>
      <c r="DZ188" s="56"/>
      <c r="EA188" s="56"/>
      <c r="EB188" s="56"/>
      <c r="EC188" s="56"/>
      <c r="ED188" s="56"/>
      <c r="EE188" s="56"/>
      <c r="EF188" s="56"/>
    </row>
    <row r="189" spans="44:136" s="80" customFormat="1">
      <c r="AR189" s="118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56"/>
      <c r="BT189" s="60"/>
      <c r="BU189" s="56"/>
      <c r="BV189" s="56"/>
      <c r="BW189" s="56"/>
      <c r="BX189" s="56"/>
      <c r="BY189" s="56"/>
      <c r="BZ189" s="56"/>
      <c r="CA189" s="56"/>
      <c r="CB189" s="56"/>
      <c r="CC189" s="56"/>
      <c r="CD189" s="56"/>
      <c r="CE189" s="56"/>
      <c r="CF189" s="56"/>
      <c r="CG189" s="56"/>
      <c r="CH189" s="56"/>
      <c r="CI189" s="56"/>
      <c r="CJ189" s="60"/>
      <c r="CK189" s="56"/>
      <c r="CL189" s="56"/>
      <c r="CM189" s="56"/>
      <c r="CN189" s="56"/>
      <c r="CO189" s="56"/>
      <c r="CP189" s="56"/>
      <c r="CQ189" s="56"/>
      <c r="CR189" s="56"/>
      <c r="CS189" s="56"/>
      <c r="CT189" s="56"/>
      <c r="CU189" s="56"/>
      <c r="CV189" s="56"/>
      <c r="CW189" s="56"/>
      <c r="CX189" s="60"/>
      <c r="CY189" s="56"/>
      <c r="CZ189" s="56"/>
      <c r="DA189" s="56"/>
      <c r="DB189" s="56"/>
      <c r="DC189" s="56"/>
      <c r="DD189" s="56"/>
      <c r="DE189" s="56"/>
      <c r="DF189" s="56"/>
      <c r="DG189" s="56"/>
      <c r="DH189" s="56"/>
      <c r="DI189" s="56"/>
      <c r="DJ189" s="56"/>
      <c r="DK189" s="60"/>
      <c r="DL189" s="60"/>
      <c r="DM189" s="56"/>
      <c r="DN189" s="56"/>
      <c r="DO189" s="56"/>
      <c r="DP189" s="56"/>
      <c r="DQ189" s="56"/>
      <c r="DR189" s="56"/>
      <c r="DS189" s="56"/>
      <c r="DT189" s="56"/>
      <c r="DU189" s="56"/>
      <c r="DV189" s="56"/>
      <c r="DW189" s="56"/>
      <c r="DX189" s="56"/>
      <c r="DY189" s="56"/>
      <c r="DZ189" s="56"/>
      <c r="EA189" s="56"/>
      <c r="EB189" s="56"/>
      <c r="EC189" s="56"/>
      <c r="ED189" s="56"/>
      <c r="EE189" s="56"/>
      <c r="EF189" s="56"/>
    </row>
    <row r="190" spans="44:136" s="80" customFormat="1">
      <c r="AR190" s="118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60"/>
      <c r="BU190" s="56"/>
      <c r="BV190" s="56"/>
      <c r="BW190" s="56"/>
      <c r="BX190" s="56"/>
      <c r="BY190" s="56"/>
      <c r="BZ190" s="56"/>
      <c r="CA190" s="56"/>
      <c r="CB190" s="56"/>
      <c r="CC190" s="56"/>
      <c r="CD190" s="56"/>
      <c r="CE190" s="56"/>
      <c r="CF190" s="56"/>
      <c r="CG190" s="56"/>
      <c r="CH190" s="56"/>
      <c r="CI190" s="56"/>
      <c r="CJ190" s="60"/>
      <c r="CK190" s="56"/>
      <c r="CL190" s="56"/>
      <c r="CM190" s="56"/>
      <c r="CN190" s="56"/>
      <c r="CO190" s="56"/>
      <c r="CP190" s="56"/>
      <c r="CQ190" s="56"/>
      <c r="CR190" s="56"/>
      <c r="CS190" s="56"/>
      <c r="CT190" s="56"/>
      <c r="CU190" s="56"/>
      <c r="CV190" s="56"/>
      <c r="CW190" s="56"/>
      <c r="CX190" s="60"/>
      <c r="CY190" s="56"/>
      <c r="CZ190" s="56"/>
      <c r="DA190" s="56"/>
      <c r="DB190" s="56"/>
      <c r="DC190" s="56"/>
      <c r="DD190" s="56"/>
      <c r="DE190" s="56"/>
      <c r="DF190" s="56"/>
      <c r="DG190" s="56"/>
      <c r="DH190" s="56"/>
      <c r="DI190" s="56"/>
      <c r="DJ190" s="56"/>
      <c r="DK190" s="60"/>
      <c r="DL190" s="60"/>
      <c r="DM190" s="56"/>
      <c r="DN190" s="56"/>
      <c r="DO190" s="56"/>
      <c r="DP190" s="56"/>
      <c r="DQ190" s="56"/>
      <c r="DR190" s="56"/>
      <c r="DS190" s="56"/>
      <c r="DT190" s="56"/>
      <c r="DU190" s="56"/>
      <c r="DV190" s="56"/>
      <c r="DW190" s="56"/>
      <c r="DX190" s="56"/>
      <c r="DY190" s="56"/>
      <c r="DZ190" s="56"/>
      <c r="EA190" s="56"/>
      <c r="EB190" s="56"/>
      <c r="EC190" s="56"/>
      <c r="ED190" s="56"/>
      <c r="EE190" s="56"/>
      <c r="EF190" s="56"/>
    </row>
    <row r="191" spans="44:136" s="80" customFormat="1">
      <c r="AR191" s="118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56"/>
      <c r="BT191" s="60"/>
      <c r="BU191" s="56"/>
      <c r="BV191" s="56"/>
      <c r="BW191" s="56"/>
      <c r="BX191" s="56"/>
      <c r="BY191" s="56"/>
      <c r="BZ191" s="56"/>
      <c r="CA191" s="56"/>
      <c r="CB191" s="56"/>
      <c r="CC191" s="56"/>
      <c r="CD191" s="56"/>
      <c r="CE191" s="56"/>
      <c r="CF191" s="56"/>
      <c r="CG191" s="56"/>
      <c r="CH191" s="56"/>
      <c r="CI191" s="56"/>
      <c r="CJ191" s="60"/>
      <c r="CK191" s="56"/>
      <c r="CL191" s="56"/>
      <c r="CM191" s="56"/>
      <c r="CN191" s="56"/>
      <c r="CO191" s="56"/>
      <c r="CP191" s="56"/>
      <c r="CQ191" s="56"/>
      <c r="CR191" s="56"/>
      <c r="CS191" s="56"/>
      <c r="CT191" s="56"/>
      <c r="CU191" s="56"/>
      <c r="CV191" s="56"/>
      <c r="CW191" s="56"/>
      <c r="CX191" s="60"/>
      <c r="CY191" s="56"/>
      <c r="CZ191" s="56"/>
      <c r="DA191" s="56"/>
      <c r="DB191" s="56"/>
      <c r="DC191" s="56"/>
      <c r="DD191" s="56"/>
      <c r="DE191" s="56"/>
      <c r="DF191" s="56"/>
      <c r="DG191" s="56"/>
      <c r="DH191" s="56"/>
      <c r="DI191" s="56"/>
      <c r="DJ191" s="56"/>
      <c r="DK191" s="60"/>
      <c r="DL191" s="60"/>
      <c r="DM191" s="56"/>
      <c r="DN191" s="56"/>
      <c r="DO191" s="56"/>
      <c r="DP191" s="56"/>
      <c r="DQ191" s="56"/>
      <c r="DR191" s="56"/>
      <c r="DS191" s="56"/>
      <c r="DT191" s="56"/>
      <c r="DU191" s="56"/>
      <c r="DV191" s="56"/>
      <c r="DW191" s="56"/>
      <c r="DX191" s="56"/>
      <c r="DY191" s="56"/>
      <c r="DZ191" s="56"/>
      <c r="EA191" s="56"/>
      <c r="EB191" s="56"/>
      <c r="EC191" s="56"/>
      <c r="ED191" s="56"/>
      <c r="EE191" s="56"/>
      <c r="EF191" s="56"/>
    </row>
    <row r="192" spans="44:136" s="80" customFormat="1">
      <c r="AR192" s="118"/>
      <c r="BD192" s="56"/>
      <c r="BE192" s="56"/>
      <c r="BF192" s="56"/>
      <c r="BG192" s="56"/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56"/>
      <c r="BS192" s="56"/>
      <c r="BT192" s="60"/>
      <c r="BU192" s="56"/>
      <c r="BV192" s="56"/>
      <c r="BW192" s="56"/>
      <c r="BX192" s="56"/>
      <c r="BY192" s="56"/>
      <c r="BZ192" s="56"/>
      <c r="CA192" s="56"/>
      <c r="CB192" s="56"/>
      <c r="CC192" s="56"/>
      <c r="CD192" s="56"/>
      <c r="CE192" s="56"/>
      <c r="CF192" s="56"/>
      <c r="CG192" s="56"/>
      <c r="CH192" s="56"/>
      <c r="CI192" s="56"/>
      <c r="CJ192" s="60"/>
      <c r="CK192" s="56"/>
      <c r="CL192" s="56"/>
      <c r="CM192" s="56"/>
      <c r="CN192" s="56"/>
      <c r="CO192" s="56"/>
      <c r="CP192" s="56"/>
      <c r="CQ192" s="56"/>
      <c r="CR192" s="56"/>
      <c r="CS192" s="56"/>
      <c r="CT192" s="56"/>
      <c r="CU192" s="56"/>
      <c r="CV192" s="56"/>
      <c r="CW192" s="56"/>
      <c r="CX192" s="60"/>
      <c r="CY192" s="56"/>
      <c r="CZ192" s="56"/>
      <c r="DA192" s="56"/>
      <c r="DB192" s="56"/>
      <c r="DC192" s="56"/>
      <c r="DD192" s="56"/>
      <c r="DE192" s="56"/>
      <c r="DF192" s="56"/>
      <c r="DG192" s="56"/>
      <c r="DH192" s="56"/>
      <c r="DI192" s="56"/>
      <c r="DJ192" s="56"/>
      <c r="DK192" s="60"/>
      <c r="DL192" s="60"/>
      <c r="DM192" s="56"/>
      <c r="DN192" s="56"/>
      <c r="DO192" s="56"/>
      <c r="DP192" s="56"/>
      <c r="DQ192" s="56"/>
      <c r="DR192" s="56"/>
      <c r="DS192" s="56"/>
      <c r="DT192" s="56"/>
      <c r="DU192" s="56"/>
      <c r="DV192" s="56"/>
      <c r="DW192" s="56"/>
      <c r="DX192" s="56"/>
      <c r="DY192" s="56"/>
      <c r="DZ192" s="56"/>
      <c r="EA192" s="56"/>
      <c r="EB192" s="56"/>
      <c r="EC192" s="56"/>
      <c r="ED192" s="56"/>
      <c r="EE192" s="56"/>
      <c r="EF192" s="56"/>
    </row>
    <row r="193" spans="44:136" s="80" customFormat="1">
      <c r="AR193" s="118"/>
      <c r="BD193" s="56"/>
      <c r="BE193" s="56"/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/>
      <c r="BS193" s="56"/>
      <c r="BT193" s="60"/>
      <c r="BU193" s="56"/>
      <c r="BV193" s="56"/>
      <c r="BW193" s="56"/>
      <c r="BX193" s="56"/>
      <c r="BY193" s="56"/>
      <c r="BZ193" s="56"/>
      <c r="CA193" s="56"/>
      <c r="CB193" s="56"/>
      <c r="CC193" s="56"/>
      <c r="CD193" s="56"/>
      <c r="CE193" s="56"/>
      <c r="CF193" s="56"/>
      <c r="CG193" s="56"/>
      <c r="CH193" s="56"/>
      <c r="CI193" s="56"/>
      <c r="CJ193" s="60"/>
      <c r="CK193" s="56"/>
      <c r="CL193" s="56"/>
      <c r="CM193" s="56"/>
      <c r="CN193" s="56"/>
      <c r="CO193" s="56"/>
      <c r="CP193" s="56"/>
      <c r="CQ193" s="56"/>
      <c r="CR193" s="56"/>
      <c r="CS193" s="56"/>
      <c r="CT193" s="56"/>
      <c r="CU193" s="56"/>
      <c r="CV193" s="56"/>
      <c r="CW193" s="56"/>
      <c r="CX193" s="60"/>
      <c r="CY193" s="56"/>
      <c r="CZ193" s="56"/>
      <c r="DA193" s="56"/>
      <c r="DB193" s="56"/>
      <c r="DC193" s="56"/>
      <c r="DD193" s="56"/>
      <c r="DE193" s="56"/>
      <c r="DF193" s="56"/>
      <c r="DG193" s="56"/>
      <c r="DH193" s="56"/>
      <c r="DI193" s="56"/>
      <c r="DJ193" s="56"/>
      <c r="DK193" s="60"/>
      <c r="DL193" s="60"/>
      <c r="DM193" s="56"/>
      <c r="DN193" s="56"/>
      <c r="DO193" s="56"/>
      <c r="DP193" s="56"/>
      <c r="DQ193" s="56"/>
      <c r="DR193" s="56"/>
      <c r="DS193" s="56"/>
      <c r="DT193" s="56"/>
      <c r="DU193" s="56"/>
      <c r="DV193" s="56"/>
      <c r="DW193" s="56"/>
      <c r="DX193" s="56"/>
      <c r="DY193" s="56"/>
      <c r="DZ193" s="56"/>
      <c r="EA193" s="56"/>
      <c r="EB193" s="56"/>
      <c r="EC193" s="56"/>
      <c r="ED193" s="56"/>
      <c r="EE193" s="56"/>
      <c r="EF193" s="56"/>
    </row>
    <row r="194" spans="44:136" s="80" customFormat="1">
      <c r="AR194" s="118"/>
      <c r="BD194" s="56"/>
      <c r="BE194" s="56"/>
      <c r="BF194" s="56"/>
      <c r="BG194" s="56"/>
      <c r="BH194" s="56"/>
      <c r="BI194" s="56"/>
      <c r="BJ194" s="56"/>
      <c r="BK194" s="56"/>
      <c r="BL194" s="56"/>
      <c r="BM194" s="56"/>
      <c r="BN194" s="56"/>
      <c r="BO194" s="56"/>
      <c r="BP194" s="56"/>
      <c r="BQ194" s="56"/>
      <c r="BR194" s="56"/>
      <c r="BS194" s="56"/>
      <c r="BT194" s="60"/>
      <c r="BU194" s="56"/>
      <c r="BV194" s="56"/>
      <c r="BW194" s="56"/>
      <c r="BX194" s="56"/>
      <c r="BY194" s="56"/>
      <c r="BZ194" s="56"/>
      <c r="CA194" s="56"/>
      <c r="CB194" s="56"/>
      <c r="CC194" s="56"/>
      <c r="CD194" s="56"/>
      <c r="CE194" s="56"/>
      <c r="CF194" s="56"/>
      <c r="CG194" s="56"/>
      <c r="CH194" s="56"/>
      <c r="CI194" s="56"/>
      <c r="CJ194" s="60"/>
      <c r="CK194" s="56"/>
      <c r="CL194" s="56"/>
      <c r="CM194" s="56"/>
      <c r="CN194" s="56"/>
      <c r="CO194" s="56"/>
      <c r="CP194" s="56"/>
      <c r="CQ194" s="56"/>
      <c r="CR194" s="56"/>
      <c r="CS194" s="56"/>
      <c r="CT194" s="56"/>
      <c r="CU194" s="56"/>
      <c r="CV194" s="56"/>
      <c r="CW194" s="56"/>
      <c r="CX194" s="60"/>
      <c r="CY194" s="56"/>
      <c r="CZ194" s="56"/>
      <c r="DA194" s="56"/>
      <c r="DB194" s="56"/>
      <c r="DC194" s="56"/>
      <c r="DD194" s="56"/>
      <c r="DE194" s="56"/>
      <c r="DF194" s="56"/>
      <c r="DG194" s="56"/>
      <c r="DH194" s="56"/>
      <c r="DI194" s="56"/>
      <c r="DJ194" s="56"/>
      <c r="DK194" s="60"/>
      <c r="DL194" s="60"/>
      <c r="DM194" s="56"/>
      <c r="DN194" s="56"/>
      <c r="DO194" s="56"/>
      <c r="DP194" s="56"/>
      <c r="DQ194" s="56"/>
      <c r="DR194" s="56"/>
      <c r="DS194" s="56"/>
      <c r="DT194" s="56"/>
      <c r="DU194" s="56"/>
      <c r="DV194" s="56"/>
      <c r="DW194" s="56"/>
      <c r="DX194" s="56"/>
      <c r="DY194" s="56"/>
      <c r="DZ194" s="56"/>
      <c r="EA194" s="56"/>
      <c r="EB194" s="56"/>
      <c r="EC194" s="56"/>
      <c r="ED194" s="56"/>
      <c r="EE194" s="56"/>
      <c r="EF194" s="56"/>
    </row>
    <row r="195" spans="44:136" s="80" customFormat="1">
      <c r="AR195" s="118"/>
      <c r="BD195" s="56"/>
      <c r="BE195" s="56"/>
      <c r="BF195" s="56"/>
      <c r="BG195" s="56"/>
      <c r="BH195" s="56"/>
      <c r="BI195" s="56"/>
      <c r="BJ195" s="56"/>
      <c r="BK195" s="56"/>
      <c r="BL195" s="56"/>
      <c r="BM195" s="56"/>
      <c r="BN195" s="56"/>
      <c r="BO195" s="56"/>
      <c r="BP195" s="56"/>
      <c r="BQ195" s="56"/>
      <c r="BR195" s="56"/>
      <c r="BS195" s="56"/>
      <c r="BT195" s="60"/>
      <c r="BU195" s="56"/>
      <c r="BV195" s="56"/>
      <c r="BW195" s="56"/>
      <c r="BX195" s="56"/>
      <c r="BY195" s="56"/>
      <c r="BZ195" s="56"/>
      <c r="CA195" s="56"/>
      <c r="CB195" s="56"/>
      <c r="CC195" s="56"/>
      <c r="CD195" s="56"/>
      <c r="CE195" s="56"/>
      <c r="CF195" s="56"/>
      <c r="CG195" s="56"/>
      <c r="CH195" s="56"/>
      <c r="CI195" s="56"/>
      <c r="CJ195" s="60"/>
      <c r="CK195" s="56"/>
      <c r="CL195" s="56"/>
      <c r="CM195" s="56"/>
      <c r="CN195" s="56"/>
      <c r="CO195" s="56"/>
      <c r="CP195" s="56"/>
      <c r="CQ195" s="56"/>
      <c r="CR195" s="56"/>
      <c r="CS195" s="56"/>
      <c r="CT195" s="56"/>
      <c r="CU195" s="56"/>
      <c r="CV195" s="56"/>
      <c r="CW195" s="56"/>
      <c r="CX195" s="60"/>
      <c r="CY195" s="56"/>
      <c r="CZ195" s="56"/>
      <c r="DA195" s="56"/>
      <c r="DB195" s="56"/>
      <c r="DC195" s="56"/>
      <c r="DD195" s="56"/>
      <c r="DE195" s="56"/>
      <c r="DF195" s="56"/>
      <c r="DG195" s="56"/>
      <c r="DH195" s="56"/>
      <c r="DI195" s="56"/>
      <c r="DJ195" s="56"/>
      <c r="DK195" s="60"/>
      <c r="DL195" s="60"/>
      <c r="DM195" s="56"/>
      <c r="DN195" s="56"/>
      <c r="DO195" s="56"/>
      <c r="DP195" s="56"/>
      <c r="DQ195" s="56"/>
      <c r="DR195" s="56"/>
      <c r="DS195" s="56"/>
      <c r="DT195" s="56"/>
      <c r="DU195" s="56"/>
      <c r="DV195" s="56"/>
      <c r="DW195" s="56"/>
      <c r="DX195" s="56"/>
      <c r="DY195" s="56"/>
      <c r="DZ195" s="56"/>
      <c r="EA195" s="56"/>
      <c r="EB195" s="56"/>
      <c r="EC195" s="56"/>
      <c r="ED195" s="56"/>
      <c r="EE195" s="56"/>
      <c r="EF195" s="56"/>
    </row>
    <row r="196" spans="44:136" s="80" customFormat="1">
      <c r="AR196" s="118"/>
      <c r="BD196" s="56"/>
      <c r="BE196" s="56"/>
      <c r="BF196" s="56"/>
      <c r="BG196" s="56"/>
      <c r="BH196" s="56"/>
      <c r="BI196" s="56"/>
      <c r="BJ196" s="56"/>
      <c r="BK196" s="56"/>
      <c r="BL196" s="56"/>
      <c r="BM196" s="56"/>
      <c r="BN196" s="56"/>
      <c r="BO196" s="56"/>
      <c r="BP196" s="56"/>
      <c r="BQ196" s="56"/>
      <c r="BR196" s="56"/>
      <c r="BS196" s="56"/>
      <c r="BT196" s="60"/>
      <c r="BU196" s="56"/>
      <c r="BV196" s="56"/>
      <c r="BW196" s="56"/>
      <c r="BX196" s="56"/>
      <c r="BY196" s="56"/>
      <c r="BZ196" s="56"/>
      <c r="CA196" s="56"/>
      <c r="CB196" s="56"/>
      <c r="CC196" s="56"/>
      <c r="CD196" s="56"/>
      <c r="CE196" s="56"/>
      <c r="CF196" s="56"/>
      <c r="CG196" s="56"/>
      <c r="CH196" s="56"/>
      <c r="CI196" s="56"/>
      <c r="CJ196" s="60"/>
      <c r="CK196" s="56"/>
      <c r="CL196" s="56"/>
      <c r="CM196" s="56"/>
      <c r="CN196" s="56"/>
      <c r="CO196" s="56"/>
      <c r="CP196" s="56"/>
      <c r="CQ196" s="56"/>
      <c r="CR196" s="56"/>
      <c r="CS196" s="56"/>
      <c r="CT196" s="56"/>
      <c r="CU196" s="56"/>
      <c r="CV196" s="56"/>
      <c r="CW196" s="56"/>
      <c r="CX196" s="60"/>
      <c r="CY196" s="56"/>
      <c r="CZ196" s="56"/>
      <c r="DA196" s="56"/>
      <c r="DB196" s="56"/>
      <c r="DC196" s="56"/>
      <c r="DD196" s="56"/>
      <c r="DE196" s="56"/>
      <c r="DF196" s="56"/>
      <c r="DG196" s="56"/>
      <c r="DH196" s="56"/>
      <c r="DI196" s="56"/>
      <c r="DJ196" s="56"/>
      <c r="DK196" s="60"/>
      <c r="DL196" s="60"/>
      <c r="DM196" s="56"/>
      <c r="DN196" s="56"/>
      <c r="DO196" s="56"/>
      <c r="DP196" s="56"/>
      <c r="DQ196" s="56"/>
      <c r="DR196" s="56"/>
      <c r="DS196" s="56"/>
      <c r="DT196" s="56"/>
      <c r="DU196" s="56"/>
      <c r="DV196" s="56"/>
      <c r="DW196" s="56"/>
      <c r="DX196" s="56"/>
      <c r="DY196" s="56"/>
      <c r="DZ196" s="56"/>
      <c r="EA196" s="56"/>
      <c r="EB196" s="56"/>
      <c r="EC196" s="56"/>
      <c r="ED196" s="56"/>
      <c r="EE196" s="56"/>
      <c r="EF196" s="56"/>
    </row>
    <row r="197" spans="44:136" s="80" customFormat="1">
      <c r="AR197" s="118"/>
      <c r="BD197" s="56"/>
      <c r="BE197" s="56"/>
      <c r="BF197" s="56"/>
      <c r="BG197" s="56"/>
      <c r="BH197" s="56"/>
      <c r="BI197" s="56"/>
      <c r="BJ197" s="56"/>
      <c r="BK197" s="56"/>
      <c r="BL197" s="56"/>
      <c r="BM197" s="56"/>
      <c r="BN197" s="56"/>
      <c r="BO197" s="56"/>
      <c r="BP197" s="56"/>
      <c r="BQ197" s="56"/>
      <c r="BR197" s="56"/>
      <c r="BS197" s="56"/>
      <c r="BT197" s="60"/>
      <c r="BU197" s="56"/>
      <c r="BV197" s="56"/>
      <c r="BW197" s="56"/>
      <c r="BX197" s="56"/>
      <c r="BY197" s="56"/>
      <c r="BZ197" s="56"/>
      <c r="CA197" s="56"/>
      <c r="CB197" s="56"/>
      <c r="CC197" s="56"/>
      <c r="CD197" s="56"/>
      <c r="CE197" s="56"/>
      <c r="CF197" s="56"/>
      <c r="CG197" s="56"/>
      <c r="CH197" s="56"/>
      <c r="CI197" s="56"/>
      <c r="CJ197" s="60"/>
      <c r="CK197" s="56"/>
      <c r="CL197" s="56"/>
      <c r="CM197" s="56"/>
      <c r="CN197" s="56"/>
      <c r="CO197" s="56"/>
      <c r="CP197" s="56"/>
      <c r="CQ197" s="56"/>
      <c r="CR197" s="56"/>
      <c r="CS197" s="56"/>
      <c r="CT197" s="56"/>
      <c r="CU197" s="56"/>
      <c r="CV197" s="56"/>
      <c r="CW197" s="56"/>
      <c r="CX197" s="60"/>
      <c r="CY197" s="56"/>
      <c r="CZ197" s="56"/>
      <c r="DA197" s="56"/>
      <c r="DB197" s="56"/>
      <c r="DC197" s="56"/>
      <c r="DD197" s="56"/>
      <c r="DE197" s="56"/>
      <c r="DF197" s="56"/>
      <c r="DG197" s="56"/>
      <c r="DH197" s="56"/>
      <c r="DI197" s="56"/>
      <c r="DJ197" s="56"/>
      <c r="DK197" s="60"/>
      <c r="DL197" s="60"/>
      <c r="DM197" s="56"/>
      <c r="DN197" s="56"/>
      <c r="DO197" s="56"/>
      <c r="DP197" s="56"/>
      <c r="DQ197" s="56"/>
      <c r="DR197" s="56"/>
      <c r="DS197" s="56"/>
      <c r="DT197" s="56"/>
      <c r="DU197" s="56"/>
      <c r="DV197" s="56"/>
      <c r="DW197" s="56"/>
      <c r="DX197" s="56"/>
      <c r="DY197" s="56"/>
      <c r="DZ197" s="56"/>
      <c r="EA197" s="56"/>
      <c r="EB197" s="56"/>
      <c r="EC197" s="56"/>
      <c r="ED197" s="56"/>
      <c r="EE197" s="56"/>
      <c r="EF197" s="56"/>
    </row>
    <row r="198" spans="44:136" s="80" customFormat="1">
      <c r="AR198" s="118"/>
      <c r="BD198" s="56"/>
      <c r="BE198" s="56"/>
      <c r="BF198" s="56"/>
      <c r="BG198" s="56"/>
      <c r="BH198" s="56"/>
      <c r="BI198" s="56"/>
      <c r="BJ198" s="56"/>
      <c r="BK198" s="56"/>
      <c r="BL198" s="56"/>
      <c r="BM198" s="56"/>
      <c r="BN198" s="56"/>
      <c r="BO198" s="56"/>
      <c r="BP198" s="56"/>
      <c r="BQ198" s="56"/>
      <c r="BR198" s="56"/>
      <c r="BS198" s="56"/>
      <c r="BT198" s="60"/>
      <c r="BU198" s="56"/>
      <c r="BV198" s="56"/>
      <c r="BW198" s="56"/>
      <c r="BX198" s="56"/>
      <c r="BY198" s="56"/>
      <c r="BZ198" s="56"/>
      <c r="CA198" s="56"/>
      <c r="CB198" s="56"/>
      <c r="CC198" s="56"/>
      <c r="CD198" s="56"/>
      <c r="CE198" s="56"/>
      <c r="CF198" s="56"/>
      <c r="CG198" s="56"/>
      <c r="CH198" s="56"/>
      <c r="CI198" s="56"/>
      <c r="CJ198" s="60"/>
      <c r="CK198" s="56"/>
      <c r="CL198" s="56"/>
      <c r="CM198" s="56"/>
      <c r="CN198" s="56"/>
      <c r="CO198" s="56"/>
      <c r="CP198" s="56"/>
      <c r="CQ198" s="56"/>
      <c r="CR198" s="56"/>
      <c r="CS198" s="56"/>
      <c r="CT198" s="56"/>
      <c r="CU198" s="56"/>
      <c r="CV198" s="56"/>
      <c r="CW198" s="56"/>
      <c r="CX198" s="60"/>
      <c r="CY198" s="56"/>
      <c r="CZ198" s="56"/>
      <c r="DA198" s="56"/>
      <c r="DB198" s="56"/>
      <c r="DC198" s="56"/>
      <c r="DD198" s="56"/>
      <c r="DE198" s="56"/>
      <c r="DF198" s="56"/>
      <c r="DG198" s="56"/>
      <c r="DH198" s="56"/>
      <c r="DI198" s="56"/>
      <c r="DJ198" s="56"/>
      <c r="DK198" s="60"/>
      <c r="DL198" s="60"/>
      <c r="DM198" s="56"/>
      <c r="DN198" s="56"/>
      <c r="DO198" s="56"/>
      <c r="DP198" s="56"/>
      <c r="DQ198" s="56"/>
      <c r="DR198" s="56"/>
      <c r="DS198" s="56"/>
      <c r="DT198" s="56"/>
      <c r="DU198" s="56"/>
      <c r="DV198" s="56"/>
      <c r="DW198" s="56"/>
      <c r="DX198" s="56"/>
      <c r="DY198" s="56"/>
      <c r="DZ198" s="56"/>
      <c r="EA198" s="56"/>
      <c r="EB198" s="56"/>
      <c r="EC198" s="56"/>
      <c r="ED198" s="56"/>
      <c r="EE198" s="56"/>
      <c r="EF198" s="56"/>
    </row>
    <row r="199" spans="44:136" s="80" customFormat="1">
      <c r="AR199" s="118"/>
      <c r="BD199" s="56"/>
      <c r="BE199" s="56"/>
      <c r="BF199" s="56"/>
      <c r="BG199" s="56"/>
      <c r="BH199" s="56"/>
      <c r="BI199" s="56"/>
      <c r="BJ199" s="56"/>
      <c r="BK199" s="56"/>
      <c r="BL199" s="56"/>
      <c r="BM199" s="56"/>
      <c r="BN199" s="56"/>
      <c r="BO199" s="56"/>
      <c r="BP199" s="56"/>
      <c r="BQ199" s="56"/>
      <c r="BR199" s="56"/>
      <c r="BS199" s="56"/>
      <c r="BT199" s="60"/>
      <c r="BU199" s="56"/>
      <c r="BV199" s="56"/>
      <c r="BW199" s="56"/>
      <c r="BX199" s="56"/>
      <c r="BY199" s="56"/>
      <c r="BZ199" s="56"/>
      <c r="CA199" s="56"/>
      <c r="CB199" s="56"/>
      <c r="CC199" s="56"/>
      <c r="CD199" s="56"/>
      <c r="CE199" s="56"/>
      <c r="CF199" s="56"/>
      <c r="CG199" s="56"/>
      <c r="CH199" s="56"/>
      <c r="CI199" s="56"/>
      <c r="CJ199" s="60"/>
      <c r="CK199" s="56"/>
      <c r="CL199" s="56"/>
      <c r="CM199" s="56"/>
      <c r="CN199" s="56"/>
      <c r="CO199" s="56"/>
      <c r="CP199" s="56"/>
      <c r="CQ199" s="56"/>
      <c r="CR199" s="56"/>
      <c r="CS199" s="56"/>
      <c r="CT199" s="56"/>
      <c r="CU199" s="56"/>
      <c r="CV199" s="56"/>
      <c r="CW199" s="56"/>
      <c r="CX199" s="60"/>
      <c r="CY199" s="56"/>
      <c r="CZ199" s="56"/>
      <c r="DA199" s="56"/>
      <c r="DB199" s="56"/>
      <c r="DC199" s="56"/>
      <c r="DD199" s="56"/>
      <c r="DE199" s="56"/>
      <c r="DF199" s="56"/>
      <c r="DG199" s="56"/>
      <c r="DH199" s="56"/>
      <c r="DI199" s="56"/>
      <c r="DJ199" s="56"/>
      <c r="DK199" s="60"/>
      <c r="DL199" s="60"/>
      <c r="DM199" s="56"/>
      <c r="DN199" s="56"/>
      <c r="DO199" s="56"/>
      <c r="DP199" s="56"/>
      <c r="DQ199" s="56"/>
      <c r="DR199" s="56"/>
      <c r="DS199" s="56"/>
      <c r="DT199" s="56"/>
      <c r="DU199" s="56"/>
      <c r="DV199" s="56"/>
      <c r="DW199" s="56"/>
      <c r="DX199" s="56"/>
      <c r="DY199" s="56"/>
      <c r="DZ199" s="56"/>
      <c r="EA199" s="56"/>
      <c r="EB199" s="56"/>
      <c r="EC199" s="56"/>
      <c r="ED199" s="56"/>
      <c r="EE199" s="56"/>
      <c r="EF199" s="56"/>
    </row>
    <row r="200" spans="44:136" s="80" customFormat="1">
      <c r="AR200" s="118"/>
      <c r="BD200" s="56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6"/>
      <c r="BT200" s="60"/>
      <c r="BU200" s="56"/>
      <c r="BV200" s="56"/>
      <c r="BW200" s="56"/>
      <c r="BX200" s="56"/>
      <c r="BY200" s="56"/>
      <c r="BZ200" s="56"/>
      <c r="CA200" s="56"/>
      <c r="CB200" s="56"/>
      <c r="CC200" s="56"/>
      <c r="CD200" s="56"/>
      <c r="CE200" s="56"/>
      <c r="CF200" s="56"/>
      <c r="CG200" s="56"/>
      <c r="CH200" s="56"/>
      <c r="CI200" s="56"/>
      <c r="CJ200" s="60"/>
      <c r="CK200" s="56"/>
      <c r="CL200" s="56"/>
      <c r="CM200" s="56"/>
      <c r="CN200" s="56"/>
      <c r="CO200" s="56"/>
      <c r="CP200" s="56"/>
      <c r="CQ200" s="56"/>
      <c r="CR200" s="56"/>
      <c r="CS200" s="56"/>
      <c r="CT200" s="56"/>
      <c r="CU200" s="56"/>
      <c r="CV200" s="56"/>
      <c r="CW200" s="56"/>
      <c r="CX200" s="60"/>
      <c r="CY200" s="56"/>
      <c r="CZ200" s="56"/>
      <c r="DA200" s="56"/>
      <c r="DB200" s="56"/>
      <c r="DC200" s="56"/>
      <c r="DD200" s="56"/>
      <c r="DE200" s="56"/>
      <c r="DF200" s="56"/>
      <c r="DG200" s="56"/>
      <c r="DH200" s="56"/>
      <c r="DI200" s="56"/>
      <c r="DJ200" s="56"/>
      <c r="DK200" s="60"/>
      <c r="DL200" s="60"/>
      <c r="DM200" s="56"/>
      <c r="DN200" s="56"/>
      <c r="DO200" s="56"/>
      <c r="DP200" s="56"/>
      <c r="DQ200" s="56"/>
      <c r="DR200" s="56"/>
      <c r="DS200" s="56"/>
      <c r="DT200" s="56"/>
      <c r="DU200" s="56"/>
      <c r="DV200" s="56"/>
      <c r="DW200" s="56"/>
      <c r="DX200" s="56"/>
      <c r="DY200" s="56"/>
      <c r="DZ200" s="56"/>
      <c r="EA200" s="56"/>
      <c r="EB200" s="56"/>
      <c r="EC200" s="56"/>
      <c r="ED200" s="56"/>
      <c r="EE200" s="56"/>
      <c r="EF200" s="56"/>
    </row>
    <row r="201" spans="44:136" s="80" customFormat="1">
      <c r="AR201" s="118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60"/>
      <c r="BU201" s="56"/>
      <c r="BV201" s="56"/>
      <c r="BW201" s="56"/>
      <c r="BX201" s="56"/>
      <c r="BY201" s="56"/>
      <c r="BZ201" s="56"/>
      <c r="CA201" s="56"/>
      <c r="CB201" s="56"/>
      <c r="CC201" s="56"/>
      <c r="CD201" s="56"/>
      <c r="CE201" s="56"/>
      <c r="CF201" s="56"/>
      <c r="CG201" s="56"/>
      <c r="CH201" s="56"/>
      <c r="CI201" s="56"/>
      <c r="CJ201" s="60"/>
      <c r="CK201" s="56"/>
      <c r="CL201" s="56"/>
      <c r="CM201" s="56"/>
      <c r="CN201" s="56"/>
      <c r="CO201" s="56"/>
      <c r="CP201" s="56"/>
      <c r="CQ201" s="56"/>
      <c r="CR201" s="56"/>
      <c r="CS201" s="56"/>
      <c r="CT201" s="56"/>
      <c r="CU201" s="56"/>
      <c r="CV201" s="56"/>
      <c r="CW201" s="56"/>
      <c r="CX201" s="60"/>
      <c r="CY201" s="56"/>
      <c r="CZ201" s="56"/>
      <c r="DA201" s="56"/>
      <c r="DB201" s="56"/>
      <c r="DC201" s="56"/>
      <c r="DD201" s="56"/>
      <c r="DE201" s="56"/>
      <c r="DF201" s="56"/>
      <c r="DG201" s="56"/>
      <c r="DH201" s="56"/>
      <c r="DI201" s="56"/>
      <c r="DJ201" s="56"/>
      <c r="DK201" s="60"/>
      <c r="DL201" s="60"/>
      <c r="DM201" s="56"/>
      <c r="DN201" s="56"/>
      <c r="DO201" s="56"/>
      <c r="DP201" s="56"/>
      <c r="DQ201" s="56"/>
      <c r="DR201" s="56"/>
      <c r="DS201" s="56"/>
      <c r="DT201" s="56"/>
      <c r="DU201" s="56"/>
      <c r="DV201" s="56"/>
      <c r="DW201" s="56"/>
      <c r="DX201" s="56"/>
      <c r="DY201" s="56"/>
      <c r="DZ201" s="56"/>
      <c r="EA201" s="56"/>
      <c r="EB201" s="56"/>
      <c r="EC201" s="56"/>
      <c r="ED201" s="56"/>
      <c r="EE201" s="56"/>
      <c r="EF201" s="56"/>
    </row>
    <row r="202" spans="44:136" s="80" customFormat="1">
      <c r="AR202" s="118"/>
      <c r="BD202" s="56"/>
      <c r="BE202" s="56"/>
      <c r="BF202" s="56"/>
      <c r="BG202" s="56"/>
      <c r="BH202" s="56"/>
      <c r="BI202" s="56"/>
      <c r="BJ202" s="56"/>
      <c r="BK202" s="56"/>
      <c r="BL202" s="56"/>
      <c r="BM202" s="56"/>
      <c r="BN202" s="56"/>
      <c r="BO202" s="56"/>
      <c r="BP202" s="56"/>
      <c r="BQ202" s="56"/>
      <c r="BR202" s="56"/>
      <c r="BS202" s="56"/>
      <c r="BT202" s="60"/>
      <c r="BU202" s="56"/>
      <c r="BV202" s="56"/>
      <c r="BW202" s="56"/>
      <c r="BX202" s="56"/>
      <c r="BY202" s="56"/>
      <c r="BZ202" s="56"/>
      <c r="CA202" s="56"/>
      <c r="CB202" s="56"/>
      <c r="CC202" s="56"/>
      <c r="CD202" s="56"/>
      <c r="CE202" s="56"/>
      <c r="CF202" s="56"/>
      <c r="CG202" s="56"/>
      <c r="CH202" s="56"/>
      <c r="CI202" s="56"/>
      <c r="CJ202" s="60"/>
      <c r="CK202" s="56"/>
      <c r="CL202" s="56"/>
      <c r="CM202" s="56"/>
      <c r="CN202" s="56"/>
      <c r="CO202" s="56"/>
      <c r="CP202" s="56"/>
      <c r="CQ202" s="56"/>
      <c r="CR202" s="56"/>
      <c r="CS202" s="56"/>
      <c r="CT202" s="56"/>
      <c r="CU202" s="56"/>
      <c r="CV202" s="56"/>
      <c r="CW202" s="56"/>
      <c r="CX202" s="60"/>
      <c r="CY202" s="56"/>
      <c r="CZ202" s="56"/>
      <c r="DA202" s="56"/>
      <c r="DB202" s="56"/>
      <c r="DC202" s="56"/>
      <c r="DD202" s="56"/>
      <c r="DE202" s="56"/>
      <c r="DF202" s="56"/>
      <c r="DG202" s="56"/>
      <c r="DH202" s="56"/>
      <c r="DI202" s="56"/>
      <c r="DJ202" s="56"/>
      <c r="DK202" s="60"/>
      <c r="DL202" s="60"/>
      <c r="DM202" s="56"/>
      <c r="DN202" s="56"/>
      <c r="DO202" s="56"/>
      <c r="DP202" s="56"/>
      <c r="DQ202" s="56"/>
      <c r="DR202" s="56"/>
      <c r="DS202" s="56"/>
      <c r="DT202" s="56"/>
      <c r="DU202" s="56"/>
      <c r="DV202" s="56"/>
      <c r="DW202" s="56"/>
      <c r="DX202" s="56"/>
      <c r="DY202" s="56"/>
      <c r="DZ202" s="56"/>
      <c r="EA202" s="56"/>
      <c r="EB202" s="56"/>
      <c r="EC202" s="56"/>
      <c r="ED202" s="56"/>
      <c r="EE202" s="56"/>
      <c r="EF202" s="56"/>
    </row>
    <row r="203" spans="44:136" s="80" customFormat="1">
      <c r="AR203" s="118"/>
      <c r="BD203" s="56"/>
      <c r="BE203" s="56"/>
      <c r="BF203" s="56"/>
      <c r="BG203" s="56"/>
      <c r="BH203" s="56"/>
      <c r="BI203" s="56"/>
      <c r="BJ203" s="56"/>
      <c r="BK203" s="56"/>
      <c r="BL203" s="56"/>
      <c r="BM203" s="56"/>
      <c r="BN203" s="56"/>
      <c r="BO203" s="56"/>
      <c r="BP203" s="56"/>
      <c r="BQ203" s="56"/>
      <c r="BR203" s="56"/>
      <c r="BS203" s="56"/>
      <c r="BT203" s="60"/>
      <c r="BU203" s="56"/>
      <c r="BV203" s="56"/>
      <c r="BW203" s="56"/>
      <c r="BX203" s="56"/>
      <c r="BY203" s="56"/>
      <c r="BZ203" s="56"/>
      <c r="CA203" s="56"/>
      <c r="CB203" s="56"/>
      <c r="CC203" s="56"/>
      <c r="CD203" s="56"/>
      <c r="CE203" s="56"/>
      <c r="CF203" s="56"/>
      <c r="CG203" s="56"/>
      <c r="CH203" s="56"/>
      <c r="CI203" s="56"/>
      <c r="CJ203" s="60"/>
      <c r="CK203" s="56"/>
      <c r="CL203" s="56"/>
      <c r="CM203" s="56"/>
      <c r="CN203" s="56"/>
      <c r="CO203" s="56"/>
      <c r="CP203" s="56"/>
      <c r="CQ203" s="56"/>
      <c r="CR203" s="56"/>
      <c r="CS203" s="56"/>
      <c r="CT203" s="56"/>
      <c r="CU203" s="56"/>
      <c r="CV203" s="56"/>
      <c r="CW203" s="56"/>
      <c r="CX203" s="60"/>
      <c r="CY203" s="56"/>
      <c r="CZ203" s="56"/>
      <c r="DA203" s="56"/>
      <c r="DB203" s="56"/>
      <c r="DC203" s="56"/>
      <c r="DD203" s="56"/>
      <c r="DE203" s="56"/>
      <c r="DF203" s="56"/>
      <c r="DG203" s="56"/>
      <c r="DH203" s="56"/>
      <c r="DI203" s="56"/>
      <c r="DJ203" s="56"/>
      <c r="DK203" s="60"/>
      <c r="DL203" s="60"/>
      <c r="DM203" s="56"/>
      <c r="DN203" s="56"/>
      <c r="DO203" s="56"/>
      <c r="DP203" s="56"/>
      <c r="DQ203" s="56"/>
      <c r="DR203" s="56"/>
      <c r="DS203" s="56"/>
      <c r="DT203" s="56"/>
      <c r="DU203" s="56"/>
      <c r="DV203" s="56"/>
      <c r="DW203" s="56"/>
      <c r="DX203" s="56"/>
      <c r="DY203" s="56"/>
      <c r="DZ203" s="56"/>
      <c r="EA203" s="56"/>
      <c r="EB203" s="56"/>
      <c r="EC203" s="56"/>
      <c r="ED203" s="56"/>
      <c r="EE203" s="56"/>
      <c r="EF203" s="56"/>
    </row>
    <row r="204" spans="44:136" s="80" customFormat="1">
      <c r="AR204" s="118"/>
      <c r="BD204" s="56"/>
      <c r="BE204" s="56"/>
      <c r="BF204" s="56"/>
      <c r="BG204" s="56"/>
      <c r="BH204" s="56"/>
      <c r="BI204" s="56"/>
      <c r="BJ204" s="56"/>
      <c r="BK204" s="56"/>
      <c r="BL204" s="56"/>
      <c r="BM204" s="56"/>
      <c r="BN204" s="56"/>
      <c r="BO204" s="56"/>
      <c r="BP204" s="56"/>
      <c r="BQ204" s="56"/>
      <c r="BR204" s="56"/>
      <c r="BS204" s="56"/>
      <c r="BT204" s="60"/>
      <c r="BU204" s="56"/>
      <c r="BV204" s="56"/>
      <c r="BW204" s="56"/>
      <c r="BX204" s="56"/>
      <c r="BY204" s="56"/>
      <c r="BZ204" s="56"/>
      <c r="CA204" s="56"/>
      <c r="CB204" s="56"/>
      <c r="CC204" s="56"/>
      <c r="CD204" s="56"/>
      <c r="CE204" s="56"/>
      <c r="CF204" s="56"/>
      <c r="CG204" s="56"/>
      <c r="CH204" s="56"/>
      <c r="CI204" s="56"/>
      <c r="CJ204" s="60"/>
      <c r="CK204" s="56"/>
      <c r="CL204" s="56"/>
      <c r="CM204" s="56"/>
      <c r="CN204" s="56"/>
      <c r="CO204" s="56"/>
      <c r="CP204" s="56"/>
      <c r="CQ204" s="56"/>
      <c r="CR204" s="56"/>
      <c r="CS204" s="56"/>
      <c r="CT204" s="56"/>
      <c r="CU204" s="56"/>
      <c r="CV204" s="56"/>
      <c r="CW204" s="56"/>
      <c r="CX204" s="60"/>
      <c r="CY204" s="56"/>
      <c r="CZ204" s="56"/>
      <c r="DA204" s="56"/>
      <c r="DB204" s="56"/>
      <c r="DC204" s="56"/>
      <c r="DD204" s="56"/>
      <c r="DE204" s="56"/>
      <c r="DF204" s="56"/>
      <c r="DG204" s="56"/>
      <c r="DH204" s="56"/>
      <c r="DI204" s="56"/>
      <c r="DJ204" s="56"/>
      <c r="DK204" s="60"/>
      <c r="DL204" s="60"/>
      <c r="DM204" s="56"/>
      <c r="DN204" s="56"/>
      <c r="DO204" s="56"/>
      <c r="DP204" s="56"/>
      <c r="DQ204" s="56"/>
      <c r="DR204" s="56"/>
      <c r="DS204" s="56"/>
      <c r="DT204" s="56"/>
      <c r="DU204" s="56"/>
      <c r="DV204" s="56"/>
      <c r="DW204" s="56"/>
      <c r="DX204" s="56"/>
      <c r="DY204" s="56"/>
      <c r="DZ204" s="56"/>
      <c r="EA204" s="56"/>
      <c r="EB204" s="56"/>
      <c r="EC204" s="56"/>
      <c r="ED204" s="56"/>
      <c r="EE204" s="56"/>
      <c r="EF204" s="56"/>
    </row>
    <row r="205" spans="44:136" s="80" customFormat="1">
      <c r="AR205" s="118"/>
      <c r="BD205" s="56"/>
      <c r="BE205" s="56"/>
      <c r="BF205" s="56"/>
      <c r="BG205" s="56"/>
      <c r="BH205" s="56"/>
      <c r="BI205" s="56"/>
      <c r="BJ205" s="56"/>
      <c r="BK205" s="56"/>
      <c r="BL205" s="56"/>
      <c r="BM205" s="56"/>
      <c r="BN205" s="56"/>
      <c r="BO205" s="56"/>
      <c r="BP205" s="56"/>
      <c r="BQ205" s="56"/>
      <c r="BR205" s="56"/>
      <c r="BS205" s="56"/>
      <c r="BT205" s="60"/>
      <c r="BU205" s="56"/>
      <c r="BV205" s="56"/>
      <c r="BW205" s="56"/>
      <c r="BX205" s="56"/>
      <c r="BY205" s="56"/>
      <c r="BZ205" s="56"/>
      <c r="CA205" s="56"/>
      <c r="CB205" s="56"/>
      <c r="CC205" s="56"/>
      <c r="CD205" s="56"/>
      <c r="CE205" s="56"/>
      <c r="CF205" s="56"/>
      <c r="CG205" s="56"/>
      <c r="CH205" s="56"/>
      <c r="CI205" s="56"/>
      <c r="CJ205" s="60"/>
      <c r="CK205" s="56"/>
      <c r="CL205" s="56"/>
      <c r="CM205" s="56"/>
      <c r="CN205" s="56"/>
      <c r="CO205" s="56"/>
      <c r="CP205" s="56"/>
      <c r="CQ205" s="56"/>
      <c r="CR205" s="56"/>
      <c r="CS205" s="56"/>
      <c r="CT205" s="56"/>
      <c r="CU205" s="56"/>
      <c r="CV205" s="56"/>
      <c r="CW205" s="56"/>
      <c r="CX205" s="60"/>
      <c r="CY205" s="56"/>
      <c r="CZ205" s="56"/>
      <c r="DA205" s="56"/>
      <c r="DB205" s="56"/>
      <c r="DC205" s="56"/>
      <c r="DD205" s="56"/>
      <c r="DE205" s="56"/>
      <c r="DF205" s="56"/>
      <c r="DG205" s="56"/>
      <c r="DH205" s="56"/>
      <c r="DI205" s="56"/>
      <c r="DJ205" s="56"/>
      <c r="DK205" s="60"/>
      <c r="DL205" s="60"/>
      <c r="DM205" s="56"/>
      <c r="DN205" s="56"/>
      <c r="DO205" s="56"/>
      <c r="DP205" s="56"/>
      <c r="DQ205" s="56"/>
      <c r="DR205" s="56"/>
      <c r="DS205" s="56"/>
      <c r="DT205" s="56"/>
      <c r="DU205" s="56"/>
      <c r="DV205" s="56"/>
      <c r="DW205" s="56"/>
      <c r="DX205" s="56"/>
      <c r="DY205" s="56"/>
      <c r="DZ205" s="56"/>
      <c r="EA205" s="56"/>
      <c r="EB205" s="56"/>
      <c r="EC205" s="56"/>
      <c r="ED205" s="56"/>
      <c r="EE205" s="56"/>
      <c r="EF205" s="56"/>
    </row>
    <row r="206" spans="44:136" s="80" customFormat="1">
      <c r="AR206" s="118"/>
      <c r="BD206" s="56"/>
      <c r="BE206" s="56"/>
      <c r="BF206" s="56"/>
      <c r="BG206" s="56"/>
      <c r="BH206" s="56"/>
      <c r="BI206" s="56"/>
      <c r="BJ206" s="56"/>
      <c r="BK206" s="56"/>
      <c r="BL206" s="56"/>
      <c r="BM206" s="56"/>
      <c r="BN206" s="56"/>
      <c r="BO206" s="56"/>
      <c r="BP206" s="56"/>
      <c r="BQ206" s="56"/>
      <c r="BR206" s="56"/>
      <c r="BS206" s="56"/>
      <c r="BT206" s="60"/>
      <c r="BU206" s="56"/>
      <c r="BV206" s="56"/>
      <c r="BW206" s="56"/>
      <c r="BX206" s="56"/>
      <c r="BY206" s="56"/>
      <c r="BZ206" s="56"/>
      <c r="CA206" s="56"/>
      <c r="CB206" s="56"/>
      <c r="CC206" s="56"/>
      <c r="CD206" s="56"/>
      <c r="CE206" s="56"/>
      <c r="CF206" s="56"/>
      <c r="CG206" s="56"/>
      <c r="CH206" s="56"/>
      <c r="CI206" s="56"/>
      <c r="CJ206" s="60"/>
      <c r="CK206" s="56"/>
      <c r="CL206" s="56"/>
      <c r="CM206" s="56"/>
      <c r="CN206" s="56"/>
      <c r="CO206" s="56"/>
      <c r="CP206" s="56"/>
      <c r="CQ206" s="56"/>
      <c r="CR206" s="56"/>
      <c r="CS206" s="56"/>
      <c r="CT206" s="56"/>
      <c r="CU206" s="56"/>
      <c r="CV206" s="56"/>
      <c r="CW206" s="56"/>
      <c r="CX206" s="60"/>
      <c r="CY206" s="56"/>
      <c r="CZ206" s="56"/>
      <c r="DA206" s="56"/>
      <c r="DB206" s="56"/>
      <c r="DC206" s="56"/>
      <c r="DD206" s="56"/>
      <c r="DE206" s="56"/>
      <c r="DF206" s="56"/>
      <c r="DG206" s="56"/>
      <c r="DH206" s="56"/>
      <c r="DI206" s="56"/>
      <c r="DJ206" s="56"/>
      <c r="DK206" s="60"/>
      <c r="DL206" s="60"/>
      <c r="DM206" s="56"/>
      <c r="DN206" s="56"/>
      <c r="DO206" s="56"/>
      <c r="DP206" s="56"/>
      <c r="DQ206" s="56"/>
      <c r="DR206" s="56"/>
      <c r="DS206" s="56"/>
      <c r="DT206" s="56"/>
      <c r="DU206" s="56"/>
      <c r="DV206" s="56"/>
      <c r="DW206" s="56"/>
      <c r="DX206" s="56"/>
      <c r="DY206" s="56"/>
      <c r="DZ206" s="56"/>
      <c r="EA206" s="56"/>
      <c r="EB206" s="56"/>
      <c r="EC206" s="56"/>
      <c r="ED206" s="56"/>
      <c r="EE206" s="56"/>
      <c r="EF206" s="56"/>
    </row>
    <row r="207" spans="44:136" s="80" customFormat="1">
      <c r="AR207" s="118"/>
      <c r="BD207" s="56"/>
      <c r="BE207" s="56"/>
      <c r="BF207" s="56"/>
      <c r="BG207" s="56"/>
      <c r="BH207" s="56"/>
      <c r="BI207" s="56"/>
      <c r="BJ207" s="56"/>
      <c r="BK207" s="56"/>
      <c r="BL207" s="56"/>
      <c r="BM207" s="56"/>
      <c r="BN207" s="56"/>
      <c r="BO207" s="56"/>
      <c r="BP207" s="56"/>
      <c r="BQ207" s="56"/>
      <c r="BR207" s="56"/>
      <c r="BS207" s="56"/>
      <c r="BT207" s="60"/>
      <c r="BU207" s="56"/>
      <c r="BV207" s="56"/>
      <c r="BW207" s="56"/>
      <c r="BX207" s="56"/>
      <c r="BY207" s="56"/>
      <c r="BZ207" s="56"/>
      <c r="CA207" s="56"/>
      <c r="CB207" s="56"/>
      <c r="CC207" s="56"/>
      <c r="CD207" s="56"/>
      <c r="CE207" s="56"/>
      <c r="CF207" s="56"/>
      <c r="CG207" s="56"/>
      <c r="CH207" s="56"/>
      <c r="CI207" s="56"/>
      <c r="CJ207" s="60"/>
      <c r="CK207" s="56"/>
      <c r="CL207" s="56"/>
      <c r="CM207" s="56"/>
      <c r="CN207" s="56"/>
      <c r="CO207" s="56"/>
      <c r="CP207" s="56"/>
      <c r="CQ207" s="56"/>
      <c r="CR207" s="56"/>
      <c r="CS207" s="56"/>
      <c r="CT207" s="56"/>
      <c r="CU207" s="56"/>
      <c r="CV207" s="56"/>
      <c r="CW207" s="56"/>
      <c r="CX207" s="60"/>
      <c r="CY207" s="56"/>
      <c r="CZ207" s="56"/>
      <c r="DA207" s="56"/>
      <c r="DB207" s="56"/>
      <c r="DC207" s="56"/>
      <c r="DD207" s="56"/>
      <c r="DE207" s="56"/>
      <c r="DF207" s="56"/>
      <c r="DG207" s="56"/>
      <c r="DH207" s="56"/>
      <c r="DI207" s="56"/>
      <c r="DJ207" s="56"/>
      <c r="DK207" s="60"/>
      <c r="DL207" s="60"/>
      <c r="DM207" s="56"/>
      <c r="DN207" s="56"/>
      <c r="DO207" s="56"/>
      <c r="DP207" s="56"/>
      <c r="DQ207" s="56"/>
      <c r="DR207" s="56"/>
      <c r="DS207" s="56"/>
      <c r="DT207" s="56"/>
      <c r="DU207" s="56"/>
      <c r="DV207" s="56"/>
      <c r="DW207" s="56"/>
      <c r="DX207" s="56"/>
      <c r="DY207" s="56"/>
      <c r="DZ207" s="56"/>
      <c r="EA207" s="56"/>
      <c r="EB207" s="56"/>
      <c r="EC207" s="56"/>
      <c r="ED207" s="56"/>
      <c r="EE207" s="56"/>
      <c r="EF207" s="56"/>
    </row>
    <row r="208" spans="44:136" s="80" customFormat="1">
      <c r="AR208" s="118"/>
      <c r="BD208" s="56"/>
      <c r="BE208" s="56"/>
      <c r="BF208" s="56"/>
      <c r="BG208" s="56"/>
      <c r="BH208" s="56"/>
      <c r="BI208" s="56"/>
      <c r="BJ208" s="56"/>
      <c r="BK208" s="56"/>
      <c r="BL208" s="56"/>
      <c r="BM208" s="56"/>
      <c r="BN208" s="56"/>
      <c r="BO208" s="56"/>
      <c r="BP208" s="56"/>
      <c r="BQ208" s="56"/>
      <c r="BR208" s="56"/>
      <c r="BS208" s="56"/>
      <c r="BT208" s="60"/>
      <c r="BU208" s="56"/>
      <c r="BV208" s="56"/>
      <c r="BW208" s="56"/>
      <c r="BX208" s="56"/>
      <c r="BY208" s="56"/>
      <c r="BZ208" s="56"/>
      <c r="CA208" s="56"/>
      <c r="CB208" s="56"/>
      <c r="CC208" s="56"/>
      <c r="CD208" s="56"/>
      <c r="CE208" s="56"/>
      <c r="CF208" s="56"/>
      <c r="CG208" s="56"/>
      <c r="CH208" s="56"/>
      <c r="CI208" s="56"/>
      <c r="CJ208" s="60"/>
      <c r="CK208" s="56"/>
      <c r="CL208" s="56"/>
      <c r="CM208" s="56"/>
      <c r="CN208" s="56"/>
      <c r="CO208" s="56"/>
      <c r="CP208" s="56"/>
      <c r="CQ208" s="56"/>
      <c r="CR208" s="56"/>
      <c r="CS208" s="56"/>
      <c r="CT208" s="56"/>
      <c r="CU208" s="56"/>
      <c r="CV208" s="56"/>
      <c r="CW208" s="56"/>
      <c r="CX208" s="60"/>
      <c r="CY208" s="56"/>
      <c r="CZ208" s="56"/>
      <c r="DA208" s="56"/>
      <c r="DB208" s="56"/>
      <c r="DC208" s="56"/>
      <c r="DD208" s="56"/>
      <c r="DE208" s="56"/>
      <c r="DF208" s="56"/>
      <c r="DG208" s="56"/>
      <c r="DH208" s="56"/>
      <c r="DI208" s="56"/>
      <c r="DJ208" s="56"/>
      <c r="DK208" s="60"/>
      <c r="DL208" s="60"/>
      <c r="DM208" s="56"/>
      <c r="DN208" s="56"/>
      <c r="DO208" s="56"/>
      <c r="DP208" s="56"/>
      <c r="DQ208" s="56"/>
      <c r="DR208" s="56"/>
      <c r="DS208" s="56"/>
      <c r="DT208" s="56"/>
      <c r="DU208" s="56"/>
      <c r="DV208" s="56"/>
      <c r="DW208" s="56"/>
      <c r="DX208" s="56"/>
      <c r="DY208" s="56"/>
      <c r="DZ208" s="56"/>
      <c r="EA208" s="56"/>
      <c r="EB208" s="56"/>
      <c r="EC208" s="56"/>
      <c r="ED208" s="56"/>
      <c r="EE208" s="56"/>
      <c r="EF208" s="56"/>
    </row>
    <row r="209" spans="44:136" s="80" customFormat="1">
      <c r="AR209" s="118"/>
      <c r="BD209" s="56"/>
      <c r="BE209" s="56"/>
      <c r="BF209" s="56"/>
      <c r="BG209" s="56"/>
      <c r="BH209" s="56"/>
      <c r="BI209" s="56"/>
      <c r="BJ209" s="56"/>
      <c r="BK209" s="56"/>
      <c r="BL209" s="56"/>
      <c r="BM209" s="56"/>
      <c r="BN209" s="56"/>
      <c r="BO209" s="56"/>
      <c r="BP209" s="56"/>
      <c r="BQ209" s="56"/>
      <c r="BR209" s="56"/>
      <c r="BS209" s="56"/>
      <c r="BT209" s="60"/>
      <c r="BU209" s="56"/>
      <c r="BV209" s="56"/>
      <c r="BW209" s="56"/>
      <c r="BX209" s="56"/>
      <c r="BY209" s="56"/>
      <c r="BZ209" s="56"/>
      <c r="CA209" s="56"/>
      <c r="CB209" s="56"/>
      <c r="CC209" s="56"/>
      <c r="CD209" s="56"/>
      <c r="CE209" s="56"/>
      <c r="CF209" s="56"/>
      <c r="CG209" s="56"/>
      <c r="CH209" s="56"/>
      <c r="CI209" s="56"/>
      <c r="CJ209" s="60"/>
      <c r="CK209" s="56"/>
      <c r="CL209" s="56"/>
      <c r="CM209" s="56"/>
      <c r="CN209" s="56"/>
      <c r="CO209" s="56"/>
      <c r="CP209" s="56"/>
      <c r="CQ209" s="56"/>
      <c r="CR209" s="56"/>
      <c r="CS209" s="56"/>
      <c r="CT209" s="56"/>
      <c r="CU209" s="56"/>
      <c r="CV209" s="56"/>
      <c r="CW209" s="56"/>
      <c r="CX209" s="60"/>
      <c r="CY209" s="56"/>
      <c r="CZ209" s="56"/>
      <c r="DA209" s="56"/>
      <c r="DB209" s="56"/>
      <c r="DC209" s="56"/>
      <c r="DD209" s="56"/>
      <c r="DE209" s="56"/>
      <c r="DF209" s="56"/>
      <c r="DG209" s="56"/>
      <c r="DH209" s="56"/>
      <c r="DI209" s="56"/>
      <c r="DJ209" s="56"/>
      <c r="DK209" s="60"/>
      <c r="DL209" s="60"/>
      <c r="DM209" s="56"/>
      <c r="DN209" s="56"/>
      <c r="DO209" s="56"/>
      <c r="DP209" s="56"/>
      <c r="DQ209" s="56"/>
      <c r="DR209" s="56"/>
      <c r="DS209" s="56"/>
      <c r="DT209" s="56"/>
      <c r="DU209" s="56"/>
      <c r="DV209" s="56"/>
      <c r="DW209" s="56"/>
      <c r="DX209" s="56"/>
      <c r="DY209" s="56"/>
      <c r="DZ209" s="56"/>
      <c r="EA209" s="56"/>
      <c r="EB209" s="56"/>
      <c r="EC209" s="56"/>
      <c r="ED209" s="56"/>
      <c r="EE209" s="56"/>
      <c r="EF209" s="56"/>
    </row>
    <row r="210" spans="44:136" s="80" customFormat="1">
      <c r="AR210" s="118"/>
      <c r="BD210" s="56"/>
      <c r="BE210" s="56"/>
      <c r="BF210" s="56"/>
      <c r="BG210" s="56"/>
      <c r="BH210" s="56"/>
      <c r="BI210" s="56"/>
      <c r="BJ210" s="56"/>
      <c r="BK210" s="56"/>
      <c r="BL210" s="56"/>
      <c r="BM210" s="56"/>
      <c r="BN210" s="56"/>
      <c r="BO210" s="56"/>
      <c r="BP210" s="56"/>
      <c r="BQ210" s="56"/>
      <c r="BR210" s="56"/>
      <c r="BS210" s="56"/>
      <c r="BT210" s="60"/>
      <c r="BU210" s="56"/>
      <c r="BV210" s="56"/>
      <c r="BW210" s="56"/>
      <c r="BX210" s="56"/>
      <c r="BY210" s="56"/>
      <c r="BZ210" s="56"/>
      <c r="CA210" s="56"/>
      <c r="CB210" s="56"/>
      <c r="CC210" s="56"/>
      <c r="CD210" s="56"/>
      <c r="CE210" s="56"/>
      <c r="CF210" s="56"/>
      <c r="CG210" s="56"/>
      <c r="CH210" s="56"/>
      <c r="CI210" s="56"/>
      <c r="CJ210" s="60"/>
      <c r="CK210" s="56"/>
      <c r="CL210" s="56"/>
      <c r="CM210" s="56"/>
      <c r="CN210" s="56"/>
      <c r="CO210" s="56"/>
      <c r="CP210" s="56"/>
      <c r="CQ210" s="56"/>
      <c r="CR210" s="56"/>
      <c r="CS210" s="56"/>
      <c r="CT210" s="56"/>
      <c r="CU210" s="56"/>
      <c r="CV210" s="56"/>
      <c r="CW210" s="56"/>
      <c r="CX210" s="60"/>
      <c r="CY210" s="56"/>
      <c r="CZ210" s="56"/>
      <c r="DA210" s="56"/>
      <c r="DB210" s="56"/>
      <c r="DC210" s="56"/>
      <c r="DD210" s="56"/>
      <c r="DE210" s="56"/>
      <c r="DF210" s="56"/>
      <c r="DG210" s="56"/>
      <c r="DH210" s="56"/>
      <c r="DI210" s="56"/>
      <c r="DJ210" s="56"/>
      <c r="DK210" s="60"/>
      <c r="DL210" s="60"/>
      <c r="DM210" s="56"/>
      <c r="DN210" s="56"/>
      <c r="DO210" s="56"/>
      <c r="DP210" s="56"/>
      <c r="DQ210" s="56"/>
      <c r="DR210" s="56"/>
      <c r="DS210" s="56"/>
      <c r="DT210" s="56"/>
      <c r="DU210" s="56"/>
      <c r="DV210" s="56"/>
      <c r="DW210" s="56"/>
      <c r="DX210" s="56"/>
      <c r="DY210" s="56"/>
      <c r="DZ210" s="56"/>
      <c r="EA210" s="56"/>
      <c r="EB210" s="56"/>
      <c r="EC210" s="56"/>
      <c r="ED210" s="56"/>
      <c r="EE210" s="56"/>
      <c r="EF210" s="56"/>
    </row>
    <row r="211" spans="44:136" s="80" customFormat="1">
      <c r="AR211" s="118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60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60"/>
      <c r="CK211" s="56"/>
      <c r="CL211" s="56"/>
      <c r="CM211" s="56"/>
      <c r="CN211" s="56"/>
      <c r="CO211" s="56"/>
      <c r="CP211" s="56"/>
      <c r="CQ211" s="56"/>
      <c r="CR211" s="56"/>
      <c r="CS211" s="56"/>
      <c r="CT211" s="56"/>
      <c r="CU211" s="56"/>
      <c r="CV211" s="56"/>
      <c r="CW211" s="56"/>
      <c r="CX211" s="60"/>
      <c r="CY211" s="56"/>
      <c r="CZ211" s="56"/>
      <c r="DA211" s="56"/>
      <c r="DB211" s="56"/>
      <c r="DC211" s="56"/>
      <c r="DD211" s="56"/>
      <c r="DE211" s="56"/>
      <c r="DF211" s="56"/>
      <c r="DG211" s="56"/>
      <c r="DH211" s="56"/>
      <c r="DI211" s="56"/>
      <c r="DJ211" s="56"/>
      <c r="DK211" s="60"/>
      <c r="DL211" s="60"/>
      <c r="DM211" s="56"/>
      <c r="DN211" s="56"/>
      <c r="DO211" s="56"/>
      <c r="DP211" s="56"/>
      <c r="DQ211" s="56"/>
      <c r="DR211" s="56"/>
      <c r="DS211" s="56"/>
      <c r="DT211" s="56"/>
      <c r="DU211" s="56"/>
      <c r="DV211" s="56"/>
      <c r="DW211" s="56"/>
      <c r="DX211" s="56"/>
      <c r="DY211" s="56"/>
      <c r="DZ211" s="56"/>
      <c r="EA211" s="56"/>
      <c r="EB211" s="56"/>
      <c r="EC211" s="56"/>
      <c r="ED211" s="56"/>
      <c r="EE211" s="56"/>
      <c r="EF211" s="56"/>
    </row>
    <row r="212" spans="44:136" s="80" customFormat="1">
      <c r="AR212" s="118"/>
      <c r="BD212" s="56"/>
      <c r="BE212" s="56"/>
      <c r="BF212" s="56"/>
      <c r="BG212" s="56"/>
      <c r="BH212" s="56"/>
      <c r="BI212" s="56"/>
      <c r="BJ212" s="56"/>
      <c r="BK212" s="56"/>
      <c r="BL212" s="56"/>
      <c r="BM212" s="56"/>
      <c r="BN212" s="56"/>
      <c r="BO212" s="56"/>
      <c r="BP212" s="56"/>
      <c r="BQ212" s="56"/>
      <c r="BR212" s="56"/>
      <c r="BS212" s="56"/>
      <c r="BT212" s="60"/>
      <c r="BU212" s="56"/>
      <c r="BV212" s="56"/>
      <c r="BW212" s="56"/>
      <c r="BX212" s="56"/>
      <c r="BY212" s="56"/>
      <c r="BZ212" s="56"/>
      <c r="CA212" s="56"/>
      <c r="CB212" s="56"/>
      <c r="CC212" s="56"/>
      <c r="CD212" s="56"/>
      <c r="CE212" s="56"/>
      <c r="CF212" s="56"/>
      <c r="CG212" s="56"/>
      <c r="CH212" s="56"/>
      <c r="CI212" s="56"/>
      <c r="CJ212" s="60"/>
      <c r="CK212" s="56"/>
      <c r="CL212" s="56"/>
      <c r="CM212" s="56"/>
      <c r="CN212" s="56"/>
      <c r="CO212" s="56"/>
      <c r="CP212" s="56"/>
      <c r="CQ212" s="56"/>
      <c r="CR212" s="56"/>
      <c r="CS212" s="56"/>
      <c r="CT212" s="56"/>
      <c r="CU212" s="56"/>
      <c r="CV212" s="56"/>
      <c r="CW212" s="56"/>
      <c r="CX212" s="60"/>
      <c r="CY212" s="56"/>
      <c r="CZ212" s="56"/>
      <c r="DA212" s="56"/>
      <c r="DB212" s="56"/>
      <c r="DC212" s="56"/>
      <c r="DD212" s="56"/>
      <c r="DE212" s="56"/>
      <c r="DF212" s="56"/>
      <c r="DG212" s="56"/>
      <c r="DH212" s="56"/>
      <c r="DI212" s="56"/>
      <c r="DJ212" s="56"/>
      <c r="DK212" s="60"/>
      <c r="DL212" s="60"/>
      <c r="DM212" s="56"/>
      <c r="DN212" s="56"/>
      <c r="DO212" s="56"/>
      <c r="DP212" s="56"/>
      <c r="DQ212" s="56"/>
      <c r="DR212" s="56"/>
      <c r="DS212" s="56"/>
      <c r="DT212" s="56"/>
      <c r="DU212" s="56"/>
      <c r="DV212" s="56"/>
      <c r="DW212" s="56"/>
      <c r="DX212" s="56"/>
      <c r="DY212" s="56"/>
      <c r="DZ212" s="56"/>
      <c r="EA212" s="56"/>
      <c r="EB212" s="56"/>
      <c r="EC212" s="56"/>
      <c r="ED212" s="56"/>
      <c r="EE212" s="56"/>
      <c r="EF212" s="56"/>
    </row>
    <row r="213" spans="44:136" s="80" customFormat="1">
      <c r="AR213" s="118"/>
      <c r="BD213" s="56"/>
      <c r="BE213" s="56"/>
      <c r="BF213" s="56"/>
      <c r="BG213" s="56"/>
      <c r="BH213" s="56"/>
      <c r="BI213" s="56"/>
      <c r="BJ213" s="56"/>
      <c r="BK213" s="56"/>
      <c r="BL213" s="56"/>
      <c r="BM213" s="56"/>
      <c r="BN213" s="56"/>
      <c r="BO213" s="56"/>
      <c r="BP213" s="56"/>
      <c r="BQ213" s="56"/>
      <c r="BR213" s="56"/>
      <c r="BS213" s="56"/>
      <c r="BT213" s="60"/>
      <c r="BU213" s="56"/>
      <c r="BV213" s="56"/>
      <c r="BW213" s="56"/>
      <c r="BX213" s="56"/>
      <c r="BY213" s="56"/>
      <c r="BZ213" s="56"/>
      <c r="CA213" s="56"/>
      <c r="CB213" s="56"/>
      <c r="CC213" s="56"/>
      <c r="CD213" s="56"/>
      <c r="CE213" s="56"/>
      <c r="CF213" s="56"/>
      <c r="CG213" s="56"/>
      <c r="CH213" s="56"/>
      <c r="CI213" s="56"/>
      <c r="CJ213" s="60"/>
      <c r="CK213" s="56"/>
      <c r="CL213" s="56"/>
      <c r="CM213" s="56"/>
      <c r="CN213" s="56"/>
      <c r="CO213" s="56"/>
      <c r="CP213" s="56"/>
      <c r="CQ213" s="56"/>
      <c r="CR213" s="56"/>
      <c r="CS213" s="56"/>
      <c r="CT213" s="56"/>
      <c r="CU213" s="56"/>
      <c r="CV213" s="56"/>
      <c r="CW213" s="56"/>
      <c r="CX213" s="60"/>
      <c r="CY213" s="56"/>
      <c r="CZ213" s="56"/>
      <c r="DA213" s="56"/>
      <c r="DB213" s="56"/>
      <c r="DC213" s="56"/>
      <c r="DD213" s="56"/>
      <c r="DE213" s="56"/>
      <c r="DF213" s="56"/>
      <c r="DG213" s="56"/>
      <c r="DH213" s="56"/>
      <c r="DI213" s="56"/>
      <c r="DJ213" s="56"/>
      <c r="DK213" s="60"/>
      <c r="DL213" s="60"/>
      <c r="DM213" s="56"/>
      <c r="DN213" s="56"/>
      <c r="DO213" s="56"/>
      <c r="DP213" s="56"/>
      <c r="DQ213" s="56"/>
      <c r="DR213" s="56"/>
      <c r="DS213" s="56"/>
      <c r="DT213" s="56"/>
      <c r="DU213" s="56"/>
      <c r="DV213" s="56"/>
      <c r="DW213" s="56"/>
      <c r="DX213" s="56"/>
      <c r="DY213" s="56"/>
      <c r="DZ213" s="56"/>
      <c r="EA213" s="56"/>
      <c r="EB213" s="56"/>
      <c r="EC213" s="56"/>
      <c r="ED213" s="56"/>
      <c r="EE213" s="56"/>
      <c r="EF213" s="56"/>
    </row>
    <row r="214" spans="44:136" s="80" customFormat="1">
      <c r="AR214" s="118"/>
      <c r="BD214" s="56"/>
      <c r="BE214" s="56"/>
      <c r="BF214" s="56"/>
      <c r="BG214" s="56"/>
      <c r="BH214" s="56"/>
      <c r="BI214" s="56"/>
      <c r="BJ214" s="56"/>
      <c r="BK214" s="56"/>
      <c r="BL214" s="56"/>
      <c r="BM214" s="56"/>
      <c r="BN214" s="56"/>
      <c r="BO214" s="56"/>
      <c r="BP214" s="56"/>
      <c r="BQ214" s="56"/>
      <c r="BR214" s="56"/>
      <c r="BS214" s="56"/>
      <c r="BT214" s="60"/>
      <c r="BU214" s="56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  <c r="CG214" s="56"/>
      <c r="CH214" s="56"/>
      <c r="CI214" s="56"/>
      <c r="CJ214" s="60"/>
      <c r="CK214" s="56"/>
      <c r="CL214" s="56"/>
      <c r="CM214" s="56"/>
      <c r="CN214" s="56"/>
      <c r="CO214" s="56"/>
      <c r="CP214" s="56"/>
      <c r="CQ214" s="56"/>
      <c r="CR214" s="56"/>
      <c r="CS214" s="56"/>
      <c r="CT214" s="56"/>
      <c r="CU214" s="56"/>
      <c r="CV214" s="56"/>
      <c r="CW214" s="56"/>
      <c r="CX214" s="60"/>
      <c r="CY214" s="56"/>
      <c r="CZ214" s="56"/>
      <c r="DA214" s="56"/>
      <c r="DB214" s="56"/>
      <c r="DC214" s="56"/>
      <c r="DD214" s="56"/>
      <c r="DE214" s="56"/>
      <c r="DF214" s="56"/>
      <c r="DG214" s="56"/>
      <c r="DH214" s="56"/>
      <c r="DI214" s="56"/>
      <c r="DJ214" s="56"/>
      <c r="DK214" s="60"/>
      <c r="DL214" s="60"/>
      <c r="DM214" s="56"/>
      <c r="DN214" s="56"/>
      <c r="DO214" s="56"/>
      <c r="DP214" s="56"/>
      <c r="DQ214" s="56"/>
      <c r="DR214" s="56"/>
      <c r="DS214" s="56"/>
      <c r="DT214" s="56"/>
      <c r="DU214" s="56"/>
      <c r="DV214" s="56"/>
      <c r="DW214" s="56"/>
      <c r="DX214" s="56"/>
      <c r="DY214" s="56"/>
      <c r="DZ214" s="56"/>
      <c r="EA214" s="56"/>
      <c r="EB214" s="56"/>
      <c r="EC214" s="56"/>
      <c r="ED214" s="56"/>
      <c r="EE214" s="56"/>
      <c r="EF214" s="56"/>
    </row>
    <row r="215" spans="44:136" s="80" customFormat="1">
      <c r="AR215" s="118"/>
      <c r="BD215" s="56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60"/>
      <c r="BU215" s="56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  <c r="CG215" s="56"/>
      <c r="CH215" s="56"/>
      <c r="CI215" s="56"/>
      <c r="CJ215" s="60"/>
      <c r="CK215" s="56"/>
      <c r="CL215" s="56"/>
      <c r="CM215" s="56"/>
      <c r="CN215" s="56"/>
      <c r="CO215" s="56"/>
      <c r="CP215" s="56"/>
      <c r="CQ215" s="56"/>
      <c r="CR215" s="56"/>
      <c r="CS215" s="56"/>
      <c r="CT215" s="56"/>
      <c r="CU215" s="56"/>
      <c r="CV215" s="56"/>
      <c r="CW215" s="56"/>
      <c r="CX215" s="60"/>
      <c r="CY215" s="56"/>
      <c r="CZ215" s="56"/>
      <c r="DA215" s="56"/>
      <c r="DB215" s="56"/>
      <c r="DC215" s="56"/>
      <c r="DD215" s="56"/>
      <c r="DE215" s="56"/>
      <c r="DF215" s="56"/>
      <c r="DG215" s="56"/>
      <c r="DH215" s="56"/>
      <c r="DI215" s="56"/>
      <c r="DJ215" s="56"/>
      <c r="DK215" s="60"/>
      <c r="DL215" s="60"/>
      <c r="DM215" s="56"/>
      <c r="DN215" s="56"/>
      <c r="DO215" s="56"/>
      <c r="DP215" s="56"/>
      <c r="DQ215" s="56"/>
      <c r="DR215" s="56"/>
      <c r="DS215" s="56"/>
      <c r="DT215" s="56"/>
      <c r="DU215" s="56"/>
      <c r="DV215" s="56"/>
      <c r="DW215" s="56"/>
      <c r="DX215" s="56"/>
      <c r="DY215" s="56"/>
      <c r="DZ215" s="56"/>
      <c r="EA215" s="56"/>
      <c r="EB215" s="56"/>
      <c r="EC215" s="56"/>
      <c r="ED215" s="56"/>
      <c r="EE215" s="56"/>
      <c r="EF215" s="56"/>
    </row>
    <row r="216" spans="44:136" s="80" customFormat="1">
      <c r="AR216" s="118"/>
      <c r="BD216" s="56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6"/>
      <c r="BP216" s="56"/>
      <c r="BQ216" s="56"/>
      <c r="BR216" s="56"/>
      <c r="BS216" s="56"/>
      <c r="BT216" s="60"/>
      <c r="BU216" s="56"/>
      <c r="BV216" s="56"/>
      <c r="BW216" s="56"/>
      <c r="BX216" s="56"/>
      <c r="BY216" s="56"/>
      <c r="BZ216" s="56"/>
      <c r="CA216" s="56"/>
      <c r="CB216" s="56"/>
      <c r="CC216" s="56"/>
      <c r="CD216" s="56"/>
      <c r="CE216" s="56"/>
      <c r="CF216" s="56"/>
      <c r="CG216" s="56"/>
      <c r="CH216" s="56"/>
      <c r="CI216" s="56"/>
      <c r="CJ216" s="60"/>
      <c r="CK216" s="56"/>
      <c r="CL216" s="56"/>
      <c r="CM216" s="56"/>
      <c r="CN216" s="56"/>
      <c r="CO216" s="56"/>
      <c r="CP216" s="56"/>
      <c r="CQ216" s="56"/>
      <c r="CR216" s="56"/>
      <c r="CS216" s="56"/>
      <c r="CT216" s="56"/>
      <c r="CU216" s="56"/>
      <c r="CV216" s="56"/>
      <c r="CW216" s="56"/>
      <c r="CX216" s="60"/>
      <c r="CY216" s="56"/>
      <c r="CZ216" s="56"/>
      <c r="DA216" s="56"/>
      <c r="DB216" s="56"/>
      <c r="DC216" s="56"/>
      <c r="DD216" s="56"/>
      <c r="DE216" s="56"/>
      <c r="DF216" s="56"/>
      <c r="DG216" s="56"/>
      <c r="DH216" s="56"/>
      <c r="DI216" s="56"/>
      <c r="DJ216" s="56"/>
      <c r="DK216" s="60"/>
      <c r="DL216" s="60"/>
      <c r="DM216" s="56"/>
      <c r="DN216" s="56"/>
      <c r="DO216" s="56"/>
      <c r="DP216" s="56"/>
      <c r="DQ216" s="56"/>
      <c r="DR216" s="56"/>
      <c r="DS216" s="56"/>
      <c r="DT216" s="56"/>
      <c r="DU216" s="56"/>
      <c r="DV216" s="56"/>
      <c r="DW216" s="56"/>
      <c r="DX216" s="56"/>
      <c r="DY216" s="56"/>
      <c r="DZ216" s="56"/>
      <c r="EA216" s="56"/>
      <c r="EB216" s="56"/>
      <c r="EC216" s="56"/>
      <c r="ED216" s="56"/>
      <c r="EE216" s="56"/>
      <c r="EF216" s="56"/>
    </row>
    <row r="217" spans="44:136" s="80" customFormat="1">
      <c r="AR217" s="118"/>
      <c r="BD217" s="56"/>
      <c r="BE217" s="56"/>
      <c r="BF217" s="56"/>
      <c r="BG217" s="56"/>
      <c r="BH217" s="56"/>
      <c r="BI217" s="56"/>
      <c r="BJ217" s="56"/>
      <c r="BK217" s="56"/>
      <c r="BL217" s="56"/>
      <c r="BM217" s="56"/>
      <c r="BN217" s="56"/>
      <c r="BO217" s="56"/>
      <c r="BP217" s="56"/>
      <c r="BQ217" s="56"/>
      <c r="BR217" s="56"/>
      <c r="BS217" s="56"/>
      <c r="BT217" s="60"/>
      <c r="BU217" s="56"/>
      <c r="BV217" s="56"/>
      <c r="BW217" s="56"/>
      <c r="BX217" s="56"/>
      <c r="BY217" s="56"/>
      <c r="BZ217" s="56"/>
      <c r="CA217" s="56"/>
      <c r="CB217" s="56"/>
      <c r="CC217" s="56"/>
      <c r="CD217" s="56"/>
      <c r="CE217" s="56"/>
      <c r="CF217" s="56"/>
      <c r="CG217" s="56"/>
      <c r="CH217" s="56"/>
      <c r="CI217" s="56"/>
      <c r="CJ217" s="60"/>
      <c r="CK217" s="56"/>
      <c r="CL217" s="56"/>
      <c r="CM217" s="56"/>
      <c r="CN217" s="56"/>
      <c r="CO217" s="56"/>
      <c r="CP217" s="56"/>
      <c r="CQ217" s="56"/>
      <c r="CR217" s="56"/>
      <c r="CS217" s="56"/>
      <c r="CT217" s="56"/>
      <c r="CU217" s="56"/>
      <c r="CV217" s="56"/>
      <c r="CW217" s="56"/>
      <c r="CX217" s="60"/>
      <c r="CY217" s="56"/>
      <c r="CZ217" s="56"/>
      <c r="DA217" s="56"/>
      <c r="DB217" s="56"/>
      <c r="DC217" s="56"/>
      <c r="DD217" s="56"/>
      <c r="DE217" s="56"/>
      <c r="DF217" s="56"/>
      <c r="DG217" s="56"/>
      <c r="DH217" s="56"/>
      <c r="DI217" s="56"/>
      <c r="DJ217" s="56"/>
      <c r="DK217" s="60"/>
      <c r="DL217" s="60"/>
      <c r="DM217" s="56"/>
      <c r="DN217" s="56"/>
      <c r="DO217" s="56"/>
      <c r="DP217" s="56"/>
      <c r="DQ217" s="56"/>
      <c r="DR217" s="56"/>
      <c r="DS217" s="56"/>
      <c r="DT217" s="56"/>
      <c r="DU217" s="56"/>
      <c r="DV217" s="56"/>
      <c r="DW217" s="56"/>
      <c r="DX217" s="56"/>
      <c r="DY217" s="56"/>
      <c r="DZ217" s="56"/>
      <c r="EA217" s="56"/>
      <c r="EB217" s="56"/>
      <c r="EC217" s="56"/>
      <c r="ED217" s="56"/>
      <c r="EE217" s="56"/>
      <c r="EF217" s="56"/>
    </row>
    <row r="218" spans="44:136" s="80" customFormat="1">
      <c r="AR218" s="118"/>
      <c r="BD218" s="56"/>
      <c r="BE218" s="56"/>
      <c r="BF218" s="56"/>
      <c r="BG218" s="56"/>
      <c r="BH218" s="56"/>
      <c r="BI218" s="56"/>
      <c r="BJ218" s="56"/>
      <c r="BK218" s="56"/>
      <c r="BL218" s="56"/>
      <c r="BM218" s="56"/>
      <c r="BN218" s="56"/>
      <c r="BO218" s="56"/>
      <c r="BP218" s="56"/>
      <c r="BQ218" s="56"/>
      <c r="BR218" s="56"/>
      <c r="BS218" s="56"/>
      <c r="BT218" s="60"/>
      <c r="BU218" s="56"/>
      <c r="BV218" s="56"/>
      <c r="BW218" s="56"/>
      <c r="BX218" s="56"/>
      <c r="BY218" s="56"/>
      <c r="BZ218" s="56"/>
      <c r="CA218" s="56"/>
      <c r="CB218" s="56"/>
      <c r="CC218" s="56"/>
      <c r="CD218" s="56"/>
      <c r="CE218" s="56"/>
      <c r="CF218" s="56"/>
      <c r="CG218" s="56"/>
      <c r="CH218" s="56"/>
      <c r="CI218" s="56"/>
      <c r="CJ218" s="60"/>
      <c r="CK218" s="56"/>
      <c r="CL218" s="56"/>
      <c r="CM218" s="56"/>
      <c r="CN218" s="56"/>
      <c r="CO218" s="56"/>
      <c r="CP218" s="56"/>
      <c r="CQ218" s="56"/>
      <c r="CR218" s="56"/>
      <c r="CS218" s="56"/>
      <c r="CT218" s="56"/>
      <c r="CU218" s="56"/>
      <c r="CV218" s="56"/>
      <c r="CW218" s="56"/>
      <c r="CX218" s="60"/>
      <c r="CY218" s="56"/>
      <c r="CZ218" s="56"/>
      <c r="DA218" s="56"/>
      <c r="DB218" s="56"/>
      <c r="DC218" s="56"/>
      <c r="DD218" s="56"/>
      <c r="DE218" s="56"/>
      <c r="DF218" s="56"/>
      <c r="DG218" s="56"/>
      <c r="DH218" s="56"/>
      <c r="DI218" s="56"/>
      <c r="DJ218" s="56"/>
      <c r="DK218" s="60"/>
      <c r="DL218" s="60"/>
      <c r="DM218" s="56"/>
      <c r="DN218" s="56"/>
      <c r="DO218" s="56"/>
      <c r="DP218" s="56"/>
      <c r="DQ218" s="56"/>
      <c r="DR218" s="56"/>
      <c r="DS218" s="56"/>
      <c r="DT218" s="56"/>
      <c r="DU218" s="56"/>
      <c r="DV218" s="56"/>
      <c r="DW218" s="56"/>
      <c r="DX218" s="56"/>
      <c r="DY218" s="56"/>
      <c r="DZ218" s="56"/>
      <c r="EA218" s="56"/>
      <c r="EB218" s="56"/>
      <c r="EC218" s="56"/>
      <c r="ED218" s="56"/>
      <c r="EE218" s="56"/>
      <c r="EF218" s="56"/>
    </row>
    <row r="219" spans="44:136" s="80" customFormat="1">
      <c r="AR219" s="118"/>
      <c r="BD219" s="56"/>
      <c r="BE219" s="56"/>
      <c r="BF219" s="56"/>
      <c r="BG219" s="56"/>
      <c r="BH219" s="56"/>
      <c r="BI219" s="56"/>
      <c r="BJ219" s="56"/>
      <c r="BK219" s="56"/>
      <c r="BL219" s="56"/>
      <c r="BM219" s="56"/>
      <c r="BN219" s="56"/>
      <c r="BO219" s="56"/>
      <c r="BP219" s="56"/>
      <c r="BQ219" s="56"/>
      <c r="BR219" s="56"/>
      <c r="BS219" s="56"/>
      <c r="BT219" s="60"/>
      <c r="BU219" s="56"/>
      <c r="BV219" s="56"/>
      <c r="BW219" s="56"/>
      <c r="BX219" s="56"/>
      <c r="BY219" s="56"/>
      <c r="BZ219" s="56"/>
      <c r="CA219" s="56"/>
      <c r="CB219" s="56"/>
      <c r="CC219" s="56"/>
      <c r="CD219" s="56"/>
      <c r="CE219" s="56"/>
      <c r="CF219" s="56"/>
      <c r="CG219" s="56"/>
      <c r="CH219" s="56"/>
      <c r="CI219" s="56"/>
      <c r="CJ219" s="60"/>
      <c r="CK219" s="56"/>
      <c r="CL219" s="56"/>
      <c r="CM219" s="56"/>
      <c r="CN219" s="56"/>
      <c r="CO219" s="56"/>
      <c r="CP219" s="56"/>
      <c r="CQ219" s="56"/>
      <c r="CR219" s="56"/>
      <c r="CS219" s="56"/>
      <c r="CT219" s="56"/>
      <c r="CU219" s="56"/>
      <c r="CV219" s="56"/>
      <c r="CW219" s="56"/>
      <c r="CX219" s="60"/>
      <c r="CY219" s="56"/>
      <c r="CZ219" s="56"/>
      <c r="DA219" s="56"/>
      <c r="DB219" s="56"/>
      <c r="DC219" s="56"/>
      <c r="DD219" s="56"/>
      <c r="DE219" s="56"/>
      <c r="DF219" s="56"/>
      <c r="DG219" s="56"/>
      <c r="DH219" s="56"/>
      <c r="DI219" s="56"/>
      <c r="DJ219" s="56"/>
      <c r="DK219" s="60"/>
      <c r="DL219" s="60"/>
      <c r="DM219" s="56"/>
      <c r="DN219" s="56"/>
      <c r="DO219" s="56"/>
      <c r="DP219" s="56"/>
      <c r="DQ219" s="56"/>
      <c r="DR219" s="56"/>
      <c r="DS219" s="56"/>
      <c r="DT219" s="56"/>
      <c r="DU219" s="56"/>
      <c r="DV219" s="56"/>
      <c r="DW219" s="56"/>
      <c r="DX219" s="56"/>
      <c r="DY219" s="56"/>
      <c r="DZ219" s="56"/>
      <c r="EA219" s="56"/>
      <c r="EB219" s="56"/>
      <c r="EC219" s="56"/>
      <c r="ED219" s="56"/>
      <c r="EE219" s="56"/>
      <c r="EF219" s="56"/>
    </row>
    <row r="220" spans="44:136" s="80" customFormat="1">
      <c r="AR220" s="118"/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6"/>
      <c r="BQ220" s="56"/>
      <c r="BR220" s="56"/>
      <c r="BS220" s="56"/>
      <c r="BT220" s="60"/>
      <c r="BU220" s="56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  <c r="CG220" s="56"/>
      <c r="CH220" s="56"/>
      <c r="CI220" s="56"/>
      <c r="CJ220" s="60"/>
      <c r="CK220" s="56"/>
      <c r="CL220" s="56"/>
      <c r="CM220" s="56"/>
      <c r="CN220" s="56"/>
      <c r="CO220" s="56"/>
      <c r="CP220" s="56"/>
      <c r="CQ220" s="56"/>
      <c r="CR220" s="56"/>
      <c r="CS220" s="56"/>
      <c r="CT220" s="56"/>
      <c r="CU220" s="56"/>
      <c r="CV220" s="56"/>
      <c r="CW220" s="56"/>
      <c r="CX220" s="60"/>
      <c r="CY220" s="56"/>
      <c r="CZ220" s="56"/>
      <c r="DA220" s="56"/>
      <c r="DB220" s="56"/>
      <c r="DC220" s="56"/>
      <c r="DD220" s="56"/>
      <c r="DE220" s="56"/>
      <c r="DF220" s="56"/>
      <c r="DG220" s="56"/>
      <c r="DH220" s="56"/>
      <c r="DI220" s="56"/>
      <c r="DJ220" s="56"/>
      <c r="DK220" s="60"/>
      <c r="DL220" s="60"/>
      <c r="DM220" s="56"/>
      <c r="DN220" s="56"/>
      <c r="DO220" s="56"/>
      <c r="DP220" s="56"/>
      <c r="DQ220" s="56"/>
      <c r="DR220" s="56"/>
      <c r="DS220" s="56"/>
      <c r="DT220" s="56"/>
      <c r="DU220" s="56"/>
      <c r="DV220" s="56"/>
      <c r="DW220" s="56"/>
      <c r="DX220" s="56"/>
      <c r="DY220" s="56"/>
      <c r="DZ220" s="56"/>
      <c r="EA220" s="56"/>
      <c r="EB220" s="56"/>
      <c r="EC220" s="56"/>
      <c r="ED220" s="56"/>
      <c r="EE220" s="56"/>
      <c r="EF220" s="56"/>
    </row>
    <row r="221" spans="44:136" s="80" customFormat="1">
      <c r="AR221" s="118"/>
      <c r="BD221" s="56"/>
      <c r="BE221" s="56"/>
      <c r="BF221" s="56"/>
      <c r="BG221" s="56"/>
      <c r="BH221" s="56"/>
      <c r="BI221" s="56"/>
      <c r="BJ221" s="56"/>
      <c r="BK221" s="56"/>
      <c r="BL221" s="56"/>
      <c r="BM221" s="56"/>
      <c r="BN221" s="56"/>
      <c r="BO221" s="56"/>
      <c r="BP221" s="56"/>
      <c r="BQ221" s="56"/>
      <c r="BR221" s="56"/>
      <c r="BS221" s="56"/>
      <c r="BT221" s="60"/>
      <c r="BU221" s="56"/>
      <c r="BV221" s="56"/>
      <c r="BW221" s="56"/>
      <c r="BX221" s="56"/>
      <c r="BY221" s="56"/>
      <c r="BZ221" s="56"/>
      <c r="CA221" s="56"/>
      <c r="CB221" s="56"/>
      <c r="CC221" s="56"/>
      <c r="CD221" s="56"/>
      <c r="CE221" s="56"/>
      <c r="CF221" s="56"/>
      <c r="CG221" s="56"/>
      <c r="CH221" s="56"/>
      <c r="CI221" s="56"/>
      <c r="CJ221" s="60"/>
      <c r="CK221" s="56"/>
      <c r="CL221" s="56"/>
      <c r="CM221" s="56"/>
      <c r="CN221" s="56"/>
      <c r="CO221" s="56"/>
      <c r="CP221" s="56"/>
      <c r="CQ221" s="56"/>
      <c r="CR221" s="56"/>
      <c r="CS221" s="56"/>
      <c r="CT221" s="56"/>
      <c r="CU221" s="56"/>
      <c r="CV221" s="56"/>
      <c r="CW221" s="56"/>
      <c r="CX221" s="60"/>
      <c r="CY221" s="56"/>
      <c r="CZ221" s="56"/>
      <c r="DA221" s="56"/>
      <c r="DB221" s="56"/>
      <c r="DC221" s="56"/>
      <c r="DD221" s="56"/>
      <c r="DE221" s="56"/>
      <c r="DF221" s="56"/>
      <c r="DG221" s="56"/>
      <c r="DH221" s="56"/>
      <c r="DI221" s="56"/>
      <c r="DJ221" s="56"/>
      <c r="DK221" s="60"/>
      <c r="DL221" s="60"/>
      <c r="DM221" s="56"/>
      <c r="DN221" s="56"/>
      <c r="DO221" s="56"/>
      <c r="DP221" s="56"/>
      <c r="DQ221" s="56"/>
      <c r="DR221" s="56"/>
      <c r="DS221" s="56"/>
      <c r="DT221" s="56"/>
      <c r="DU221" s="56"/>
      <c r="DV221" s="56"/>
      <c r="DW221" s="56"/>
      <c r="DX221" s="56"/>
      <c r="DY221" s="56"/>
      <c r="DZ221" s="56"/>
      <c r="EA221" s="56"/>
      <c r="EB221" s="56"/>
      <c r="EC221" s="56"/>
      <c r="ED221" s="56"/>
      <c r="EE221" s="56"/>
      <c r="EF221" s="56"/>
    </row>
    <row r="222" spans="44:136" s="80" customFormat="1">
      <c r="AR222" s="118"/>
      <c r="BD222" s="56"/>
      <c r="BE222" s="56"/>
      <c r="BF222" s="56"/>
      <c r="BG222" s="56"/>
      <c r="BH222" s="56"/>
      <c r="BI222" s="56"/>
      <c r="BJ222" s="56"/>
      <c r="BK222" s="56"/>
      <c r="BL222" s="56"/>
      <c r="BM222" s="56"/>
      <c r="BN222" s="56"/>
      <c r="BO222" s="56"/>
      <c r="BP222" s="56"/>
      <c r="BQ222" s="56"/>
      <c r="BR222" s="56"/>
      <c r="BS222" s="56"/>
      <c r="BT222" s="60"/>
      <c r="BU222" s="56"/>
      <c r="BV222" s="56"/>
      <c r="BW222" s="56"/>
      <c r="BX222" s="56"/>
      <c r="BY222" s="56"/>
      <c r="BZ222" s="56"/>
      <c r="CA222" s="56"/>
      <c r="CB222" s="56"/>
      <c r="CC222" s="56"/>
      <c r="CD222" s="56"/>
      <c r="CE222" s="56"/>
      <c r="CF222" s="56"/>
      <c r="CG222" s="56"/>
      <c r="CH222" s="56"/>
      <c r="CI222" s="56"/>
      <c r="CJ222" s="60"/>
      <c r="CK222" s="56"/>
      <c r="CL222" s="56"/>
      <c r="CM222" s="56"/>
      <c r="CN222" s="56"/>
      <c r="CO222" s="56"/>
      <c r="CP222" s="56"/>
      <c r="CQ222" s="56"/>
      <c r="CR222" s="56"/>
      <c r="CS222" s="56"/>
      <c r="CT222" s="56"/>
      <c r="CU222" s="56"/>
      <c r="CV222" s="56"/>
      <c r="CW222" s="56"/>
      <c r="CX222" s="60"/>
      <c r="CY222" s="56"/>
      <c r="CZ222" s="56"/>
      <c r="DA222" s="56"/>
      <c r="DB222" s="56"/>
      <c r="DC222" s="56"/>
      <c r="DD222" s="56"/>
      <c r="DE222" s="56"/>
      <c r="DF222" s="56"/>
      <c r="DG222" s="56"/>
      <c r="DH222" s="56"/>
      <c r="DI222" s="56"/>
      <c r="DJ222" s="56"/>
      <c r="DK222" s="60"/>
      <c r="DL222" s="60"/>
      <c r="DM222" s="56"/>
      <c r="DN222" s="56"/>
      <c r="DO222" s="56"/>
      <c r="DP222" s="56"/>
      <c r="DQ222" s="56"/>
      <c r="DR222" s="56"/>
      <c r="DS222" s="56"/>
      <c r="DT222" s="56"/>
      <c r="DU222" s="56"/>
      <c r="DV222" s="56"/>
      <c r="DW222" s="56"/>
      <c r="DX222" s="56"/>
      <c r="DY222" s="56"/>
      <c r="DZ222" s="56"/>
      <c r="EA222" s="56"/>
      <c r="EB222" s="56"/>
      <c r="EC222" s="56"/>
      <c r="ED222" s="56"/>
      <c r="EE222" s="56"/>
      <c r="EF222" s="56"/>
    </row>
    <row r="223" spans="44:136" s="80" customFormat="1">
      <c r="AR223" s="118"/>
      <c r="BD223" s="56"/>
      <c r="BE223" s="56"/>
      <c r="BF223" s="56"/>
      <c r="BG223" s="56"/>
      <c r="BH223" s="56"/>
      <c r="BI223" s="56"/>
      <c r="BJ223" s="56"/>
      <c r="BK223" s="56"/>
      <c r="BL223" s="56"/>
      <c r="BM223" s="56"/>
      <c r="BN223" s="56"/>
      <c r="BO223" s="56"/>
      <c r="BP223" s="56"/>
      <c r="BQ223" s="56"/>
      <c r="BR223" s="56"/>
      <c r="BS223" s="56"/>
      <c r="BT223" s="60"/>
      <c r="BU223" s="56"/>
      <c r="BV223" s="56"/>
      <c r="BW223" s="56"/>
      <c r="BX223" s="56"/>
      <c r="BY223" s="56"/>
      <c r="BZ223" s="56"/>
      <c r="CA223" s="56"/>
      <c r="CB223" s="56"/>
      <c r="CC223" s="56"/>
      <c r="CD223" s="56"/>
      <c r="CE223" s="56"/>
      <c r="CF223" s="56"/>
      <c r="CG223" s="56"/>
      <c r="CH223" s="56"/>
      <c r="CI223" s="56"/>
      <c r="CJ223" s="60"/>
      <c r="CK223" s="56"/>
      <c r="CL223" s="56"/>
      <c r="CM223" s="56"/>
      <c r="CN223" s="56"/>
      <c r="CO223" s="56"/>
      <c r="CP223" s="56"/>
      <c r="CQ223" s="56"/>
      <c r="CR223" s="56"/>
      <c r="CS223" s="56"/>
      <c r="CT223" s="56"/>
      <c r="CU223" s="56"/>
      <c r="CV223" s="56"/>
      <c r="CW223" s="56"/>
      <c r="CX223" s="60"/>
      <c r="CY223" s="56"/>
      <c r="CZ223" s="56"/>
      <c r="DA223" s="56"/>
      <c r="DB223" s="56"/>
      <c r="DC223" s="56"/>
      <c r="DD223" s="56"/>
      <c r="DE223" s="56"/>
      <c r="DF223" s="56"/>
      <c r="DG223" s="56"/>
      <c r="DH223" s="56"/>
      <c r="DI223" s="56"/>
      <c r="DJ223" s="56"/>
      <c r="DK223" s="60"/>
      <c r="DL223" s="60"/>
      <c r="DM223" s="56"/>
      <c r="DN223" s="56"/>
      <c r="DO223" s="56"/>
      <c r="DP223" s="56"/>
      <c r="DQ223" s="56"/>
      <c r="DR223" s="56"/>
      <c r="DS223" s="56"/>
      <c r="DT223" s="56"/>
      <c r="DU223" s="56"/>
      <c r="DV223" s="56"/>
      <c r="DW223" s="56"/>
      <c r="DX223" s="56"/>
      <c r="DY223" s="56"/>
      <c r="DZ223" s="56"/>
      <c r="EA223" s="56"/>
      <c r="EB223" s="56"/>
      <c r="EC223" s="56"/>
      <c r="ED223" s="56"/>
      <c r="EE223" s="56"/>
      <c r="EF223" s="56"/>
    </row>
    <row r="224" spans="44:136" s="80" customFormat="1">
      <c r="AR224" s="118"/>
      <c r="BD224" s="56"/>
      <c r="BE224" s="56"/>
      <c r="BF224" s="56"/>
      <c r="BG224" s="56"/>
      <c r="BH224" s="56"/>
      <c r="BI224" s="56"/>
      <c r="BJ224" s="56"/>
      <c r="BK224" s="56"/>
      <c r="BL224" s="56"/>
      <c r="BM224" s="56"/>
      <c r="BN224" s="56"/>
      <c r="BO224" s="56"/>
      <c r="BP224" s="56"/>
      <c r="BQ224" s="56"/>
      <c r="BR224" s="56"/>
      <c r="BS224" s="56"/>
      <c r="BT224" s="60"/>
      <c r="BU224" s="56"/>
      <c r="BV224" s="56"/>
      <c r="BW224" s="56"/>
      <c r="BX224" s="56"/>
      <c r="BY224" s="56"/>
      <c r="BZ224" s="56"/>
      <c r="CA224" s="56"/>
      <c r="CB224" s="56"/>
      <c r="CC224" s="56"/>
      <c r="CD224" s="56"/>
      <c r="CE224" s="56"/>
      <c r="CF224" s="56"/>
      <c r="CG224" s="56"/>
      <c r="CH224" s="56"/>
      <c r="CI224" s="56"/>
      <c r="CJ224" s="60"/>
      <c r="CK224" s="56"/>
      <c r="CL224" s="56"/>
      <c r="CM224" s="56"/>
      <c r="CN224" s="56"/>
      <c r="CO224" s="56"/>
      <c r="CP224" s="56"/>
      <c r="CQ224" s="56"/>
      <c r="CR224" s="56"/>
      <c r="CS224" s="56"/>
      <c r="CT224" s="56"/>
      <c r="CU224" s="56"/>
      <c r="CV224" s="56"/>
      <c r="CW224" s="56"/>
      <c r="CX224" s="60"/>
      <c r="CY224" s="56"/>
      <c r="CZ224" s="56"/>
      <c r="DA224" s="56"/>
      <c r="DB224" s="56"/>
      <c r="DC224" s="56"/>
      <c r="DD224" s="56"/>
      <c r="DE224" s="56"/>
      <c r="DF224" s="56"/>
      <c r="DG224" s="56"/>
      <c r="DH224" s="56"/>
      <c r="DI224" s="56"/>
      <c r="DJ224" s="56"/>
      <c r="DK224" s="60"/>
      <c r="DL224" s="60"/>
      <c r="DM224" s="56"/>
      <c r="DN224" s="56"/>
      <c r="DO224" s="56"/>
      <c r="DP224" s="56"/>
      <c r="DQ224" s="56"/>
      <c r="DR224" s="56"/>
      <c r="DS224" s="56"/>
      <c r="DT224" s="56"/>
      <c r="DU224" s="56"/>
      <c r="DV224" s="56"/>
      <c r="DW224" s="56"/>
      <c r="DX224" s="56"/>
      <c r="DY224" s="56"/>
      <c r="DZ224" s="56"/>
      <c r="EA224" s="56"/>
      <c r="EB224" s="56"/>
      <c r="EC224" s="56"/>
      <c r="ED224" s="56"/>
      <c r="EE224" s="56"/>
      <c r="EF224" s="56"/>
    </row>
    <row r="225" spans="44:136" s="80" customFormat="1">
      <c r="AR225" s="118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/>
      <c r="BS225" s="56"/>
      <c r="BT225" s="60"/>
      <c r="BU225" s="56"/>
      <c r="BV225" s="56"/>
      <c r="BW225" s="56"/>
      <c r="BX225" s="56"/>
      <c r="BY225" s="56"/>
      <c r="BZ225" s="56"/>
      <c r="CA225" s="56"/>
      <c r="CB225" s="56"/>
      <c r="CC225" s="56"/>
      <c r="CD225" s="56"/>
      <c r="CE225" s="56"/>
      <c r="CF225" s="56"/>
      <c r="CG225" s="56"/>
      <c r="CH225" s="56"/>
      <c r="CI225" s="56"/>
      <c r="CJ225" s="60"/>
      <c r="CK225" s="56"/>
      <c r="CL225" s="56"/>
      <c r="CM225" s="56"/>
      <c r="CN225" s="56"/>
      <c r="CO225" s="56"/>
      <c r="CP225" s="56"/>
      <c r="CQ225" s="56"/>
      <c r="CR225" s="56"/>
      <c r="CS225" s="56"/>
      <c r="CT225" s="56"/>
      <c r="CU225" s="56"/>
      <c r="CV225" s="56"/>
      <c r="CW225" s="56"/>
      <c r="CX225" s="60"/>
      <c r="CY225" s="56"/>
      <c r="CZ225" s="56"/>
      <c r="DA225" s="56"/>
      <c r="DB225" s="56"/>
      <c r="DC225" s="56"/>
      <c r="DD225" s="56"/>
      <c r="DE225" s="56"/>
      <c r="DF225" s="56"/>
      <c r="DG225" s="56"/>
      <c r="DH225" s="56"/>
      <c r="DI225" s="56"/>
      <c r="DJ225" s="56"/>
      <c r="DK225" s="60"/>
      <c r="DL225" s="60"/>
      <c r="DM225" s="56"/>
      <c r="DN225" s="56"/>
      <c r="DO225" s="56"/>
      <c r="DP225" s="56"/>
      <c r="DQ225" s="56"/>
      <c r="DR225" s="56"/>
      <c r="DS225" s="56"/>
      <c r="DT225" s="56"/>
      <c r="DU225" s="56"/>
      <c r="DV225" s="56"/>
      <c r="DW225" s="56"/>
      <c r="DX225" s="56"/>
      <c r="DY225" s="56"/>
      <c r="DZ225" s="56"/>
      <c r="EA225" s="56"/>
      <c r="EB225" s="56"/>
      <c r="EC225" s="56"/>
      <c r="ED225" s="56"/>
      <c r="EE225" s="56"/>
      <c r="EF225" s="56"/>
    </row>
    <row r="226" spans="44:136" s="80" customFormat="1">
      <c r="AR226" s="118"/>
      <c r="BD226" s="56"/>
      <c r="BE226" s="56"/>
      <c r="BF226" s="56"/>
      <c r="BG226" s="56"/>
      <c r="BH226" s="56"/>
      <c r="BI226" s="56"/>
      <c r="BJ226" s="56"/>
      <c r="BK226" s="56"/>
      <c r="BL226" s="56"/>
      <c r="BM226" s="56"/>
      <c r="BN226" s="56"/>
      <c r="BO226" s="56"/>
      <c r="BP226" s="56"/>
      <c r="BQ226" s="56"/>
      <c r="BR226" s="56"/>
      <c r="BS226" s="56"/>
      <c r="BT226" s="60"/>
      <c r="BU226" s="56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  <c r="CG226" s="56"/>
      <c r="CH226" s="56"/>
      <c r="CI226" s="56"/>
      <c r="CJ226" s="60"/>
      <c r="CK226" s="56"/>
      <c r="CL226" s="56"/>
      <c r="CM226" s="56"/>
      <c r="CN226" s="56"/>
      <c r="CO226" s="56"/>
      <c r="CP226" s="56"/>
      <c r="CQ226" s="56"/>
      <c r="CR226" s="56"/>
      <c r="CS226" s="56"/>
      <c r="CT226" s="56"/>
      <c r="CU226" s="56"/>
      <c r="CV226" s="56"/>
      <c r="CW226" s="56"/>
      <c r="CX226" s="60"/>
      <c r="CY226" s="56"/>
      <c r="CZ226" s="56"/>
      <c r="DA226" s="56"/>
      <c r="DB226" s="56"/>
      <c r="DC226" s="56"/>
      <c r="DD226" s="56"/>
      <c r="DE226" s="56"/>
      <c r="DF226" s="56"/>
      <c r="DG226" s="56"/>
      <c r="DH226" s="56"/>
      <c r="DI226" s="56"/>
      <c r="DJ226" s="56"/>
      <c r="DK226" s="60"/>
      <c r="DL226" s="60"/>
      <c r="DM226" s="56"/>
      <c r="DN226" s="56"/>
      <c r="DO226" s="56"/>
      <c r="DP226" s="56"/>
      <c r="DQ226" s="56"/>
      <c r="DR226" s="56"/>
      <c r="DS226" s="56"/>
      <c r="DT226" s="56"/>
      <c r="DU226" s="56"/>
      <c r="DV226" s="56"/>
      <c r="DW226" s="56"/>
      <c r="DX226" s="56"/>
      <c r="DY226" s="56"/>
      <c r="DZ226" s="56"/>
      <c r="EA226" s="56"/>
      <c r="EB226" s="56"/>
      <c r="EC226" s="56"/>
      <c r="ED226" s="56"/>
      <c r="EE226" s="56"/>
      <c r="EF226" s="56"/>
    </row>
    <row r="227" spans="44:136" s="80" customFormat="1">
      <c r="AR227" s="118"/>
      <c r="BD227" s="56"/>
      <c r="BE227" s="56"/>
      <c r="BF227" s="56"/>
      <c r="BG227" s="56"/>
      <c r="BH227" s="56"/>
      <c r="BI227" s="56"/>
      <c r="BJ227" s="56"/>
      <c r="BK227" s="56"/>
      <c r="BL227" s="56"/>
      <c r="BM227" s="56"/>
      <c r="BN227" s="56"/>
      <c r="BO227" s="56"/>
      <c r="BP227" s="56"/>
      <c r="BQ227" s="56"/>
      <c r="BR227" s="56"/>
      <c r="BS227" s="56"/>
      <c r="BT227" s="60"/>
      <c r="BU227" s="56"/>
      <c r="BV227" s="56"/>
      <c r="BW227" s="56"/>
      <c r="BX227" s="56"/>
      <c r="BY227" s="56"/>
      <c r="BZ227" s="56"/>
      <c r="CA227" s="56"/>
      <c r="CB227" s="56"/>
      <c r="CC227" s="56"/>
      <c r="CD227" s="56"/>
      <c r="CE227" s="56"/>
      <c r="CF227" s="56"/>
      <c r="CG227" s="56"/>
      <c r="CH227" s="56"/>
      <c r="CI227" s="56"/>
      <c r="CJ227" s="60"/>
      <c r="CK227" s="56"/>
      <c r="CL227" s="56"/>
      <c r="CM227" s="56"/>
      <c r="CN227" s="56"/>
      <c r="CO227" s="56"/>
      <c r="CP227" s="56"/>
      <c r="CQ227" s="56"/>
      <c r="CR227" s="56"/>
      <c r="CS227" s="56"/>
      <c r="CT227" s="56"/>
      <c r="CU227" s="56"/>
      <c r="CV227" s="56"/>
      <c r="CW227" s="56"/>
      <c r="CX227" s="60"/>
      <c r="CY227" s="56"/>
      <c r="CZ227" s="56"/>
      <c r="DA227" s="56"/>
      <c r="DB227" s="56"/>
      <c r="DC227" s="56"/>
      <c r="DD227" s="56"/>
      <c r="DE227" s="56"/>
      <c r="DF227" s="56"/>
      <c r="DG227" s="56"/>
      <c r="DH227" s="56"/>
      <c r="DI227" s="56"/>
      <c r="DJ227" s="56"/>
      <c r="DK227" s="60"/>
      <c r="DL227" s="60"/>
      <c r="DM227" s="56"/>
      <c r="DN227" s="56"/>
      <c r="DO227" s="56"/>
      <c r="DP227" s="56"/>
      <c r="DQ227" s="56"/>
      <c r="DR227" s="56"/>
      <c r="DS227" s="56"/>
      <c r="DT227" s="56"/>
      <c r="DU227" s="56"/>
      <c r="DV227" s="56"/>
      <c r="DW227" s="56"/>
      <c r="DX227" s="56"/>
      <c r="DY227" s="56"/>
      <c r="DZ227" s="56"/>
      <c r="EA227" s="56"/>
      <c r="EB227" s="56"/>
      <c r="EC227" s="56"/>
      <c r="ED227" s="56"/>
      <c r="EE227" s="56"/>
      <c r="EF227" s="56"/>
    </row>
    <row r="228" spans="44:136" s="80" customFormat="1">
      <c r="AR228" s="118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60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  <c r="CI228" s="56"/>
      <c r="CJ228" s="60"/>
      <c r="CK228" s="56"/>
      <c r="CL228" s="56"/>
      <c r="CM228" s="56"/>
      <c r="CN228" s="56"/>
      <c r="CO228" s="56"/>
      <c r="CP228" s="56"/>
      <c r="CQ228" s="56"/>
      <c r="CR228" s="56"/>
      <c r="CS228" s="56"/>
      <c r="CT228" s="56"/>
      <c r="CU228" s="56"/>
      <c r="CV228" s="56"/>
      <c r="CW228" s="56"/>
      <c r="CX228" s="60"/>
      <c r="CY228" s="56"/>
      <c r="CZ228" s="56"/>
      <c r="DA228" s="56"/>
      <c r="DB228" s="56"/>
      <c r="DC228" s="56"/>
      <c r="DD228" s="56"/>
      <c r="DE228" s="56"/>
      <c r="DF228" s="56"/>
      <c r="DG228" s="56"/>
      <c r="DH228" s="56"/>
      <c r="DI228" s="56"/>
      <c r="DJ228" s="56"/>
      <c r="DK228" s="60"/>
      <c r="DL228" s="60"/>
      <c r="DM228" s="56"/>
      <c r="DN228" s="56"/>
      <c r="DO228" s="56"/>
      <c r="DP228" s="56"/>
      <c r="DQ228" s="56"/>
      <c r="DR228" s="56"/>
      <c r="DS228" s="56"/>
      <c r="DT228" s="56"/>
      <c r="DU228" s="56"/>
      <c r="DV228" s="56"/>
      <c r="DW228" s="56"/>
      <c r="DX228" s="56"/>
      <c r="DY228" s="56"/>
      <c r="DZ228" s="56"/>
      <c r="EA228" s="56"/>
      <c r="EB228" s="56"/>
      <c r="EC228" s="56"/>
      <c r="ED228" s="56"/>
      <c r="EE228" s="56"/>
      <c r="EF228" s="56"/>
    </row>
    <row r="229" spans="44:136" s="80" customFormat="1">
      <c r="AR229" s="118"/>
      <c r="BD229" s="56"/>
      <c r="BE229" s="56"/>
      <c r="BF229" s="56"/>
      <c r="BG229" s="56"/>
      <c r="BH229" s="56"/>
      <c r="BI229" s="56"/>
      <c r="BJ229" s="56"/>
      <c r="BK229" s="56"/>
      <c r="BL229" s="56"/>
      <c r="BM229" s="56"/>
      <c r="BN229" s="56"/>
      <c r="BO229" s="56"/>
      <c r="BP229" s="56"/>
      <c r="BQ229" s="56"/>
      <c r="BR229" s="56"/>
      <c r="BS229" s="56"/>
      <c r="BT229" s="60"/>
      <c r="BU229" s="56"/>
      <c r="BV229" s="56"/>
      <c r="BW229" s="56"/>
      <c r="BX229" s="56"/>
      <c r="BY229" s="56"/>
      <c r="BZ229" s="56"/>
      <c r="CA229" s="56"/>
      <c r="CB229" s="56"/>
      <c r="CC229" s="56"/>
      <c r="CD229" s="56"/>
      <c r="CE229" s="56"/>
      <c r="CF229" s="56"/>
      <c r="CG229" s="56"/>
      <c r="CH229" s="56"/>
      <c r="CI229" s="56"/>
      <c r="CJ229" s="60"/>
      <c r="CK229" s="56"/>
      <c r="CL229" s="56"/>
      <c r="CM229" s="56"/>
      <c r="CN229" s="56"/>
      <c r="CO229" s="56"/>
      <c r="CP229" s="56"/>
      <c r="CQ229" s="56"/>
      <c r="CR229" s="56"/>
      <c r="CS229" s="56"/>
      <c r="CT229" s="56"/>
      <c r="CU229" s="56"/>
      <c r="CV229" s="56"/>
      <c r="CW229" s="56"/>
      <c r="CX229" s="60"/>
      <c r="CY229" s="56"/>
      <c r="CZ229" s="56"/>
      <c r="DA229" s="56"/>
      <c r="DB229" s="56"/>
      <c r="DC229" s="56"/>
      <c r="DD229" s="56"/>
      <c r="DE229" s="56"/>
      <c r="DF229" s="56"/>
      <c r="DG229" s="56"/>
      <c r="DH229" s="56"/>
      <c r="DI229" s="56"/>
      <c r="DJ229" s="56"/>
      <c r="DK229" s="60"/>
      <c r="DL229" s="60"/>
      <c r="DM229" s="56"/>
      <c r="DN229" s="56"/>
      <c r="DO229" s="56"/>
      <c r="DP229" s="56"/>
      <c r="DQ229" s="56"/>
      <c r="DR229" s="56"/>
      <c r="DS229" s="56"/>
      <c r="DT229" s="56"/>
      <c r="DU229" s="56"/>
      <c r="DV229" s="56"/>
      <c r="DW229" s="56"/>
      <c r="DX229" s="56"/>
      <c r="DY229" s="56"/>
      <c r="DZ229" s="56"/>
      <c r="EA229" s="56"/>
      <c r="EB229" s="56"/>
      <c r="EC229" s="56"/>
      <c r="ED229" s="56"/>
      <c r="EE229" s="56"/>
      <c r="EF229" s="56"/>
    </row>
    <row r="230" spans="44:136" s="80" customFormat="1">
      <c r="AR230" s="118"/>
      <c r="BD230" s="56"/>
      <c r="BE230" s="56"/>
      <c r="BF230" s="56"/>
      <c r="BG230" s="56"/>
      <c r="BH230" s="56"/>
      <c r="BI230" s="56"/>
      <c r="BJ230" s="56"/>
      <c r="BK230" s="56"/>
      <c r="BL230" s="56"/>
      <c r="BM230" s="56"/>
      <c r="BN230" s="56"/>
      <c r="BO230" s="56"/>
      <c r="BP230" s="56"/>
      <c r="BQ230" s="56"/>
      <c r="BR230" s="56"/>
      <c r="BS230" s="56"/>
      <c r="BT230" s="60"/>
      <c r="BU230" s="56"/>
      <c r="BV230" s="56"/>
      <c r="BW230" s="56"/>
      <c r="BX230" s="56"/>
      <c r="BY230" s="56"/>
      <c r="BZ230" s="56"/>
      <c r="CA230" s="56"/>
      <c r="CB230" s="56"/>
      <c r="CC230" s="56"/>
      <c r="CD230" s="56"/>
      <c r="CE230" s="56"/>
      <c r="CF230" s="56"/>
      <c r="CG230" s="56"/>
      <c r="CH230" s="56"/>
      <c r="CI230" s="56"/>
      <c r="CJ230" s="60"/>
      <c r="CK230" s="56"/>
      <c r="CL230" s="56"/>
      <c r="CM230" s="56"/>
      <c r="CN230" s="56"/>
      <c r="CO230" s="56"/>
      <c r="CP230" s="56"/>
      <c r="CQ230" s="56"/>
      <c r="CR230" s="56"/>
      <c r="CS230" s="56"/>
      <c r="CT230" s="56"/>
      <c r="CU230" s="56"/>
      <c r="CV230" s="56"/>
      <c r="CW230" s="56"/>
      <c r="CX230" s="60"/>
      <c r="CY230" s="56"/>
      <c r="CZ230" s="56"/>
      <c r="DA230" s="56"/>
      <c r="DB230" s="56"/>
      <c r="DC230" s="56"/>
      <c r="DD230" s="56"/>
      <c r="DE230" s="56"/>
      <c r="DF230" s="56"/>
      <c r="DG230" s="56"/>
      <c r="DH230" s="56"/>
      <c r="DI230" s="56"/>
      <c r="DJ230" s="56"/>
      <c r="DK230" s="60"/>
      <c r="DL230" s="60"/>
      <c r="DM230" s="56"/>
      <c r="DN230" s="56"/>
      <c r="DO230" s="56"/>
      <c r="DP230" s="56"/>
      <c r="DQ230" s="56"/>
      <c r="DR230" s="56"/>
      <c r="DS230" s="56"/>
      <c r="DT230" s="56"/>
      <c r="DU230" s="56"/>
      <c r="DV230" s="56"/>
      <c r="DW230" s="56"/>
      <c r="DX230" s="56"/>
      <c r="DY230" s="56"/>
      <c r="DZ230" s="56"/>
      <c r="EA230" s="56"/>
      <c r="EB230" s="56"/>
      <c r="EC230" s="56"/>
      <c r="ED230" s="56"/>
      <c r="EE230" s="56"/>
      <c r="EF230" s="56"/>
    </row>
    <row r="231" spans="44:136" s="80" customFormat="1">
      <c r="AR231" s="118"/>
      <c r="BD231" s="56"/>
      <c r="BE231" s="56"/>
      <c r="BF231" s="56"/>
      <c r="BG231" s="56"/>
      <c r="BH231" s="56"/>
      <c r="BI231" s="56"/>
      <c r="BJ231" s="56"/>
      <c r="BK231" s="56"/>
      <c r="BL231" s="56"/>
      <c r="BM231" s="56"/>
      <c r="BN231" s="56"/>
      <c r="BO231" s="56"/>
      <c r="BP231" s="56"/>
      <c r="BQ231" s="56"/>
      <c r="BR231" s="56"/>
      <c r="BS231" s="56"/>
      <c r="BT231" s="60"/>
      <c r="BU231" s="56"/>
      <c r="BV231" s="56"/>
      <c r="BW231" s="56"/>
      <c r="BX231" s="56"/>
      <c r="BY231" s="56"/>
      <c r="BZ231" s="56"/>
      <c r="CA231" s="56"/>
      <c r="CB231" s="56"/>
      <c r="CC231" s="56"/>
      <c r="CD231" s="56"/>
      <c r="CE231" s="56"/>
      <c r="CF231" s="56"/>
      <c r="CG231" s="56"/>
      <c r="CH231" s="56"/>
      <c r="CI231" s="56"/>
      <c r="CJ231" s="60"/>
      <c r="CK231" s="56"/>
      <c r="CL231" s="56"/>
      <c r="CM231" s="56"/>
      <c r="CN231" s="56"/>
      <c r="CO231" s="56"/>
      <c r="CP231" s="56"/>
      <c r="CQ231" s="56"/>
      <c r="CR231" s="56"/>
      <c r="CS231" s="56"/>
      <c r="CT231" s="56"/>
      <c r="CU231" s="56"/>
      <c r="CV231" s="56"/>
      <c r="CW231" s="56"/>
      <c r="CX231" s="60"/>
      <c r="CY231" s="56"/>
      <c r="CZ231" s="56"/>
      <c r="DA231" s="56"/>
      <c r="DB231" s="56"/>
      <c r="DC231" s="56"/>
      <c r="DD231" s="56"/>
      <c r="DE231" s="56"/>
      <c r="DF231" s="56"/>
      <c r="DG231" s="56"/>
      <c r="DH231" s="56"/>
      <c r="DI231" s="56"/>
      <c r="DJ231" s="56"/>
      <c r="DK231" s="60"/>
      <c r="DL231" s="60"/>
      <c r="DM231" s="56"/>
      <c r="DN231" s="56"/>
      <c r="DO231" s="56"/>
      <c r="DP231" s="56"/>
      <c r="DQ231" s="56"/>
      <c r="DR231" s="56"/>
      <c r="DS231" s="56"/>
      <c r="DT231" s="56"/>
      <c r="DU231" s="56"/>
      <c r="DV231" s="56"/>
      <c r="DW231" s="56"/>
      <c r="DX231" s="56"/>
      <c r="DY231" s="56"/>
      <c r="DZ231" s="56"/>
      <c r="EA231" s="56"/>
      <c r="EB231" s="56"/>
      <c r="EC231" s="56"/>
      <c r="ED231" s="56"/>
      <c r="EE231" s="56"/>
      <c r="EF231" s="56"/>
    </row>
    <row r="232" spans="44:136" s="80" customFormat="1">
      <c r="AR232" s="118"/>
      <c r="BD232" s="56"/>
      <c r="BE232" s="56"/>
      <c r="BF232" s="56"/>
      <c r="BG232" s="56"/>
      <c r="BH232" s="56"/>
      <c r="BI232" s="56"/>
      <c r="BJ232" s="56"/>
      <c r="BK232" s="56"/>
      <c r="BL232" s="56"/>
      <c r="BM232" s="56"/>
      <c r="BN232" s="56"/>
      <c r="BO232" s="56"/>
      <c r="BP232" s="56"/>
      <c r="BQ232" s="56"/>
      <c r="BR232" s="56"/>
      <c r="BS232" s="56"/>
      <c r="BT232" s="60"/>
      <c r="BU232" s="56"/>
      <c r="BV232" s="56"/>
      <c r="BW232" s="56"/>
      <c r="BX232" s="56"/>
      <c r="BY232" s="56"/>
      <c r="BZ232" s="56"/>
      <c r="CA232" s="56"/>
      <c r="CB232" s="56"/>
      <c r="CC232" s="56"/>
      <c r="CD232" s="56"/>
      <c r="CE232" s="56"/>
      <c r="CF232" s="56"/>
      <c r="CG232" s="56"/>
      <c r="CH232" s="56"/>
      <c r="CI232" s="56"/>
      <c r="CJ232" s="60"/>
      <c r="CK232" s="56"/>
      <c r="CL232" s="56"/>
      <c r="CM232" s="56"/>
      <c r="CN232" s="56"/>
      <c r="CO232" s="56"/>
      <c r="CP232" s="56"/>
      <c r="CQ232" s="56"/>
      <c r="CR232" s="56"/>
      <c r="CS232" s="56"/>
      <c r="CT232" s="56"/>
      <c r="CU232" s="56"/>
      <c r="CV232" s="56"/>
      <c r="CW232" s="56"/>
      <c r="CX232" s="60"/>
      <c r="CY232" s="56"/>
      <c r="CZ232" s="56"/>
      <c r="DA232" s="56"/>
      <c r="DB232" s="56"/>
      <c r="DC232" s="56"/>
      <c r="DD232" s="56"/>
      <c r="DE232" s="56"/>
      <c r="DF232" s="56"/>
      <c r="DG232" s="56"/>
      <c r="DH232" s="56"/>
      <c r="DI232" s="56"/>
      <c r="DJ232" s="56"/>
      <c r="DK232" s="60"/>
      <c r="DL232" s="60"/>
      <c r="DM232" s="56"/>
      <c r="DN232" s="56"/>
      <c r="DO232" s="56"/>
      <c r="DP232" s="56"/>
      <c r="DQ232" s="56"/>
      <c r="DR232" s="56"/>
      <c r="DS232" s="56"/>
      <c r="DT232" s="56"/>
      <c r="DU232" s="56"/>
      <c r="DV232" s="56"/>
      <c r="DW232" s="56"/>
      <c r="DX232" s="56"/>
      <c r="DY232" s="56"/>
      <c r="DZ232" s="56"/>
      <c r="EA232" s="56"/>
      <c r="EB232" s="56"/>
      <c r="EC232" s="56"/>
      <c r="ED232" s="56"/>
      <c r="EE232" s="56"/>
      <c r="EF232" s="56"/>
    </row>
    <row r="233" spans="44:136" s="80" customFormat="1">
      <c r="AR233" s="118"/>
      <c r="BD233" s="56"/>
      <c r="BE233" s="56"/>
      <c r="BF233" s="56"/>
      <c r="BG233" s="56"/>
      <c r="BH233" s="56"/>
      <c r="BI233" s="56"/>
      <c r="BJ233" s="56"/>
      <c r="BK233" s="56"/>
      <c r="BL233" s="56"/>
      <c r="BM233" s="56"/>
      <c r="BN233" s="56"/>
      <c r="BO233" s="56"/>
      <c r="BP233" s="56"/>
      <c r="BQ233" s="56"/>
      <c r="BR233" s="56"/>
      <c r="BS233" s="56"/>
      <c r="BT233" s="60"/>
      <c r="BU233" s="56"/>
      <c r="BV233" s="56"/>
      <c r="BW233" s="56"/>
      <c r="BX233" s="56"/>
      <c r="BY233" s="56"/>
      <c r="BZ233" s="56"/>
      <c r="CA233" s="56"/>
      <c r="CB233" s="56"/>
      <c r="CC233" s="56"/>
      <c r="CD233" s="56"/>
      <c r="CE233" s="56"/>
      <c r="CF233" s="56"/>
      <c r="CG233" s="56"/>
      <c r="CH233" s="56"/>
      <c r="CI233" s="56"/>
      <c r="CJ233" s="60"/>
      <c r="CK233" s="56"/>
      <c r="CL233" s="56"/>
      <c r="CM233" s="56"/>
      <c r="CN233" s="56"/>
      <c r="CO233" s="56"/>
      <c r="CP233" s="56"/>
      <c r="CQ233" s="56"/>
      <c r="CR233" s="56"/>
      <c r="CS233" s="56"/>
      <c r="CT233" s="56"/>
      <c r="CU233" s="56"/>
      <c r="CV233" s="56"/>
      <c r="CW233" s="56"/>
      <c r="CX233" s="60"/>
      <c r="CY233" s="56"/>
      <c r="CZ233" s="56"/>
      <c r="DA233" s="56"/>
      <c r="DB233" s="56"/>
      <c r="DC233" s="56"/>
      <c r="DD233" s="56"/>
      <c r="DE233" s="56"/>
      <c r="DF233" s="56"/>
      <c r="DG233" s="56"/>
      <c r="DH233" s="56"/>
      <c r="DI233" s="56"/>
      <c r="DJ233" s="56"/>
      <c r="DK233" s="60"/>
      <c r="DL233" s="60"/>
      <c r="DM233" s="56"/>
      <c r="DN233" s="56"/>
      <c r="DO233" s="56"/>
      <c r="DP233" s="56"/>
      <c r="DQ233" s="56"/>
      <c r="DR233" s="56"/>
      <c r="DS233" s="56"/>
      <c r="DT233" s="56"/>
      <c r="DU233" s="56"/>
      <c r="DV233" s="56"/>
      <c r="DW233" s="56"/>
      <c r="DX233" s="56"/>
      <c r="DY233" s="56"/>
      <c r="DZ233" s="56"/>
      <c r="EA233" s="56"/>
      <c r="EB233" s="56"/>
      <c r="EC233" s="56"/>
      <c r="ED233" s="56"/>
      <c r="EE233" s="56"/>
      <c r="EF233" s="56"/>
    </row>
    <row r="234" spans="44:136" s="80" customFormat="1">
      <c r="AR234" s="118"/>
      <c r="BD234" s="56"/>
      <c r="BE234" s="56"/>
      <c r="BF234" s="56"/>
      <c r="BG234" s="56"/>
      <c r="BH234" s="56"/>
      <c r="BI234" s="56"/>
      <c r="BJ234" s="56"/>
      <c r="BK234" s="56"/>
      <c r="BL234" s="56"/>
      <c r="BM234" s="56"/>
      <c r="BN234" s="56"/>
      <c r="BO234" s="56"/>
      <c r="BP234" s="56"/>
      <c r="BQ234" s="56"/>
      <c r="BR234" s="56"/>
      <c r="BS234" s="56"/>
      <c r="BT234" s="60"/>
      <c r="BU234" s="56"/>
      <c r="BV234" s="56"/>
      <c r="BW234" s="56"/>
      <c r="BX234" s="56"/>
      <c r="BY234" s="56"/>
      <c r="BZ234" s="56"/>
      <c r="CA234" s="56"/>
      <c r="CB234" s="56"/>
      <c r="CC234" s="56"/>
      <c r="CD234" s="56"/>
      <c r="CE234" s="56"/>
      <c r="CF234" s="56"/>
      <c r="CG234" s="56"/>
      <c r="CH234" s="56"/>
      <c r="CI234" s="56"/>
      <c r="CJ234" s="60"/>
      <c r="CK234" s="56"/>
      <c r="CL234" s="56"/>
      <c r="CM234" s="56"/>
      <c r="CN234" s="56"/>
      <c r="CO234" s="56"/>
      <c r="CP234" s="56"/>
      <c r="CQ234" s="56"/>
      <c r="CR234" s="56"/>
      <c r="CS234" s="56"/>
      <c r="CT234" s="56"/>
      <c r="CU234" s="56"/>
      <c r="CV234" s="56"/>
      <c r="CW234" s="56"/>
      <c r="CX234" s="60"/>
      <c r="CY234" s="56"/>
      <c r="CZ234" s="56"/>
      <c r="DA234" s="56"/>
      <c r="DB234" s="56"/>
      <c r="DC234" s="56"/>
      <c r="DD234" s="56"/>
      <c r="DE234" s="56"/>
      <c r="DF234" s="56"/>
      <c r="DG234" s="56"/>
      <c r="DH234" s="56"/>
      <c r="DI234" s="56"/>
      <c r="DJ234" s="56"/>
      <c r="DK234" s="60"/>
      <c r="DL234" s="60"/>
      <c r="DM234" s="56"/>
      <c r="DN234" s="56"/>
      <c r="DO234" s="56"/>
      <c r="DP234" s="56"/>
      <c r="DQ234" s="56"/>
      <c r="DR234" s="56"/>
      <c r="DS234" s="56"/>
      <c r="DT234" s="56"/>
      <c r="DU234" s="56"/>
      <c r="DV234" s="56"/>
      <c r="DW234" s="56"/>
      <c r="DX234" s="56"/>
      <c r="DY234" s="56"/>
      <c r="DZ234" s="56"/>
      <c r="EA234" s="56"/>
      <c r="EB234" s="56"/>
      <c r="EC234" s="56"/>
      <c r="ED234" s="56"/>
      <c r="EE234" s="56"/>
      <c r="EF234" s="56"/>
    </row>
    <row r="235" spans="44:136" s="80" customFormat="1">
      <c r="AR235" s="118"/>
      <c r="BD235" s="56"/>
      <c r="BE235" s="56"/>
      <c r="BF235" s="56"/>
      <c r="BG235" s="56"/>
      <c r="BH235" s="56"/>
      <c r="BI235" s="56"/>
      <c r="BJ235" s="56"/>
      <c r="BK235" s="56"/>
      <c r="BL235" s="56"/>
      <c r="BM235" s="56"/>
      <c r="BN235" s="56"/>
      <c r="BO235" s="56"/>
      <c r="BP235" s="56"/>
      <c r="BQ235" s="56"/>
      <c r="BR235" s="56"/>
      <c r="BS235" s="56"/>
      <c r="BT235" s="60"/>
      <c r="BU235" s="56"/>
      <c r="BV235" s="56"/>
      <c r="BW235" s="56"/>
      <c r="BX235" s="56"/>
      <c r="BY235" s="56"/>
      <c r="BZ235" s="56"/>
      <c r="CA235" s="56"/>
      <c r="CB235" s="56"/>
      <c r="CC235" s="56"/>
      <c r="CD235" s="56"/>
      <c r="CE235" s="56"/>
      <c r="CF235" s="56"/>
      <c r="CG235" s="56"/>
      <c r="CH235" s="56"/>
      <c r="CI235" s="56"/>
      <c r="CJ235" s="60"/>
      <c r="CK235" s="56"/>
      <c r="CL235" s="56"/>
      <c r="CM235" s="56"/>
      <c r="CN235" s="56"/>
      <c r="CO235" s="56"/>
      <c r="CP235" s="56"/>
      <c r="CQ235" s="56"/>
      <c r="CR235" s="56"/>
      <c r="CS235" s="56"/>
      <c r="CT235" s="56"/>
      <c r="CU235" s="56"/>
      <c r="CV235" s="56"/>
      <c r="CW235" s="56"/>
      <c r="CX235" s="60"/>
      <c r="CY235" s="56"/>
      <c r="CZ235" s="56"/>
      <c r="DA235" s="56"/>
      <c r="DB235" s="56"/>
      <c r="DC235" s="56"/>
      <c r="DD235" s="56"/>
      <c r="DE235" s="56"/>
      <c r="DF235" s="56"/>
      <c r="DG235" s="56"/>
      <c r="DH235" s="56"/>
      <c r="DI235" s="56"/>
      <c r="DJ235" s="56"/>
      <c r="DK235" s="60"/>
      <c r="DL235" s="60"/>
      <c r="DM235" s="56"/>
      <c r="DN235" s="56"/>
      <c r="DO235" s="56"/>
      <c r="DP235" s="56"/>
      <c r="DQ235" s="56"/>
      <c r="DR235" s="56"/>
      <c r="DS235" s="56"/>
      <c r="DT235" s="56"/>
      <c r="DU235" s="56"/>
      <c r="DV235" s="56"/>
      <c r="DW235" s="56"/>
      <c r="DX235" s="56"/>
      <c r="DY235" s="56"/>
      <c r="DZ235" s="56"/>
      <c r="EA235" s="56"/>
      <c r="EB235" s="56"/>
      <c r="EC235" s="56"/>
      <c r="ED235" s="56"/>
      <c r="EE235" s="56"/>
      <c r="EF235" s="56"/>
    </row>
    <row r="236" spans="44:136" s="80" customFormat="1">
      <c r="AR236" s="118"/>
      <c r="BD236" s="56"/>
      <c r="BE236" s="56"/>
      <c r="BF236" s="56"/>
      <c r="BG236" s="56"/>
      <c r="BH236" s="56"/>
      <c r="BI236" s="56"/>
      <c r="BJ236" s="56"/>
      <c r="BK236" s="56"/>
      <c r="BL236" s="56"/>
      <c r="BM236" s="56"/>
      <c r="BN236" s="56"/>
      <c r="BO236" s="56"/>
      <c r="BP236" s="56"/>
      <c r="BQ236" s="56"/>
      <c r="BR236" s="56"/>
      <c r="BS236" s="56"/>
      <c r="BT236" s="60"/>
      <c r="BU236" s="56"/>
      <c r="BV236" s="56"/>
      <c r="BW236" s="56"/>
      <c r="BX236" s="56"/>
      <c r="BY236" s="56"/>
      <c r="BZ236" s="56"/>
      <c r="CA236" s="56"/>
      <c r="CB236" s="56"/>
      <c r="CC236" s="56"/>
      <c r="CD236" s="56"/>
      <c r="CE236" s="56"/>
      <c r="CF236" s="56"/>
      <c r="CG236" s="56"/>
      <c r="CH236" s="56"/>
      <c r="CI236" s="56"/>
      <c r="CJ236" s="60"/>
      <c r="CK236" s="56"/>
      <c r="CL236" s="56"/>
      <c r="CM236" s="56"/>
      <c r="CN236" s="56"/>
      <c r="CO236" s="56"/>
      <c r="CP236" s="56"/>
      <c r="CQ236" s="56"/>
      <c r="CR236" s="56"/>
      <c r="CS236" s="56"/>
      <c r="CT236" s="56"/>
      <c r="CU236" s="56"/>
      <c r="CV236" s="56"/>
      <c r="CW236" s="56"/>
      <c r="CX236" s="60"/>
      <c r="CY236" s="56"/>
      <c r="CZ236" s="56"/>
      <c r="DA236" s="56"/>
      <c r="DB236" s="56"/>
      <c r="DC236" s="56"/>
      <c r="DD236" s="56"/>
      <c r="DE236" s="56"/>
      <c r="DF236" s="56"/>
      <c r="DG236" s="56"/>
      <c r="DH236" s="56"/>
      <c r="DI236" s="56"/>
      <c r="DJ236" s="56"/>
      <c r="DK236" s="60"/>
      <c r="DL236" s="60"/>
      <c r="DM236" s="56"/>
      <c r="DN236" s="56"/>
      <c r="DO236" s="56"/>
      <c r="DP236" s="56"/>
      <c r="DQ236" s="56"/>
      <c r="DR236" s="56"/>
      <c r="DS236" s="56"/>
      <c r="DT236" s="56"/>
      <c r="DU236" s="56"/>
      <c r="DV236" s="56"/>
      <c r="DW236" s="56"/>
      <c r="DX236" s="56"/>
      <c r="DY236" s="56"/>
      <c r="DZ236" s="56"/>
      <c r="EA236" s="56"/>
      <c r="EB236" s="56"/>
      <c r="EC236" s="56"/>
      <c r="ED236" s="56"/>
      <c r="EE236" s="56"/>
      <c r="EF236" s="56"/>
    </row>
    <row r="237" spans="44:136" s="80" customFormat="1">
      <c r="AR237" s="118"/>
      <c r="BD237" s="56"/>
      <c r="BE237" s="56"/>
      <c r="BF237" s="56"/>
      <c r="BG237" s="56"/>
      <c r="BH237" s="56"/>
      <c r="BI237" s="56"/>
      <c r="BJ237" s="56"/>
      <c r="BK237" s="56"/>
      <c r="BL237" s="56"/>
      <c r="BM237" s="56"/>
      <c r="BN237" s="56"/>
      <c r="BO237" s="56"/>
      <c r="BP237" s="56"/>
      <c r="BQ237" s="56"/>
      <c r="BR237" s="56"/>
      <c r="BS237" s="56"/>
      <c r="BT237" s="60"/>
      <c r="BU237" s="56"/>
      <c r="BV237" s="56"/>
      <c r="BW237" s="56"/>
      <c r="BX237" s="56"/>
      <c r="BY237" s="56"/>
      <c r="BZ237" s="56"/>
      <c r="CA237" s="56"/>
      <c r="CB237" s="56"/>
      <c r="CC237" s="56"/>
      <c r="CD237" s="56"/>
      <c r="CE237" s="56"/>
      <c r="CF237" s="56"/>
      <c r="CG237" s="56"/>
      <c r="CH237" s="56"/>
      <c r="CI237" s="56"/>
      <c r="CJ237" s="60"/>
      <c r="CK237" s="56"/>
      <c r="CL237" s="56"/>
      <c r="CM237" s="56"/>
      <c r="CN237" s="56"/>
      <c r="CO237" s="56"/>
      <c r="CP237" s="56"/>
      <c r="CQ237" s="56"/>
      <c r="CR237" s="56"/>
      <c r="CS237" s="56"/>
      <c r="CT237" s="56"/>
      <c r="CU237" s="56"/>
      <c r="CV237" s="56"/>
      <c r="CW237" s="56"/>
      <c r="CX237" s="60"/>
      <c r="CY237" s="56"/>
      <c r="CZ237" s="56"/>
      <c r="DA237" s="56"/>
      <c r="DB237" s="56"/>
      <c r="DC237" s="56"/>
      <c r="DD237" s="56"/>
      <c r="DE237" s="56"/>
      <c r="DF237" s="56"/>
      <c r="DG237" s="56"/>
      <c r="DH237" s="56"/>
      <c r="DI237" s="56"/>
      <c r="DJ237" s="56"/>
      <c r="DK237" s="60"/>
      <c r="DL237" s="60"/>
      <c r="DM237" s="56"/>
      <c r="DN237" s="56"/>
      <c r="DO237" s="56"/>
      <c r="DP237" s="56"/>
      <c r="DQ237" s="56"/>
      <c r="DR237" s="56"/>
      <c r="DS237" s="56"/>
      <c r="DT237" s="56"/>
      <c r="DU237" s="56"/>
      <c r="DV237" s="56"/>
      <c r="DW237" s="56"/>
      <c r="DX237" s="56"/>
      <c r="DY237" s="56"/>
      <c r="DZ237" s="56"/>
      <c r="EA237" s="56"/>
      <c r="EB237" s="56"/>
      <c r="EC237" s="56"/>
      <c r="ED237" s="56"/>
      <c r="EE237" s="56"/>
      <c r="EF237" s="56"/>
    </row>
    <row r="238" spans="44:136" s="80" customFormat="1">
      <c r="AR238" s="118"/>
      <c r="BD238" s="56"/>
      <c r="BE238" s="56"/>
      <c r="BF238" s="56"/>
      <c r="BG238" s="56"/>
      <c r="BH238" s="56"/>
      <c r="BI238" s="56"/>
      <c r="BJ238" s="56"/>
      <c r="BK238" s="56"/>
      <c r="BL238" s="56"/>
      <c r="BM238" s="56"/>
      <c r="BN238" s="56"/>
      <c r="BO238" s="56"/>
      <c r="BP238" s="56"/>
      <c r="BQ238" s="56"/>
      <c r="BR238" s="56"/>
      <c r="BS238" s="56"/>
      <c r="BT238" s="60"/>
      <c r="BU238" s="56"/>
      <c r="BV238" s="56"/>
      <c r="BW238" s="56"/>
      <c r="BX238" s="56"/>
      <c r="BY238" s="56"/>
      <c r="BZ238" s="56"/>
      <c r="CA238" s="56"/>
      <c r="CB238" s="56"/>
      <c r="CC238" s="56"/>
      <c r="CD238" s="56"/>
      <c r="CE238" s="56"/>
      <c r="CF238" s="56"/>
      <c r="CG238" s="56"/>
      <c r="CH238" s="56"/>
      <c r="CI238" s="56"/>
      <c r="CJ238" s="60"/>
      <c r="CK238" s="56"/>
      <c r="CL238" s="56"/>
      <c r="CM238" s="56"/>
      <c r="CN238" s="56"/>
      <c r="CO238" s="56"/>
      <c r="CP238" s="56"/>
      <c r="CQ238" s="56"/>
      <c r="CR238" s="56"/>
      <c r="CS238" s="56"/>
      <c r="CT238" s="56"/>
      <c r="CU238" s="56"/>
      <c r="CV238" s="56"/>
      <c r="CW238" s="56"/>
      <c r="CX238" s="60"/>
      <c r="CY238" s="56"/>
      <c r="CZ238" s="56"/>
      <c r="DA238" s="56"/>
      <c r="DB238" s="56"/>
      <c r="DC238" s="56"/>
      <c r="DD238" s="56"/>
      <c r="DE238" s="56"/>
      <c r="DF238" s="56"/>
      <c r="DG238" s="56"/>
      <c r="DH238" s="56"/>
      <c r="DI238" s="56"/>
      <c r="DJ238" s="56"/>
      <c r="DK238" s="60"/>
      <c r="DL238" s="60"/>
      <c r="DM238" s="56"/>
      <c r="DN238" s="56"/>
      <c r="DO238" s="56"/>
      <c r="DP238" s="56"/>
      <c r="DQ238" s="56"/>
      <c r="DR238" s="56"/>
      <c r="DS238" s="56"/>
      <c r="DT238" s="56"/>
      <c r="DU238" s="56"/>
      <c r="DV238" s="56"/>
      <c r="DW238" s="56"/>
      <c r="DX238" s="56"/>
      <c r="DY238" s="56"/>
      <c r="DZ238" s="56"/>
      <c r="EA238" s="56"/>
      <c r="EB238" s="56"/>
      <c r="EC238" s="56"/>
      <c r="ED238" s="56"/>
      <c r="EE238" s="56"/>
      <c r="EF238" s="56"/>
    </row>
    <row r="239" spans="44:136" s="80" customFormat="1">
      <c r="AR239" s="118"/>
      <c r="BD239" s="56"/>
      <c r="BE239" s="56"/>
      <c r="BF239" s="56"/>
      <c r="BG239" s="56"/>
      <c r="BH239" s="56"/>
      <c r="BI239" s="56"/>
      <c r="BJ239" s="56"/>
      <c r="BK239" s="56"/>
      <c r="BL239" s="56"/>
      <c r="BM239" s="56"/>
      <c r="BN239" s="56"/>
      <c r="BO239" s="56"/>
      <c r="BP239" s="56"/>
      <c r="BQ239" s="56"/>
      <c r="BR239" s="56"/>
      <c r="BS239" s="56"/>
      <c r="BT239" s="60"/>
      <c r="BU239" s="56"/>
      <c r="BV239" s="56"/>
      <c r="BW239" s="56"/>
      <c r="BX239" s="56"/>
      <c r="BY239" s="56"/>
      <c r="BZ239" s="56"/>
      <c r="CA239" s="56"/>
      <c r="CB239" s="56"/>
      <c r="CC239" s="56"/>
      <c r="CD239" s="56"/>
      <c r="CE239" s="56"/>
      <c r="CF239" s="56"/>
      <c r="CG239" s="56"/>
      <c r="CH239" s="56"/>
      <c r="CI239" s="56"/>
      <c r="CJ239" s="60"/>
      <c r="CK239" s="56"/>
      <c r="CL239" s="56"/>
      <c r="CM239" s="56"/>
      <c r="CN239" s="56"/>
      <c r="CO239" s="56"/>
      <c r="CP239" s="56"/>
      <c r="CQ239" s="56"/>
      <c r="CR239" s="56"/>
      <c r="CS239" s="56"/>
      <c r="CT239" s="56"/>
      <c r="CU239" s="56"/>
      <c r="CV239" s="56"/>
      <c r="CW239" s="56"/>
      <c r="CX239" s="60"/>
      <c r="CY239" s="56"/>
      <c r="CZ239" s="56"/>
      <c r="DA239" s="56"/>
      <c r="DB239" s="56"/>
      <c r="DC239" s="56"/>
      <c r="DD239" s="56"/>
      <c r="DE239" s="56"/>
      <c r="DF239" s="56"/>
      <c r="DG239" s="56"/>
      <c r="DH239" s="56"/>
      <c r="DI239" s="56"/>
      <c r="DJ239" s="56"/>
      <c r="DK239" s="60"/>
      <c r="DL239" s="60"/>
      <c r="DM239" s="56"/>
      <c r="DN239" s="56"/>
      <c r="DO239" s="56"/>
      <c r="DP239" s="56"/>
      <c r="DQ239" s="56"/>
      <c r="DR239" s="56"/>
      <c r="DS239" s="56"/>
      <c r="DT239" s="56"/>
      <c r="DU239" s="56"/>
      <c r="DV239" s="56"/>
      <c r="DW239" s="56"/>
      <c r="DX239" s="56"/>
      <c r="DY239" s="56"/>
      <c r="DZ239" s="56"/>
      <c r="EA239" s="56"/>
      <c r="EB239" s="56"/>
      <c r="EC239" s="56"/>
      <c r="ED239" s="56"/>
      <c r="EE239" s="56"/>
      <c r="EF239" s="56"/>
    </row>
    <row r="240" spans="44:136" s="80" customFormat="1">
      <c r="AR240" s="118"/>
      <c r="BD240" s="56"/>
      <c r="BE240" s="56"/>
      <c r="BF240" s="56"/>
      <c r="BG240" s="56"/>
      <c r="BH240" s="56"/>
      <c r="BI240" s="56"/>
      <c r="BJ240" s="56"/>
      <c r="BK240" s="56"/>
      <c r="BL240" s="56"/>
      <c r="BM240" s="56"/>
      <c r="BN240" s="56"/>
      <c r="BO240" s="56"/>
      <c r="BP240" s="56"/>
      <c r="BQ240" s="56"/>
      <c r="BR240" s="56"/>
      <c r="BS240" s="56"/>
      <c r="BT240" s="60"/>
      <c r="BU240" s="56"/>
      <c r="BV240" s="56"/>
      <c r="BW240" s="56"/>
      <c r="BX240" s="56"/>
      <c r="BY240" s="56"/>
      <c r="BZ240" s="56"/>
      <c r="CA240" s="56"/>
      <c r="CB240" s="56"/>
      <c r="CC240" s="56"/>
      <c r="CD240" s="56"/>
      <c r="CE240" s="56"/>
      <c r="CF240" s="56"/>
      <c r="CG240" s="56"/>
      <c r="CH240" s="56"/>
      <c r="CI240" s="56"/>
      <c r="CJ240" s="60"/>
      <c r="CK240" s="56"/>
      <c r="CL240" s="56"/>
      <c r="CM240" s="56"/>
      <c r="CN240" s="56"/>
      <c r="CO240" s="56"/>
      <c r="CP240" s="56"/>
      <c r="CQ240" s="56"/>
      <c r="CR240" s="56"/>
      <c r="CS240" s="56"/>
      <c r="CT240" s="56"/>
      <c r="CU240" s="56"/>
      <c r="CV240" s="56"/>
      <c r="CW240" s="56"/>
      <c r="CX240" s="60"/>
      <c r="CY240" s="56"/>
      <c r="CZ240" s="56"/>
      <c r="DA240" s="56"/>
      <c r="DB240" s="56"/>
      <c r="DC240" s="56"/>
      <c r="DD240" s="56"/>
      <c r="DE240" s="56"/>
      <c r="DF240" s="56"/>
      <c r="DG240" s="56"/>
      <c r="DH240" s="56"/>
      <c r="DI240" s="56"/>
      <c r="DJ240" s="56"/>
      <c r="DK240" s="60"/>
      <c r="DL240" s="60"/>
      <c r="DM240" s="56"/>
      <c r="DN240" s="56"/>
      <c r="DO240" s="56"/>
      <c r="DP240" s="56"/>
      <c r="DQ240" s="56"/>
      <c r="DR240" s="56"/>
      <c r="DS240" s="56"/>
      <c r="DT240" s="56"/>
      <c r="DU240" s="56"/>
      <c r="DV240" s="56"/>
      <c r="DW240" s="56"/>
      <c r="DX240" s="56"/>
      <c r="DY240" s="56"/>
      <c r="DZ240" s="56"/>
      <c r="EA240" s="56"/>
      <c r="EB240" s="56"/>
      <c r="EC240" s="56"/>
      <c r="ED240" s="56"/>
      <c r="EE240" s="56"/>
      <c r="EF240" s="56"/>
    </row>
    <row r="241" spans="44:136" s="80" customFormat="1">
      <c r="AR241" s="118"/>
      <c r="BD241" s="56"/>
      <c r="BE241" s="56"/>
      <c r="BF241" s="56"/>
      <c r="BG241" s="56"/>
      <c r="BH241" s="56"/>
      <c r="BI241" s="56"/>
      <c r="BJ241" s="56"/>
      <c r="BK241" s="56"/>
      <c r="BL241" s="56"/>
      <c r="BM241" s="56"/>
      <c r="BN241" s="56"/>
      <c r="BO241" s="56"/>
      <c r="BP241" s="56"/>
      <c r="BQ241" s="56"/>
      <c r="BR241" s="56"/>
      <c r="BS241" s="56"/>
      <c r="BT241" s="60"/>
      <c r="BU241" s="56"/>
      <c r="BV241" s="56"/>
      <c r="BW241" s="56"/>
      <c r="BX241" s="56"/>
      <c r="BY241" s="56"/>
      <c r="BZ241" s="56"/>
      <c r="CA241" s="56"/>
      <c r="CB241" s="56"/>
      <c r="CC241" s="56"/>
      <c r="CD241" s="56"/>
      <c r="CE241" s="56"/>
      <c r="CF241" s="56"/>
      <c r="CG241" s="56"/>
      <c r="CH241" s="56"/>
      <c r="CI241" s="56"/>
      <c r="CJ241" s="60"/>
      <c r="CK241" s="56"/>
      <c r="CL241" s="56"/>
      <c r="CM241" s="56"/>
      <c r="CN241" s="56"/>
      <c r="CO241" s="56"/>
      <c r="CP241" s="56"/>
      <c r="CQ241" s="56"/>
      <c r="CR241" s="56"/>
      <c r="CS241" s="56"/>
      <c r="CT241" s="56"/>
      <c r="CU241" s="56"/>
      <c r="CV241" s="56"/>
      <c r="CW241" s="56"/>
      <c r="CX241" s="60"/>
      <c r="CY241" s="56"/>
      <c r="CZ241" s="56"/>
      <c r="DA241" s="56"/>
      <c r="DB241" s="56"/>
      <c r="DC241" s="56"/>
      <c r="DD241" s="56"/>
      <c r="DE241" s="56"/>
      <c r="DF241" s="56"/>
      <c r="DG241" s="56"/>
      <c r="DH241" s="56"/>
      <c r="DI241" s="56"/>
      <c r="DJ241" s="56"/>
      <c r="DK241" s="60"/>
      <c r="DL241" s="60"/>
      <c r="DM241" s="56"/>
      <c r="DN241" s="56"/>
      <c r="DO241" s="56"/>
      <c r="DP241" s="56"/>
      <c r="DQ241" s="56"/>
      <c r="DR241" s="56"/>
      <c r="DS241" s="56"/>
      <c r="DT241" s="56"/>
      <c r="DU241" s="56"/>
      <c r="DV241" s="56"/>
      <c r="DW241" s="56"/>
      <c r="DX241" s="56"/>
      <c r="DY241" s="56"/>
      <c r="DZ241" s="56"/>
      <c r="EA241" s="56"/>
      <c r="EB241" s="56"/>
      <c r="EC241" s="56"/>
      <c r="ED241" s="56"/>
      <c r="EE241" s="56"/>
      <c r="EF241" s="56"/>
    </row>
    <row r="242" spans="44:136" s="80" customFormat="1">
      <c r="AR242" s="118"/>
      <c r="BD242" s="56"/>
      <c r="BE242" s="56"/>
      <c r="BF242" s="56"/>
      <c r="BG242" s="56"/>
      <c r="BH242" s="56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60"/>
      <c r="BU242" s="56"/>
      <c r="BV242" s="56"/>
      <c r="BW242" s="56"/>
      <c r="BX242" s="56"/>
      <c r="BY242" s="56"/>
      <c r="BZ242" s="56"/>
      <c r="CA242" s="56"/>
      <c r="CB242" s="56"/>
      <c r="CC242" s="56"/>
      <c r="CD242" s="56"/>
      <c r="CE242" s="56"/>
      <c r="CF242" s="56"/>
      <c r="CG242" s="56"/>
      <c r="CH242" s="56"/>
      <c r="CI242" s="56"/>
      <c r="CJ242" s="60"/>
      <c r="CK242" s="56"/>
      <c r="CL242" s="56"/>
      <c r="CM242" s="56"/>
      <c r="CN242" s="56"/>
      <c r="CO242" s="56"/>
      <c r="CP242" s="56"/>
      <c r="CQ242" s="56"/>
      <c r="CR242" s="56"/>
      <c r="CS242" s="56"/>
      <c r="CT242" s="56"/>
      <c r="CU242" s="56"/>
      <c r="CV242" s="56"/>
      <c r="CW242" s="56"/>
      <c r="CX242" s="60"/>
      <c r="CY242" s="56"/>
      <c r="CZ242" s="56"/>
      <c r="DA242" s="56"/>
      <c r="DB242" s="56"/>
      <c r="DC242" s="56"/>
      <c r="DD242" s="56"/>
      <c r="DE242" s="56"/>
      <c r="DF242" s="56"/>
      <c r="DG242" s="56"/>
      <c r="DH242" s="56"/>
      <c r="DI242" s="56"/>
      <c r="DJ242" s="56"/>
      <c r="DK242" s="60"/>
      <c r="DL242" s="60"/>
      <c r="DM242" s="56"/>
      <c r="DN242" s="56"/>
      <c r="DO242" s="56"/>
      <c r="DP242" s="56"/>
      <c r="DQ242" s="56"/>
      <c r="DR242" s="56"/>
      <c r="DS242" s="56"/>
      <c r="DT242" s="56"/>
      <c r="DU242" s="56"/>
      <c r="DV242" s="56"/>
      <c r="DW242" s="56"/>
      <c r="DX242" s="56"/>
      <c r="DY242" s="56"/>
      <c r="DZ242" s="56"/>
      <c r="EA242" s="56"/>
      <c r="EB242" s="56"/>
      <c r="EC242" s="56"/>
      <c r="ED242" s="56"/>
      <c r="EE242" s="56"/>
      <c r="EF242" s="56"/>
    </row>
    <row r="243" spans="44:136" s="80" customFormat="1">
      <c r="AR243" s="118"/>
      <c r="BD243" s="56"/>
      <c r="BE243" s="56"/>
      <c r="BF243" s="56"/>
      <c r="BG243" s="56"/>
      <c r="BH243" s="56"/>
      <c r="BI243" s="56"/>
      <c r="BJ243" s="56"/>
      <c r="BK243" s="56"/>
      <c r="BL243" s="56"/>
      <c r="BM243" s="56"/>
      <c r="BN243" s="56"/>
      <c r="BO243" s="56"/>
      <c r="BP243" s="56"/>
      <c r="BQ243" s="56"/>
      <c r="BR243" s="56"/>
      <c r="BS243" s="56"/>
      <c r="BT243" s="60"/>
      <c r="BU243" s="56"/>
      <c r="BV243" s="56"/>
      <c r="BW243" s="56"/>
      <c r="BX243" s="56"/>
      <c r="BY243" s="56"/>
      <c r="BZ243" s="56"/>
      <c r="CA243" s="56"/>
      <c r="CB243" s="56"/>
      <c r="CC243" s="56"/>
      <c r="CD243" s="56"/>
      <c r="CE243" s="56"/>
      <c r="CF243" s="56"/>
      <c r="CG243" s="56"/>
      <c r="CH243" s="56"/>
      <c r="CI243" s="56"/>
      <c r="CJ243" s="60"/>
      <c r="CK243" s="56"/>
      <c r="CL243" s="56"/>
      <c r="CM243" s="56"/>
      <c r="CN243" s="56"/>
      <c r="CO243" s="56"/>
      <c r="CP243" s="56"/>
      <c r="CQ243" s="56"/>
      <c r="CR243" s="56"/>
      <c r="CS243" s="56"/>
      <c r="CT243" s="56"/>
      <c r="CU243" s="56"/>
      <c r="CV243" s="56"/>
      <c r="CW243" s="56"/>
      <c r="CX243" s="60"/>
      <c r="CY243" s="56"/>
      <c r="CZ243" s="56"/>
      <c r="DA243" s="56"/>
      <c r="DB243" s="56"/>
      <c r="DC243" s="56"/>
      <c r="DD243" s="56"/>
      <c r="DE243" s="56"/>
      <c r="DF243" s="56"/>
      <c r="DG243" s="56"/>
      <c r="DH243" s="56"/>
      <c r="DI243" s="56"/>
      <c r="DJ243" s="56"/>
      <c r="DK243" s="60"/>
      <c r="DL243" s="60"/>
      <c r="DM243" s="56"/>
      <c r="DN243" s="56"/>
      <c r="DO243" s="56"/>
      <c r="DP243" s="56"/>
      <c r="DQ243" s="56"/>
      <c r="DR243" s="56"/>
      <c r="DS243" s="56"/>
      <c r="DT243" s="56"/>
      <c r="DU243" s="56"/>
      <c r="DV243" s="56"/>
      <c r="DW243" s="56"/>
      <c r="DX243" s="56"/>
      <c r="DY243" s="56"/>
      <c r="DZ243" s="56"/>
      <c r="EA243" s="56"/>
      <c r="EB243" s="56"/>
      <c r="EC243" s="56"/>
      <c r="ED243" s="56"/>
      <c r="EE243" s="56"/>
      <c r="EF243" s="56"/>
    </row>
    <row r="244" spans="44:136" s="80" customFormat="1">
      <c r="AR244" s="118"/>
      <c r="BD244" s="56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6"/>
      <c r="BQ244" s="56"/>
      <c r="BR244" s="56"/>
      <c r="BS244" s="56"/>
      <c r="BT244" s="60"/>
      <c r="BU244" s="56"/>
      <c r="BV244" s="56"/>
      <c r="BW244" s="56"/>
      <c r="BX244" s="56"/>
      <c r="BY244" s="56"/>
      <c r="BZ244" s="56"/>
      <c r="CA244" s="56"/>
      <c r="CB244" s="56"/>
      <c r="CC244" s="56"/>
      <c r="CD244" s="56"/>
      <c r="CE244" s="56"/>
      <c r="CF244" s="56"/>
      <c r="CG244" s="56"/>
      <c r="CH244" s="56"/>
      <c r="CI244" s="56"/>
      <c r="CJ244" s="60"/>
      <c r="CK244" s="56"/>
      <c r="CL244" s="56"/>
      <c r="CM244" s="56"/>
      <c r="CN244" s="56"/>
      <c r="CO244" s="56"/>
      <c r="CP244" s="56"/>
      <c r="CQ244" s="56"/>
      <c r="CR244" s="56"/>
      <c r="CS244" s="56"/>
      <c r="CT244" s="56"/>
      <c r="CU244" s="56"/>
      <c r="CV244" s="56"/>
      <c r="CW244" s="56"/>
      <c r="CX244" s="60"/>
      <c r="CY244" s="56"/>
      <c r="CZ244" s="56"/>
      <c r="DA244" s="56"/>
      <c r="DB244" s="56"/>
      <c r="DC244" s="56"/>
      <c r="DD244" s="56"/>
      <c r="DE244" s="56"/>
      <c r="DF244" s="56"/>
      <c r="DG244" s="56"/>
      <c r="DH244" s="56"/>
      <c r="DI244" s="56"/>
      <c r="DJ244" s="56"/>
      <c r="DK244" s="60"/>
      <c r="DL244" s="60"/>
      <c r="DM244" s="56"/>
      <c r="DN244" s="56"/>
      <c r="DO244" s="56"/>
      <c r="DP244" s="56"/>
      <c r="DQ244" s="56"/>
      <c r="DR244" s="56"/>
      <c r="DS244" s="56"/>
      <c r="DT244" s="56"/>
      <c r="DU244" s="56"/>
      <c r="DV244" s="56"/>
      <c r="DW244" s="56"/>
      <c r="DX244" s="56"/>
      <c r="DY244" s="56"/>
      <c r="DZ244" s="56"/>
      <c r="EA244" s="56"/>
      <c r="EB244" s="56"/>
      <c r="EC244" s="56"/>
      <c r="ED244" s="56"/>
      <c r="EE244" s="56"/>
      <c r="EF244" s="56"/>
    </row>
    <row r="245" spans="44:136" s="80" customFormat="1">
      <c r="AR245" s="118"/>
      <c r="BD245" s="56"/>
      <c r="BE245" s="56"/>
      <c r="BF245" s="56"/>
      <c r="BG245" s="56"/>
      <c r="BH245" s="56"/>
      <c r="BI245" s="56"/>
      <c r="BJ245" s="56"/>
      <c r="BK245" s="56"/>
      <c r="BL245" s="56"/>
      <c r="BM245" s="56"/>
      <c r="BN245" s="56"/>
      <c r="BO245" s="56"/>
      <c r="BP245" s="56"/>
      <c r="BQ245" s="56"/>
      <c r="BR245" s="56"/>
      <c r="BS245" s="56"/>
      <c r="BT245" s="60"/>
      <c r="BU245" s="56"/>
      <c r="BV245" s="56"/>
      <c r="BW245" s="56"/>
      <c r="BX245" s="56"/>
      <c r="BY245" s="56"/>
      <c r="BZ245" s="56"/>
      <c r="CA245" s="56"/>
      <c r="CB245" s="56"/>
      <c r="CC245" s="56"/>
      <c r="CD245" s="56"/>
      <c r="CE245" s="56"/>
      <c r="CF245" s="56"/>
      <c r="CG245" s="56"/>
      <c r="CH245" s="56"/>
      <c r="CI245" s="56"/>
      <c r="CJ245" s="60"/>
      <c r="CK245" s="56"/>
      <c r="CL245" s="56"/>
      <c r="CM245" s="56"/>
      <c r="CN245" s="56"/>
      <c r="CO245" s="56"/>
      <c r="CP245" s="56"/>
      <c r="CQ245" s="56"/>
      <c r="CR245" s="56"/>
      <c r="CS245" s="56"/>
      <c r="CT245" s="56"/>
      <c r="CU245" s="56"/>
      <c r="CV245" s="56"/>
      <c r="CW245" s="56"/>
      <c r="CX245" s="60"/>
      <c r="CY245" s="56"/>
      <c r="CZ245" s="56"/>
      <c r="DA245" s="56"/>
      <c r="DB245" s="56"/>
      <c r="DC245" s="56"/>
      <c r="DD245" s="56"/>
      <c r="DE245" s="56"/>
      <c r="DF245" s="56"/>
      <c r="DG245" s="56"/>
      <c r="DH245" s="56"/>
      <c r="DI245" s="56"/>
      <c r="DJ245" s="56"/>
      <c r="DK245" s="60"/>
      <c r="DL245" s="60"/>
      <c r="DM245" s="56"/>
      <c r="DN245" s="56"/>
      <c r="DO245" s="56"/>
      <c r="DP245" s="56"/>
      <c r="DQ245" s="56"/>
      <c r="DR245" s="56"/>
      <c r="DS245" s="56"/>
      <c r="DT245" s="56"/>
      <c r="DU245" s="56"/>
      <c r="DV245" s="56"/>
      <c r="DW245" s="56"/>
      <c r="DX245" s="56"/>
      <c r="DY245" s="56"/>
      <c r="DZ245" s="56"/>
      <c r="EA245" s="56"/>
      <c r="EB245" s="56"/>
      <c r="EC245" s="56"/>
      <c r="ED245" s="56"/>
      <c r="EE245" s="56"/>
      <c r="EF245" s="56"/>
    </row>
    <row r="246" spans="44:136" s="80" customFormat="1">
      <c r="AR246" s="118"/>
      <c r="BD246" s="56"/>
      <c r="BE246" s="56"/>
      <c r="BF246" s="56"/>
      <c r="BG246" s="56"/>
      <c r="BH246" s="56"/>
      <c r="BI246" s="56"/>
      <c r="BJ246" s="56"/>
      <c r="BK246" s="56"/>
      <c r="BL246" s="56"/>
      <c r="BM246" s="56"/>
      <c r="BN246" s="56"/>
      <c r="BO246" s="56"/>
      <c r="BP246" s="56"/>
      <c r="BQ246" s="56"/>
      <c r="BR246" s="56"/>
      <c r="BS246" s="56"/>
      <c r="BT246" s="60"/>
      <c r="BU246" s="56"/>
      <c r="BV246" s="56"/>
      <c r="BW246" s="56"/>
      <c r="BX246" s="56"/>
      <c r="BY246" s="56"/>
      <c r="BZ246" s="56"/>
      <c r="CA246" s="56"/>
      <c r="CB246" s="56"/>
      <c r="CC246" s="56"/>
      <c r="CD246" s="56"/>
      <c r="CE246" s="56"/>
      <c r="CF246" s="56"/>
      <c r="CG246" s="56"/>
      <c r="CH246" s="56"/>
      <c r="CI246" s="56"/>
      <c r="CJ246" s="60"/>
      <c r="CK246" s="56"/>
      <c r="CL246" s="56"/>
      <c r="CM246" s="56"/>
      <c r="CN246" s="56"/>
      <c r="CO246" s="56"/>
      <c r="CP246" s="56"/>
      <c r="CQ246" s="56"/>
      <c r="CR246" s="56"/>
      <c r="CS246" s="56"/>
      <c r="CT246" s="56"/>
      <c r="CU246" s="56"/>
      <c r="CV246" s="56"/>
      <c r="CW246" s="56"/>
      <c r="CX246" s="60"/>
      <c r="CY246" s="56"/>
      <c r="CZ246" s="56"/>
      <c r="DA246" s="56"/>
      <c r="DB246" s="56"/>
      <c r="DC246" s="56"/>
      <c r="DD246" s="56"/>
      <c r="DE246" s="56"/>
      <c r="DF246" s="56"/>
      <c r="DG246" s="56"/>
      <c r="DH246" s="56"/>
      <c r="DI246" s="56"/>
      <c r="DJ246" s="56"/>
      <c r="DK246" s="60"/>
      <c r="DL246" s="60"/>
      <c r="DM246" s="56"/>
      <c r="DN246" s="56"/>
      <c r="DO246" s="56"/>
      <c r="DP246" s="56"/>
      <c r="DQ246" s="56"/>
      <c r="DR246" s="56"/>
      <c r="DS246" s="56"/>
      <c r="DT246" s="56"/>
      <c r="DU246" s="56"/>
      <c r="DV246" s="56"/>
      <c r="DW246" s="56"/>
      <c r="DX246" s="56"/>
      <c r="DY246" s="56"/>
      <c r="DZ246" s="56"/>
      <c r="EA246" s="56"/>
      <c r="EB246" s="56"/>
      <c r="EC246" s="56"/>
      <c r="ED246" s="56"/>
      <c r="EE246" s="56"/>
      <c r="EF246" s="56"/>
    </row>
    <row r="247" spans="44:136" s="80" customFormat="1">
      <c r="AR247" s="118"/>
      <c r="BD247" s="56"/>
      <c r="BE247" s="56"/>
      <c r="BF247" s="56"/>
      <c r="BG247" s="56"/>
      <c r="BH247" s="56"/>
      <c r="BI247" s="56"/>
      <c r="BJ247" s="56"/>
      <c r="BK247" s="56"/>
      <c r="BL247" s="56"/>
      <c r="BM247" s="56"/>
      <c r="BN247" s="56"/>
      <c r="BO247" s="56"/>
      <c r="BP247" s="56"/>
      <c r="BQ247" s="56"/>
      <c r="BR247" s="56"/>
      <c r="BS247" s="56"/>
      <c r="BT247" s="60"/>
      <c r="BU247" s="56"/>
      <c r="BV247" s="56"/>
      <c r="BW247" s="56"/>
      <c r="BX247" s="56"/>
      <c r="BY247" s="56"/>
      <c r="BZ247" s="56"/>
      <c r="CA247" s="56"/>
      <c r="CB247" s="56"/>
      <c r="CC247" s="56"/>
      <c r="CD247" s="56"/>
      <c r="CE247" s="56"/>
      <c r="CF247" s="56"/>
      <c r="CG247" s="56"/>
      <c r="CH247" s="56"/>
      <c r="CI247" s="56"/>
      <c r="CJ247" s="60"/>
      <c r="CK247" s="56"/>
      <c r="CL247" s="56"/>
      <c r="CM247" s="56"/>
      <c r="CN247" s="56"/>
      <c r="CO247" s="56"/>
      <c r="CP247" s="56"/>
      <c r="CQ247" s="56"/>
      <c r="CR247" s="56"/>
      <c r="CS247" s="56"/>
      <c r="CT247" s="56"/>
      <c r="CU247" s="56"/>
      <c r="CV247" s="56"/>
      <c r="CW247" s="56"/>
      <c r="CX247" s="60"/>
      <c r="CY247" s="56"/>
      <c r="CZ247" s="56"/>
      <c r="DA247" s="56"/>
      <c r="DB247" s="56"/>
      <c r="DC247" s="56"/>
      <c r="DD247" s="56"/>
      <c r="DE247" s="56"/>
      <c r="DF247" s="56"/>
      <c r="DG247" s="56"/>
      <c r="DH247" s="56"/>
      <c r="DI247" s="56"/>
      <c r="DJ247" s="56"/>
      <c r="DK247" s="60"/>
      <c r="DL247" s="60"/>
      <c r="DM247" s="56"/>
      <c r="DN247" s="56"/>
      <c r="DO247" s="56"/>
      <c r="DP247" s="56"/>
      <c r="DQ247" s="56"/>
      <c r="DR247" s="56"/>
      <c r="DS247" s="56"/>
      <c r="DT247" s="56"/>
      <c r="DU247" s="56"/>
      <c r="DV247" s="56"/>
      <c r="DW247" s="56"/>
      <c r="DX247" s="56"/>
      <c r="DY247" s="56"/>
      <c r="DZ247" s="56"/>
      <c r="EA247" s="56"/>
      <c r="EB247" s="56"/>
      <c r="EC247" s="56"/>
      <c r="ED247" s="56"/>
      <c r="EE247" s="56"/>
      <c r="EF247" s="56"/>
    </row>
    <row r="248" spans="44:136" s="80" customFormat="1">
      <c r="AR248" s="118"/>
      <c r="BD248" s="56"/>
      <c r="BE248" s="56"/>
      <c r="BF248" s="56"/>
      <c r="BG248" s="56"/>
      <c r="BH248" s="56"/>
      <c r="BI248" s="56"/>
      <c r="BJ248" s="56"/>
      <c r="BK248" s="56"/>
      <c r="BL248" s="56"/>
      <c r="BM248" s="56"/>
      <c r="BN248" s="56"/>
      <c r="BO248" s="56"/>
      <c r="BP248" s="56"/>
      <c r="BQ248" s="56"/>
      <c r="BR248" s="56"/>
      <c r="BS248" s="56"/>
      <c r="BT248" s="60"/>
      <c r="BU248" s="56"/>
      <c r="BV248" s="56"/>
      <c r="BW248" s="56"/>
      <c r="BX248" s="56"/>
      <c r="BY248" s="56"/>
      <c r="BZ248" s="56"/>
      <c r="CA248" s="56"/>
      <c r="CB248" s="56"/>
      <c r="CC248" s="56"/>
      <c r="CD248" s="56"/>
      <c r="CE248" s="56"/>
      <c r="CF248" s="56"/>
      <c r="CG248" s="56"/>
      <c r="CH248" s="56"/>
      <c r="CI248" s="56"/>
      <c r="CJ248" s="60"/>
      <c r="CK248" s="56"/>
      <c r="CL248" s="56"/>
      <c r="CM248" s="56"/>
      <c r="CN248" s="56"/>
      <c r="CO248" s="56"/>
      <c r="CP248" s="56"/>
      <c r="CQ248" s="56"/>
      <c r="CR248" s="56"/>
      <c r="CS248" s="56"/>
      <c r="CT248" s="56"/>
      <c r="CU248" s="56"/>
      <c r="CV248" s="56"/>
      <c r="CW248" s="56"/>
      <c r="CX248" s="60"/>
      <c r="CY248" s="56"/>
      <c r="CZ248" s="56"/>
      <c r="DA248" s="56"/>
      <c r="DB248" s="56"/>
      <c r="DC248" s="56"/>
      <c r="DD248" s="56"/>
      <c r="DE248" s="56"/>
      <c r="DF248" s="56"/>
      <c r="DG248" s="56"/>
      <c r="DH248" s="56"/>
      <c r="DI248" s="56"/>
      <c r="DJ248" s="56"/>
      <c r="DK248" s="60"/>
      <c r="DL248" s="60"/>
      <c r="DM248" s="56"/>
      <c r="DN248" s="56"/>
      <c r="DO248" s="56"/>
      <c r="DP248" s="56"/>
      <c r="DQ248" s="56"/>
      <c r="DR248" s="56"/>
      <c r="DS248" s="56"/>
      <c r="DT248" s="56"/>
      <c r="DU248" s="56"/>
      <c r="DV248" s="56"/>
      <c r="DW248" s="56"/>
      <c r="DX248" s="56"/>
      <c r="DY248" s="56"/>
      <c r="DZ248" s="56"/>
      <c r="EA248" s="56"/>
      <c r="EB248" s="56"/>
      <c r="EC248" s="56"/>
      <c r="ED248" s="56"/>
      <c r="EE248" s="56"/>
      <c r="EF248" s="56"/>
    </row>
    <row r="249" spans="44:136" s="80" customFormat="1">
      <c r="AR249" s="118"/>
      <c r="BD249" s="56"/>
      <c r="BE249" s="56"/>
      <c r="BF249" s="56"/>
      <c r="BG249" s="56"/>
      <c r="BH249" s="56"/>
      <c r="BI249" s="56"/>
      <c r="BJ249" s="56"/>
      <c r="BK249" s="56"/>
      <c r="BL249" s="56"/>
      <c r="BM249" s="56"/>
      <c r="BN249" s="56"/>
      <c r="BO249" s="56"/>
      <c r="BP249" s="56"/>
      <c r="BQ249" s="56"/>
      <c r="BR249" s="56"/>
      <c r="BS249" s="56"/>
      <c r="BT249" s="60"/>
      <c r="BU249" s="56"/>
      <c r="BV249" s="56"/>
      <c r="BW249" s="56"/>
      <c r="BX249" s="56"/>
      <c r="BY249" s="56"/>
      <c r="BZ249" s="56"/>
      <c r="CA249" s="56"/>
      <c r="CB249" s="56"/>
      <c r="CC249" s="56"/>
      <c r="CD249" s="56"/>
      <c r="CE249" s="56"/>
      <c r="CF249" s="56"/>
      <c r="CG249" s="56"/>
      <c r="CH249" s="56"/>
      <c r="CI249" s="56"/>
      <c r="CJ249" s="60"/>
      <c r="CK249" s="56"/>
      <c r="CL249" s="56"/>
      <c r="CM249" s="56"/>
      <c r="CN249" s="56"/>
      <c r="CO249" s="56"/>
      <c r="CP249" s="56"/>
      <c r="CQ249" s="56"/>
      <c r="CR249" s="56"/>
      <c r="CS249" s="56"/>
      <c r="CT249" s="56"/>
      <c r="CU249" s="56"/>
      <c r="CV249" s="56"/>
      <c r="CW249" s="56"/>
      <c r="CX249" s="60"/>
      <c r="CY249" s="56"/>
      <c r="CZ249" s="56"/>
      <c r="DA249" s="56"/>
      <c r="DB249" s="56"/>
      <c r="DC249" s="56"/>
      <c r="DD249" s="56"/>
      <c r="DE249" s="56"/>
      <c r="DF249" s="56"/>
      <c r="DG249" s="56"/>
      <c r="DH249" s="56"/>
      <c r="DI249" s="56"/>
      <c r="DJ249" s="56"/>
      <c r="DK249" s="60"/>
      <c r="DL249" s="60"/>
      <c r="DM249" s="56"/>
      <c r="DN249" s="56"/>
      <c r="DO249" s="56"/>
      <c r="DP249" s="56"/>
      <c r="DQ249" s="56"/>
      <c r="DR249" s="56"/>
      <c r="DS249" s="56"/>
      <c r="DT249" s="56"/>
      <c r="DU249" s="56"/>
      <c r="DV249" s="56"/>
      <c r="DW249" s="56"/>
      <c r="DX249" s="56"/>
      <c r="DY249" s="56"/>
      <c r="DZ249" s="56"/>
      <c r="EA249" s="56"/>
      <c r="EB249" s="56"/>
      <c r="EC249" s="56"/>
      <c r="ED249" s="56"/>
      <c r="EE249" s="56"/>
      <c r="EF249" s="56"/>
    </row>
    <row r="250" spans="44:136" s="80" customFormat="1">
      <c r="AR250" s="118"/>
      <c r="BD250" s="56"/>
      <c r="BE250" s="56"/>
      <c r="BF250" s="56"/>
      <c r="BG250" s="56"/>
      <c r="BH250" s="56"/>
      <c r="BI250" s="56"/>
      <c r="BJ250" s="56"/>
      <c r="BK250" s="56"/>
      <c r="BL250" s="56"/>
      <c r="BM250" s="56"/>
      <c r="BN250" s="56"/>
      <c r="BO250" s="56"/>
      <c r="BP250" s="56"/>
      <c r="BQ250" s="56"/>
      <c r="BR250" s="56"/>
      <c r="BS250" s="56"/>
      <c r="BT250" s="60"/>
      <c r="BU250" s="56"/>
      <c r="BV250" s="56"/>
      <c r="BW250" s="56"/>
      <c r="BX250" s="56"/>
      <c r="BY250" s="56"/>
      <c r="BZ250" s="56"/>
      <c r="CA250" s="56"/>
      <c r="CB250" s="56"/>
      <c r="CC250" s="56"/>
      <c r="CD250" s="56"/>
      <c r="CE250" s="56"/>
      <c r="CF250" s="56"/>
      <c r="CG250" s="56"/>
      <c r="CH250" s="56"/>
      <c r="CI250" s="56"/>
      <c r="CJ250" s="60"/>
      <c r="CK250" s="56"/>
      <c r="CL250" s="56"/>
      <c r="CM250" s="56"/>
      <c r="CN250" s="56"/>
      <c r="CO250" s="56"/>
      <c r="CP250" s="56"/>
      <c r="CQ250" s="56"/>
      <c r="CR250" s="56"/>
      <c r="CS250" s="56"/>
      <c r="CT250" s="56"/>
      <c r="CU250" s="56"/>
      <c r="CV250" s="56"/>
      <c r="CW250" s="56"/>
      <c r="CX250" s="60"/>
      <c r="CY250" s="56"/>
      <c r="CZ250" s="56"/>
      <c r="DA250" s="56"/>
      <c r="DB250" s="56"/>
      <c r="DC250" s="56"/>
      <c r="DD250" s="56"/>
      <c r="DE250" s="56"/>
      <c r="DF250" s="56"/>
      <c r="DG250" s="56"/>
      <c r="DH250" s="56"/>
      <c r="DI250" s="56"/>
      <c r="DJ250" s="56"/>
      <c r="DK250" s="60"/>
      <c r="DL250" s="60"/>
      <c r="DM250" s="56"/>
      <c r="DN250" s="56"/>
      <c r="DO250" s="56"/>
      <c r="DP250" s="56"/>
      <c r="DQ250" s="56"/>
      <c r="DR250" s="56"/>
      <c r="DS250" s="56"/>
      <c r="DT250" s="56"/>
      <c r="DU250" s="56"/>
      <c r="DV250" s="56"/>
      <c r="DW250" s="56"/>
      <c r="DX250" s="56"/>
      <c r="DY250" s="56"/>
      <c r="DZ250" s="56"/>
      <c r="EA250" s="56"/>
      <c r="EB250" s="56"/>
      <c r="EC250" s="56"/>
      <c r="ED250" s="56"/>
      <c r="EE250" s="56"/>
      <c r="EF250" s="56"/>
    </row>
    <row r="251" spans="44:136" s="80" customFormat="1">
      <c r="AR251" s="118"/>
      <c r="BD251" s="56"/>
      <c r="BE251" s="56"/>
      <c r="BF251" s="56"/>
      <c r="BG251" s="56"/>
      <c r="BH251" s="56"/>
      <c r="BI251" s="56"/>
      <c r="BJ251" s="56"/>
      <c r="BK251" s="56"/>
      <c r="BL251" s="56"/>
      <c r="BM251" s="56"/>
      <c r="BN251" s="56"/>
      <c r="BO251" s="56"/>
      <c r="BP251" s="56"/>
      <c r="BQ251" s="56"/>
      <c r="BR251" s="56"/>
      <c r="BS251" s="56"/>
      <c r="BT251" s="60"/>
      <c r="BU251" s="56"/>
      <c r="BV251" s="56"/>
      <c r="BW251" s="56"/>
      <c r="BX251" s="56"/>
      <c r="BY251" s="56"/>
      <c r="BZ251" s="56"/>
      <c r="CA251" s="56"/>
      <c r="CB251" s="56"/>
      <c r="CC251" s="56"/>
      <c r="CD251" s="56"/>
      <c r="CE251" s="56"/>
      <c r="CF251" s="56"/>
      <c r="CG251" s="56"/>
      <c r="CH251" s="56"/>
      <c r="CI251" s="56"/>
      <c r="CJ251" s="60"/>
      <c r="CK251" s="56"/>
      <c r="CL251" s="56"/>
      <c r="CM251" s="56"/>
      <c r="CN251" s="56"/>
      <c r="CO251" s="56"/>
      <c r="CP251" s="56"/>
      <c r="CQ251" s="56"/>
      <c r="CR251" s="56"/>
      <c r="CS251" s="56"/>
      <c r="CT251" s="56"/>
      <c r="CU251" s="56"/>
      <c r="CV251" s="56"/>
      <c r="CW251" s="56"/>
      <c r="CX251" s="60"/>
      <c r="CY251" s="56"/>
      <c r="CZ251" s="56"/>
      <c r="DA251" s="56"/>
      <c r="DB251" s="56"/>
      <c r="DC251" s="56"/>
      <c r="DD251" s="56"/>
      <c r="DE251" s="56"/>
      <c r="DF251" s="56"/>
      <c r="DG251" s="56"/>
      <c r="DH251" s="56"/>
      <c r="DI251" s="56"/>
      <c r="DJ251" s="56"/>
      <c r="DK251" s="60"/>
      <c r="DL251" s="60"/>
      <c r="DM251" s="56"/>
      <c r="DN251" s="56"/>
      <c r="DO251" s="56"/>
      <c r="DP251" s="56"/>
      <c r="DQ251" s="56"/>
      <c r="DR251" s="56"/>
      <c r="DS251" s="56"/>
      <c r="DT251" s="56"/>
      <c r="DU251" s="56"/>
      <c r="DV251" s="56"/>
      <c r="DW251" s="56"/>
      <c r="DX251" s="56"/>
      <c r="DY251" s="56"/>
      <c r="DZ251" s="56"/>
      <c r="EA251" s="56"/>
      <c r="EB251" s="56"/>
      <c r="EC251" s="56"/>
      <c r="ED251" s="56"/>
      <c r="EE251" s="56"/>
      <c r="EF251" s="56"/>
    </row>
    <row r="252" spans="44:136" s="80" customFormat="1">
      <c r="AR252" s="118"/>
      <c r="BD252" s="56"/>
      <c r="BE252" s="56"/>
      <c r="BF252" s="56"/>
      <c r="BG252" s="56"/>
      <c r="BH252" s="56"/>
      <c r="BI252" s="56"/>
      <c r="BJ252" s="56"/>
      <c r="BK252" s="56"/>
      <c r="BL252" s="56"/>
      <c r="BM252" s="56"/>
      <c r="BN252" s="56"/>
      <c r="BO252" s="56"/>
      <c r="BP252" s="56"/>
      <c r="BQ252" s="56"/>
      <c r="BR252" s="56"/>
      <c r="BS252" s="56"/>
      <c r="BT252" s="60"/>
      <c r="BU252" s="56"/>
      <c r="BV252" s="56"/>
      <c r="BW252" s="56"/>
      <c r="BX252" s="56"/>
      <c r="BY252" s="56"/>
      <c r="BZ252" s="56"/>
      <c r="CA252" s="56"/>
      <c r="CB252" s="56"/>
      <c r="CC252" s="56"/>
      <c r="CD252" s="56"/>
      <c r="CE252" s="56"/>
      <c r="CF252" s="56"/>
      <c r="CG252" s="56"/>
      <c r="CH252" s="56"/>
      <c r="CI252" s="56"/>
      <c r="CJ252" s="60"/>
      <c r="CK252" s="56"/>
      <c r="CL252" s="56"/>
      <c r="CM252" s="56"/>
      <c r="CN252" s="56"/>
      <c r="CO252" s="56"/>
      <c r="CP252" s="56"/>
      <c r="CQ252" s="56"/>
      <c r="CR252" s="56"/>
      <c r="CS252" s="56"/>
      <c r="CT252" s="56"/>
      <c r="CU252" s="56"/>
      <c r="CV252" s="56"/>
      <c r="CW252" s="56"/>
      <c r="CX252" s="60"/>
      <c r="CY252" s="56"/>
      <c r="CZ252" s="56"/>
      <c r="DA252" s="56"/>
      <c r="DB252" s="56"/>
      <c r="DC252" s="56"/>
      <c r="DD252" s="56"/>
      <c r="DE252" s="56"/>
      <c r="DF252" s="56"/>
      <c r="DG252" s="56"/>
      <c r="DH252" s="56"/>
      <c r="DI252" s="56"/>
      <c r="DJ252" s="56"/>
      <c r="DK252" s="60"/>
      <c r="DL252" s="60"/>
      <c r="DM252" s="56"/>
      <c r="DN252" s="56"/>
      <c r="DO252" s="56"/>
      <c r="DP252" s="56"/>
      <c r="DQ252" s="56"/>
      <c r="DR252" s="56"/>
      <c r="DS252" s="56"/>
      <c r="DT252" s="56"/>
      <c r="DU252" s="56"/>
      <c r="DV252" s="56"/>
      <c r="DW252" s="56"/>
      <c r="DX252" s="56"/>
      <c r="DY252" s="56"/>
      <c r="DZ252" s="56"/>
      <c r="EA252" s="56"/>
      <c r="EB252" s="56"/>
      <c r="EC252" s="56"/>
      <c r="ED252" s="56"/>
      <c r="EE252" s="56"/>
      <c r="EF252" s="56"/>
    </row>
    <row r="253" spans="44:136" s="80" customFormat="1">
      <c r="AR253" s="118"/>
      <c r="BD253" s="56"/>
      <c r="BE253" s="56"/>
      <c r="BF253" s="56"/>
      <c r="BG253" s="56"/>
      <c r="BH253" s="56"/>
      <c r="BI253" s="56"/>
      <c r="BJ253" s="56"/>
      <c r="BK253" s="56"/>
      <c r="BL253" s="56"/>
      <c r="BM253" s="56"/>
      <c r="BN253" s="56"/>
      <c r="BO253" s="56"/>
      <c r="BP253" s="56"/>
      <c r="BQ253" s="56"/>
      <c r="BR253" s="56"/>
      <c r="BS253" s="56"/>
      <c r="BT253" s="60"/>
      <c r="BU253" s="56"/>
      <c r="BV253" s="56"/>
      <c r="BW253" s="56"/>
      <c r="BX253" s="56"/>
      <c r="BY253" s="56"/>
      <c r="BZ253" s="56"/>
      <c r="CA253" s="56"/>
      <c r="CB253" s="56"/>
      <c r="CC253" s="56"/>
      <c r="CD253" s="56"/>
      <c r="CE253" s="56"/>
      <c r="CF253" s="56"/>
      <c r="CG253" s="56"/>
      <c r="CH253" s="56"/>
      <c r="CI253" s="56"/>
      <c r="CJ253" s="60"/>
      <c r="CK253" s="56"/>
      <c r="CL253" s="56"/>
      <c r="CM253" s="56"/>
      <c r="CN253" s="56"/>
      <c r="CO253" s="56"/>
      <c r="CP253" s="56"/>
      <c r="CQ253" s="56"/>
      <c r="CR253" s="56"/>
      <c r="CS253" s="56"/>
      <c r="CT253" s="56"/>
      <c r="CU253" s="56"/>
      <c r="CV253" s="56"/>
      <c r="CW253" s="56"/>
      <c r="CX253" s="60"/>
      <c r="CY253" s="56"/>
      <c r="CZ253" s="56"/>
      <c r="DA253" s="56"/>
      <c r="DB253" s="56"/>
      <c r="DC253" s="56"/>
      <c r="DD253" s="56"/>
      <c r="DE253" s="56"/>
      <c r="DF253" s="56"/>
      <c r="DG253" s="56"/>
      <c r="DH253" s="56"/>
      <c r="DI253" s="56"/>
      <c r="DJ253" s="56"/>
      <c r="DK253" s="60"/>
      <c r="DL253" s="60"/>
      <c r="DM253" s="56"/>
      <c r="DN253" s="56"/>
      <c r="DO253" s="56"/>
      <c r="DP253" s="56"/>
      <c r="DQ253" s="56"/>
      <c r="DR253" s="56"/>
      <c r="DS253" s="56"/>
      <c r="DT253" s="56"/>
      <c r="DU253" s="56"/>
      <c r="DV253" s="56"/>
      <c r="DW253" s="56"/>
      <c r="DX253" s="56"/>
      <c r="DY253" s="56"/>
      <c r="DZ253" s="56"/>
      <c r="EA253" s="56"/>
      <c r="EB253" s="56"/>
      <c r="EC253" s="56"/>
      <c r="ED253" s="56"/>
      <c r="EE253" s="56"/>
      <c r="EF253" s="56"/>
    </row>
    <row r="254" spans="44:136" s="80" customFormat="1">
      <c r="AR254" s="118"/>
      <c r="BD254" s="56"/>
      <c r="BE254" s="56"/>
      <c r="BF254" s="56"/>
      <c r="BG254" s="56"/>
      <c r="BH254" s="56"/>
      <c r="BI254" s="56"/>
      <c r="BJ254" s="56"/>
      <c r="BK254" s="56"/>
      <c r="BL254" s="56"/>
      <c r="BM254" s="56"/>
      <c r="BN254" s="56"/>
      <c r="BO254" s="56"/>
      <c r="BP254" s="56"/>
      <c r="BQ254" s="56"/>
      <c r="BR254" s="56"/>
      <c r="BS254" s="56"/>
      <c r="BT254" s="60"/>
      <c r="BU254" s="56"/>
      <c r="BV254" s="56"/>
      <c r="BW254" s="56"/>
      <c r="BX254" s="56"/>
      <c r="BY254" s="56"/>
      <c r="BZ254" s="56"/>
      <c r="CA254" s="56"/>
      <c r="CB254" s="56"/>
      <c r="CC254" s="56"/>
      <c r="CD254" s="56"/>
      <c r="CE254" s="56"/>
      <c r="CF254" s="56"/>
      <c r="CG254" s="56"/>
      <c r="CH254" s="56"/>
      <c r="CI254" s="56"/>
      <c r="CJ254" s="60"/>
      <c r="CK254" s="56"/>
      <c r="CL254" s="56"/>
      <c r="CM254" s="56"/>
      <c r="CN254" s="56"/>
      <c r="CO254" s="56"/>
      <c r="CP254" s="56"/>
      <c r="CQ254" s="56"/>
      <c r="CR254" s="56"/>
      <c r="CS254" s="56"/>
      <c r="CT254" s="56"/>
      <c r="CU254" s="56"/>
      <c r="CV254" s="56"/>
      <c r="CW254" s="56"/>
      <c r="CX254" s="60"/>
      <c r="CY254" s="56"/>
      <c r="CZ254" s="56"/>
      <c r="DA254" s="56"/>
      <c r="DB254" s="56"/>
      <c r="DC254" s="56"/>
      <c r="DD254" s="56"/>
      <c r="DE254" s="56"/>
      <c r="DF254" s="56"/>
      <c r="DG254" s="56"/>
      <c r="DH254" s="56"/>
      <c r="DI254" s="56"/>
      <c r="DJ254" s="56"/>
      <c r="DK254" s="60"/>
      <c r="DL254" s="60"/>
      <c r="DM254" s="56"/>
      <c r="DN254" s="56"/>
      <c r="DO254" s="56"/>
      <c r="DP254" s="56"/>
      <c r="DQ254" s="56"/>
      <c r="DR254" s="56"/>
      <c r="DS254" s="56"/>
      <c r="DT254" s="56"/>
      <c r="DU254" s="56"/>
      <c r="DV254" s="56"/>
      <c r="DW254" s="56"/>
      <c r="DX254" s="56"/>
      <c r="DY254" s="56"/>
      <c r="DZ254" s="56"/>
      <c r="EA254" s="56"/>
      <c r="EB254" s="56"/>
      <c r="EC254" s="56"/>
      <c r="ED254" s="56"/>
      <c r="EE254" s="56"/>
      <c r="EF254" s="56"/>
    </row>
    <row r="255" spans="44:136" s="80" customFormat="1">
      <c r="AR255" s="118"/>
      <c r="BD255" s="56"/>
      <c r="BE255" s="56"/>
      <c r="BF255" s="56"/>
      <c r="BG255" s="56"/>
      <c r="BH255" s="56"/>
      <c r="BI255" s="56"/>
      <c r="BJ255" s="56"/>
      <c r="BK255" s="56"/>
      <c r="BL255" s="56"/>
      <c r="BM255" s="56"/>
      <c r="BN255" s="56"/>
      <c r="BO255" s="56"/>
      <c r="BP255" s="56"/>
      <c r="BQ255" s="56"/>
      <c r="BR255" s="56"/>
      <c r="BS255" s="56"/>
      <c r="BT255" s="60"/>
      <c r="BU255" s="56"/>
      <c r="BV255" s="56"/>
      <c r="BW255" s="56"/>
      <c r="BX255" s="56"/>
      <c r="BY255" s="56"/>
      <c r="BZ255" s="56"/>
      <c r="CA255" s="56"/>
      <c r="CB255" s="56"/>
      <c r="CC255" s="56"/>
      <c r="CD255" s="56"/>
      <c r="CE255" s="56"/>
      <c r="CF255" s="56"/>
      <c r="CG255" s="56"/>
      <c r="CH255" s="56"/>
      <c r="CI255" s="56"/>
      <c r="CJ255" s="60"/>
      <c r="CK255" s="56"/>
      <c r="CL255" s="56"/>
      <c r="CM255" s="56"/>
      <c r="CN255" s="56"/>
      <c r="CO255" s="56"/>
      <c r="CP255" s="56"/>
      <c r="CQ255" s="56"/>
      <c r="CR255" s="56"/>
      <c r="CS255" s="56"/>
      <c r="CT255" s="56"/>
      <c r="CU255" s="56"/>
      <c r="CV255" s="56"/>
      <c r="CW255" s="56"/>
      <c r="CX255" s="60"/>
      <c r="CY255" s="56"/>
      <c r="CZ255" s="56"/>
      <c r="DA255" s="56"/>
      <c r="DB255" s="56"/>
      <c r="DC255" s="56"/>
      <c r="DD255" s="56"/>
      <c r="DE255" s="56"/>
      <c r="DF255" s="56"/>
      <c r="DG255" s="56"/>
      <c r="DH255" s="56"/>
      <c r="DI255" s="56"/>
      <c r="DJ255" s="56"/>
      <c r="DK255" s="60"/>
      <c r="DL255" s="60"/>
      <c r="DM255" s="56"/>
      <c r="DN255" s="56"/>
      <c r="DO255" s="56"/>
      <c r="DP255" s="56"/>
      <c r="DQ255" s="56"/>
      <c r="DR255" s="56"/>
      <c r="DS255" s="56"/>
      <c r="DT255" s="56"/>
      <c r="DU255" s="56"/>
      <c r="DV255" s="56"/>
      <c r="DW255" s="56"/>
      <c r="DX255" s="56"/>
      <c r="DY255" s="56"/>
      <c r="DZ255" s="56"/>
      <c r="EA255" s="56"/>
      <c r="EB255" s="56"/>
      <c r="EC255" s="56"/>
      <c r="ED255" s="56"/>
      <c r="EE255" s="56"/>
      <c r="EF255" s="56"/>
    </row>
    <row r="256" spans="44:136" s="80" customFormat="1">
      <c r="AR256" s="118"/>
      <c r="BD256" s="56"/>
      <c r="BE256" s="56"/>
      <c r="BF256" s="56"/>
      <c r="BG256" s="56"/>
      <c r="BH256" s="56"/>
      <c r="BI256" s="56"/>
      <c r="BJ256" s="56"/>
      <c r="BK256" s="56"/>
      <c r="BL256" s="56"/>
      <c r="BM256" s="56"/>
      <c r="BN256" s="56"/>
      <c r="BO256" s="56"/>
      <c r="BP256" s="56"/>
      <c r="BQ256" s="56"/>
      <c r="BR256" s="56"/>
      <c r="BS256" s="56"/>
      <c r="BT256" s="60"/>
      <c r="BU256" s="56"/>
      <c r="BV256" s="56"/>
      <c r="BW256" s="56"/>
      <c r="BX256" s="56"/>
      <c r="BY256" s="56"/>
      <c r="BZ256" s="56"/>
      <c r="CA256" s="56"/>
      <c r="CB256" s="56"/>
      <c r="CC256" s="56"/>
      <c r="CD256" s="56"/>
      <c r="CE256" s="56"/>
      <c r="CF256" s="56"/>
      <c r="CG256" s="56"/>
      <c r="CH256" s="56"/>
      <c r="CI256" s="56"/>
      <c r="CJ256" s="60"/>
      <c r="CK256" s="56"/>
      <c r="CL256" s="56"/>
      <c r="CM256" s="56"/>
      <c r="CN256" s="56"/>
      <c r="CO256" s="56"/>
      <c r="CP256" s="56"/>
      <c r="CQ256" s="56"/>
      <c r="CR256" s="56"/>
      <c r="CS256" s="56"/>
      <c r="CT256" s="56"/>
      <c r="CU256" s="56"/>
      <c r="CV256" s="56"/>
      <c r="CW256" s="56"/>
      <c r="CX256" s="60"/>
      <c r="CY256" s="56"/>
      <c r="CZ256" s="56"/>
      <c r="DA256" s="56"/>
      <c r="DB256" s="56"/>
      <c r="DC256" s="56"/>
      <c r="DD256" s="56"/>
      <c r="DE256" s="56"/>
      <c r="DF256" s="56"/>
      <c r="DG256" s="56"/>
      <c r="DH256" s="56"/>
      <c r="DI256" s="56"/>
      <c r="DJ256" s="56"/>
      <c r="DK256" s="60"/>
      <c r="DL256" s="60"/>
      <c r="DM256" s="56"/>
      <c r="DN256" s="56"/>
      <c r="DO256" s="56"/>
      <c r="DP256" s="56"/>
      <c r="DQ256" s="56"/>
      <c r="DR256" s="56"/>
      <c r="DS256" s="56"/>
      <c r="DT256" s="56"/>
      <c r="DU256" s="56"/>
      <c r="DV256" s="56"/>
      <c r="DW256" s="56"/>
      <c r="DX256" s="56"/>
      <c r="DY256" s="56"/>
      <c r="DZ256" s="56"/>
      <c r="EA256" s="56"/>
      <c r="EB256" s="56"/>
      <c r="EC256" s="56"/>
      <c r="ED256" s="56"/>
      <c r="EE256" s="56"/>
      <c r="EF256" s="56"/>
    </row>
    <row r="257" spans="44:136" s="80" customFormat="1">
      <c r="AR257" s="118"/>
      <c r="BD257" s="56"/>
      <c r="BE257" s="56"/>
      <c r="BF257" s="56"/>
      <c r="BG257" s="56"/>
      <c r="BH257" s="56"/>
      <c r="BI257" s="56"/>
      <c r="BJ257" s="56"/>
      <c r="BK257" s="56"/>
      <c r="BL257" s="56"/>
      <c r="BM257" s="56"/>
      <c r="BN257" s="56"/>
      <c r="BO257" s="56"/>
      <c r="BP257" s="56"/>
      <c r="BQ257" s="56"/>
      <c r="BR257" s="56"/>
      <c r="BS257" s="56"/>
      <c r="BT257" s="60"/>
      <c r="BU257" s="56"/>
      <c r="BV257" s="56"/>
      <c r="BW257" s="56"/>
      <c r="BX257" s="56"/>
      <c r="BY257" s="56"/>
      <c r="BZ257" s="56"/>
      <c r="CA257" s="56"/>
      <c r="CB257" s="56"/>
      <c r="CC257" s="56"/>
      <c r="CD257" s="56"/>
      <c r="CE257" s="56"/>
      <c r="CF257" s="56"/>
      <c r="CG257" s="56"/>
      <c r="CH257" s="56"/>
      <c r="CI257" s="56"/>
      <c r="CJ257" s="60"/>
      <c r="CK257" s="56"/>
      <c r="CL257" s="56"/>
      <c r="CM257" s="56"/>
      <c r="CN257" s="56"/>
      <c r="CO257" s="56"/>
      <c r="CP257" s="56"/>
      <c r="CQ257" s="56"/>
      <c r="CR257" s="56"/>
      <c r="CS257" s="56"/>
      <c r="CT257" s="56"/>
      <c r="CU257" s="56"/>
      <c r="CV257" s="56"/>
      <c r="CW257" s="56"/>
      <c r="CX257" s="60"/>
      <c r="CY257" s="56"/>
      <c r="CZ257" s="56"/>
      <c r="DA257" s="56"/>
      <c r="DB257" s="56"/>
      <c r="DC257" s="56"/>
      <c r="DD257" s="56"/>
      <c r="DE257" s="56"/>
      <c r="DF257" s="56"/>
      <c r="DG257" s="56"/>
      <c r="DH257" s="56"/>
      <c r="DI257" s="56"/>
      <c r="DJ257" s="56"/>
      <c r="DK257" s="60"/>
      <c r="DL257" s="60"/>
      <c r="DM257" s="56"/>
      <c r="DN257" s="56"/>
      <c r="DO257" s="56"/>
      <c r="DP257" s="56"/>
      <c r="DQ257" s="56"/>
      <c r="DR257" s="56"/>
      <c r="DS257" s="56"/>
      <c r="DT257" s="56"/>
      <c r="DU257" s="56"/>
      <c r="DV257" s="56"/>
      <c r="DW257" s="56"/>
      <c r="DX257" s="56"/>
      <c r="DY257" s="56"/>
      <c r="DZ257" s="56"/>
      <c r="EA257" s="56"/>
      <c r="EB257" s="56"/>
      <c r="EC257" s="56"/>
      <c r="ED257" s="56"/>
      <c r="EE257" s="56"/>
      <c r="EF257" s="56"/>
    </row>
    <row r="258" spans="44:136" s="80" customFormat="1">
      <c r="AR258" s="118"/>
      <c r="BD258" s="56"/>
      <c r="BE258" s="56"/>
      <c r="BF258" s="56"/>
      <c r="BG258" s="56"/>
      <c r="BH258" s="56"/>
      <c r="BI258" s="56"/>
      <c r="BJ258" s="56"/>
      <c r="BK258" s="56"/>
      <c r="BL258" s="56"/>
      <c r="BM258" s="56"/>
      <c r="BN258" s="56"/>
      <c r="BO258" s="56"/>
      <c r="BP258" s="56"/>
      <c r="BQ258" s="56"/>
      <c r="BR258" s="56"/>
      <c r="BS258" s="56"/>
      <c r="BT258" s="60"/>
      <c r="BU258" s="56"/>
      <c r="BV258" s="56"/>
      <c r="BW258" s="56"/>
      <c r="BX258" s="56"/>
      <c r="BY258" s="56"/>
      <c r="BZ258" s="56"/>
      <c r="CA258" s="56"/>
      <c r="CB258" s="56"/>
      <c r="CC258" s="56"/>
      <c r="CD258" s="56"/>
      <c r="CE258" s="56"/>
      <c r="CF258" s="56"/>
      <c r="CG258" s="56"/>
      <c r="CH258" s="56"/>
      <c r="CI258" s="56"/>
      <c r="CJ258" s="60"/>
      <c r="CK258" s="56"/>
      <c r="CL258" s="56"/>
      <c r="CM258" s="56"/>
      <c r="CN258" s="56"/>
      <c r="CO258" s="56"/>
      <c r="CP258" s="56"/>
      <c r="CQ258" s="56"/>
      <c r="CR258" s="56"/>
      <c r="CS258" s="56"/>
      <c r="CT258" s="56"/>
      <c r="CU258" s="56"/>
      <c r="CV258" s="56"/>
      <c r="CW258" s="56"/>
      <c r="CX258" s="60"/>
      <c r="CY258" s="56"/>
      <c r="CZ258" s="56"/>
      <c r="DA258" s="56"/>
      <c r="DB258" s="56"/>
      <c r="DC258" s="56"/>
      <c r="DD258" s="56"/>
      <c r="DE258" s="56"/>
      <c r="DF258" s="56"/>
      <c r="DG258" s="56"/>
      <c r="DH258" s="56"/>
      <c r="DI258" s="56"/>
      <c r="DJ258" s="56"/>
      <c r="DK258" s="60"/>
      <c r="DL258" s="60"/>
      <c r="DM258" s="56"/>
      <c r="DN258" s="56"/>
      <c r="DO258" s="56"/>
      <c r="DP258" s="56"/>
      <c r="DQ258" s="56"/>
      <c r="DR258" s="56"/>
      <c r="DS258" s="56"/>
      <c r="DT258" s="56"/>
      <c r="DU258" s="56"/>
      <c r="DV258" s="56"/>
      <c r="DW258" s="56"/>
      <c r="DX258" s="56"/>
      <c r="DY258" s="56"/>
      <c r="DZ258" s="56"/>
      <c r="EA258" s="56"/>
      <c r="EB258" s="56"/>
      <c r="EC258" s="56"/>
      <c r="ED258" s="56"/>
      <c r="EE258" s="56"/>
      <c r="EF258" s="56"/>
    </row>
    <row r="259" spans="44:136" s="80" customFormat="1">
      <c r="AR259" s="118"/>
      <c r="BD259" s="56"/>
      <c r="BE259" s="56"/>
      <c r="BF259" s="56"/>
      <c r="BG259" s="56"/>
      <c r="BH259" s="56"/>
      <c r="BI259" s="56"/>
      <c r="BJ259" s="56"/>
      <c r="BK259" s="56"/>
      <c r="BL259" s="56"/>
      <c r="BM259" s="56"/>
      <c r="BN259" s="56"/>
      <c r="BO259" s="56"/>
      <c r="BP259" s="56"/>
      <c r="BQ259" s="56"/>
      <c r="BR259" s="56"/>
      <c r="BS259" s="56"/>
      <c r="BT259" s="60"/>
      <c r="BU259" s="56"/>
      <c r="BV259" s="56"/>
      <c r="BW259" s="56"/>
      <c r="BX259" s="56"/>
      <c r="BY259" s="56"/>
      <c r="BZ259" s="56"/>
      <c r="CA259" s="56"/>
      <c r="CB259" s="56"/>
      <c r="CC259" s="56"/>
      <c r="CD259" s="56"/>
      <c r="CE259" s="56"/>
      <c r="CF259" s="56"/>
      <c r="CG259" s="56"/>
      <c r="CH259" s="56"/>
      <c r="CI259" s="56"/>
      <c r="CJ259" s="60"/>
      <c r="CK259" s="56"/>
      <c r="CL259" s="56"/>
      <c r="CM259" s="56"/>
      <c r="CN259" s="56"/>
      <c r="CO259" s="56"/>
      <c r="CP259" s="56"/>
      <c r="CQ259" s="56"/>
      <c r="CR259" s="56"/>
      <c r="CS259" s="56"/>
      <c r="CT259" s="56"/>
      <c r="CU259" s="56"/>
      <c r="CV259" s="56"/>
      <c r="CW259" s="56"/>
      <c r="CX259" s="60"/>
      <c r="CY259" s="56"/>
      <c r="CZ259" s="56"/>
      <c r="DA259" s="56"/>
      <c r="DB259" s="56"/>
      <c r="DC259" s="56"/>
      <c r="DD259" s="56"/>
      <c r="DE259" s="56"/>
      <c r="DF259" s="56"/>
      <c r="DG259" s="56"/>
      <c r="DH259" s="56"/>
      <c r="DI259" s="56"/>
      <c r="DJ259" s="56"/>
      <c r="DK259" s="60"/>
      <c r="DL259" s="60"/>
      <c r="DM259" s="56"/>
      <c r="DN259" s="56"/>
      <c r="DO259" s="56"/>
      <c r="DP259" s="56"/>
      <c r="DQ259" s="56"/>
      <c r="DR259" s="56"/>
      <c r="DS259" s="56"/>
      <c r="DT259" s="56"/>
      <c r="DU259" s="56"/>
      <c r="DV259" s="56"/>
      <c r="DW259" s="56"/>
      <c r="DX259" s="56"/>
      <c r="DY259" s="56"/>
      <c r="DZ259" s="56"/>
      <c r="EA259" s="56"/>
      <c r="EB259" s="56"/>
      <c r="EC259" s="56"/>
      <c r="ED259" s="56"/>
      <c r="EE259" s="56"/>
      <c r="EF259" s="56"/>
    </row>
    <row r="260" spans="44:136" s="80" customFormat="1">
      <c r="AR260" s="118"/>
      <c r="BD260" s="56"/>
      <c r="BE260" s="56"/>
      <c r="BF260" s="56"/>
      <c r="BG260" s="56"/>
      <c r="BH260" s="56"/>
      <c r="BI260" s="56"/>
      <c r="BJ260" s="56"/>
      <c r="BK260" s="56"/>
      <c r="BL260" s="56"/>
      <c r="BM260" s="56"/>
      <c r="BN260" s="56"/>
      <c r="BO260" s="56"/>
      <c r="BP260" s="56"/>
      <c r="BQ260" s="56"/>
      <c r="BR260" s="56"/>
      <c r="BS260" s="56"/>
      <c r="BT260" s="60"/>
      <c r="BU260" s="56"/>
      <c r="BV260" s="56"/>
      <c r="BW260" s="56"/>
      <c r="BX260" s="56"/>
      <c r="BY260" s="56"/>
      <c r="BZ260" s="56"/>
      <c r="CA260" s="56"/>
      <c r="CB260" s="56"/>
      <c r="CC260" s="56"/>
      <c r="CD260" s="56"/>
      <c r="CE260" s="56"/>
      <c r="CF260" s="56"/>
      <c r="CG260" s="56"/>
      <c r="CH260" s="56"/>
      <c r="CI260" s="56"/>
      <c r="CJ260" s="60"/>
      <c r="CK260" s="56"/>
      <c r="CL260" s="56"/>
      <c r="CM260" s="56"/>
      <c r="CN260" s="56"/>
      <c r="CO260" s="56"/>
      <c r="CP260" s="56"/>
      <c r="CQ260" s="56"/>
      <c r="CR260" s="56"/>
      <c r="CS260" s="56"/>
      <c r="CT260" s="56"/>
      <c r="CU260" s="56"/>
      <c r="CV260" s="56"/>
      <c r="CW260" s="56"/>
      <c r="CX260" s="60"/>
      <c r="CY260" s="56"/>
      <c r="CZ260" s="56"/>
      <c r="DA260" s="56"/>
      <c r="DB260" s="56"/>
      <c r="DC260" s="56"/>
      <c r="DD260" s="56"/>
      <c r="DE260" s="56"/>
      <c r="DF260" s="56"/>
      <c r="DG260" s="56"/>
      <c r="DH260" s="56"/>
      <c r="DI260" s="56"/>
      <c r="DJ260" s="56"/>
      <c r="DK260" s="60"/>
      <c r="DL260" s="60"/>
      <c r="DM260" s="56"/>
      <c r="DN260" s="56"/>
      <c r="DO260" s="56"/>
      <c r="DP260" s="56"/>
      <c r="DQ260" s="56"/>
      <c r="DR260" s="56"/>
      <c r="DS260" s="56"/>
      <c r="DT260" s="56"/>
      <c r="DU260" s="56"/>
      <c r="DV260" s="56"/>
      <c r="DW260" s="56"/>
      <c r="DX260" s="56"/>
      <c r="DY260" s="56"/>
      <c r="DZ260" s="56"/>
      <c r="EA260" s="56"/>
      <c r="EB260" s="56"/>
      <c r="EC260" s="56"/>
      <c r="ED260" s="56"/>
      <c r="EE260" s="56"/>
      <c r="EF260" s="56"/>
    </row>
    <row r="261" spans="44:136" s="80" customFormat="1">
      <c r="AR261" s="118"/>
      <c r="BD261" s="56"/>
      <c r="BE261" s="56"/>
      <c r="BF261" s="56"/>
      <c r="BG261" s="56"/>
      <c r="BH261" s="56"/>
      <c r="BI261" s="56"/>
      <c r="BJ261" s="56"/>
      <c r="BK261" s="56"/>
      <c r="BL261" s="56"/>
      <c r="BM261" s="56"/>
      <c r="BN261" s="56"/>
      <c r="BO261" s="56"/>
      <c r="BP261" s="56"/>
      <c r="BQ261" s="56"/>
      <c r="BR261" s="56"/>
      <c r="BS261" s="56"/>
      <c r="BT261" s="60"/>
      <c r="BU261" s="56"/>
      <c r="BV261" s="56"/>
      <c r="BW261" s="56"/>
      <c r="BX261" s="56"/>
      <c r="BY261" s="56"/>
      <c r="BZ261" s="56"/>
      <c r="CA261" s="56"/>
      <c r="CB261" s="56"/>
      <c r="CC261" s="56"/>
      <c r="CD261" s="56"/>
      <c r="CE261" s="56"/>
      <c r="CF261" s="56"/>
      <c r="CG261" s="56"/>
      <c r="CH261" s="56"/>
      <c r="CI261" s="56"/>
      <c r="CJ261" s="60"/>
      <c r="CK261" s="56"/>
      <c r="CL261" s="56"/>
      <c r="CM261" s="56"/>
      <c r="CN261" s="56"/>
      <c r="CO261" s="56"/>
      <c r="CP261" s="56"/>
      <c r="CQ261" s="56"/>
      <c r="CR261" s="56"/>
      <c r="CS261" s="56"/>
      <c r="CT261" s="56"/>
      <c r="CU261" s="56"/>
      <c r="CV261" s="56"/>
      <c r="CW261" s="56"/>
      <c r="CX261" s="60"/>
      <c r="CY261" s="56"/>
      <c r="CZ261" s="56"/>
      <c r="DA261" s="56"/>
      <c r="DB261" s="56"/>
      <c r="DC261" s="56"/>
      <c r="DD261" s="56"/>
      <c r="DE261" s="56"/>
      <c r="DF261" s="56"/>
      <c r="DG261" s="56"/>
      <c r="DH261" s="56"/>
      <c r="DI261" s="56"/>
      <c r="DJ261" s="56"/>
      <c r="DK261" s="60"/>
      <c r="DL261" s="60"/>
      <c r="DM261" s="56"/>
      <c r="DN261" s="56"/>
      <c r="DO261" s="56"/>
      <c r="DP261" s="56"/>
      <c r="DQ261" s="56"/>
      <c r="DR261" s="56"/>
      <c r="DS261" s="56"/>
      <c r="DT261" s="56"/>
      <c r="DU261" s="56"/>
      <c r="DV261" s="56"/>
      <c r="DW261" s="56"/>
      <c r="DX261" s="56"/>
      <c r="DY261" s="56"/>
      <c r="DZ261" s="56"/>
      <c r="EA261" s="56"/>
      <c r="EB261" s="56"/>
      <c r="EC261" s="56"/>
      <c r="ED261" s="56"/>
      <c r="EE261" s="56"/>
      <c r="EF261" s="56"/>
    </row>
    <row r="262" spans="44:136" s="80" customFormat="1">
      <c r="AR262" s="118"/>
      <c r="BD262" s="56"/>
      <c r="BE262" s="56"/>
      <c r="BF262" s="56"/>
      <c r="BG262" s="56"/>
      <c r="BH262" s="56"/>
      <c r="BI262" s="56"/>
      <c r="BJ262" s="56"/>
      <c r="BK262" s="56"/>
      <c r="BL262" s="56"/>
      <c r="BM262" s="56"/>
      <c r="BN262" s="56"/>
      <c r="BO262" s="56"/>
      <c r="BP262" s="56"/>
      <c r="BQ262" s="56"/>
      <c r="BR262" s="56"/>
      <c r="BS262" s="56"/>
      <c r="BT262" s="60"/>
      <c r="BU262" s="56"/>
      <c r="BV262" s="56"/>
      <c r="BW262" s="56"/>
      <c r="BX262" s="56"/>
      <c r="BY262" s="56"/>
      <c r="BZ262" s="56"/>
      <c r="CA262" s="56"/>
      <c r="CB262" s="56"/>
      <c r="CC262" s="56"/>
      <c r="CD262" s="56"/>
      <c r="CE262" s="56"/>
      <c r="CF262" s="56"/>
      <c r="CG262" s="56"/>
      <c r="CH262" s="56"/>
      <c r="CI262" s="56"/>
      <c r="CJ262" s="60"/>
      <c r="CK262" s="56"/>
      <c r="CL262" s="56"/>
      <c r="CM262" s="56"/>
      <c r="CN262" s="56"/>
      <c r="CO262" s="56"/>
      <c r="CP262" s="56"/>
      <c r="CQ262" s="56"/>
      <c r="CR262" s="56"/>
      <c r="CS262" s="56"/>
      <c r="CT262" s="56"/>
      <c r="CU262" s="56"/>
      <c r="CV262" s="56"/>
      <c r="CW262" s="56"/>
      <c r="CX262" s="60"/>
      <c r="CY262" s="56"/>
      <c r="CZ262" s="56"/>
      <c r="DA262" s="56"/>
      <c r="DB262" s="56"/>
      <c r="DC262" s="56"/>
      <c r="DD262" s="56"/>
      <c r="DE262" s="56"/>
      <c r="DF262" s="56"/>
      <c r="DG262" s="56"/>
      <c r="DH262" s="56"/>
      <c r="DI262" s="56"/>
      <c r="DJ262" s="56"/>
      <c r="DK262" s="60"/>
      <c r="DL262" s="60"/>
      <c r="DM262" s="56"/>
      <c r="DN262" s="56"/>
      <c r="DO262" s="56"/>
      <c r="DP262" s="56"/>
      <c r="DQ262" s="56"/>
      <c r="DR262" s="56"/>
      <c r="DS262" s="56"/>
      <c r="DT262" s="56"/>
      <c r="DU262" s="56"/>
      <c r="DV262" s="56"/>
      <c r="DW262" s="56"/>
      <c r="DX262" s="56"/>
      <c r="DY262" s="56"/>
      <c r="DZ262" s="56"/>
      <c r="EA262" s="56"/>
      <c r="EB262" s="56"/>
      <c r="EC262" s="56"/>
      <c r="ED262" s="56"/>
      <c r="EE262" s="56"/>
      <c r="EF262" s="56"/>
    </row>
    <row r="263" spans="44:136" s="80" customFormat="1">
      <c r="AR263" s="118"/>
      <c r="BD263" s="56"/>
      <c r="BE263" s="56"/>
      <c r="BF263" s="56"/>
      <c r="BG263" s="56"/>
      <c r="BH263" s="56"/>
      <c r="BI263" s="56"/>
      <c r="BJ263" s="56"/>
      <c r="BK263" s="56"/>
      <c r="BL263" s="56"/>
      <c r="BM263" s="56"/>
      <c r="BN263" s="56"/>
      <c r="BO263" s="56"/>
      <c r="BP263" s="56"/>
      <c r="BQ263" s="56"/>
      <c r="BR263" s="56"/>
      <c r="BS263" s="56"/>
      <c r="BT263" s="60"/>
      <c r="BU263" s="56"/>
      <c r="BV263" s="56"/>
      <c r="BW263" s="56"/>
      <c r="BX263" s="56"/>
      <c r="BY263" s="56"/>
      <c r="BZ263" s="56"/>
      <c r="CA263" s="56"/>
      <c r="CB263" s="56"/>
      <c r="CC263" s="56"/>
      <c r="CD263" s="56"/>
      <c r="CE263" s="56"/>
      <c r="CF263" s="56"/>
      <c r="CG263" s="56"/>
      <c r="CH263" s="56"/>
      <c r="CI263" s="56"/>
      <c r="CJ263" s="60"/>
      <c r="CK263" s="56"/>
      <c r="CL263" s="56"/>
      <c r="CM263" s="56"/>
      <c r="CN263" s="56"/>
      <c r="CO263" s="56"/>
      <c r="CP263" s="56"/>
      <c r="CQ263" s="56"/>
      <c r="CR263" s="56"/>
      <c r="CS263" s="56"/>
      <c r="CT263" s="56"/>
      <c r="CU263" s="56"/>
      <c r="CV263" s="56"/>
      <c r="CW263" s="56"/>
      <c r="CX263" s="60"/>
      <c r="CY263" s="56"/>
      <c r="CZ263" s="56"/>
      <c r="DA263" s="56"/>
      <c r="DB263" s="56"/>
      <c r="DC263" s="56"/>
      <c r="DD263" s="56"/>
      <c r="DE263" s="56"/>
      <c r="DF263" s="56"/>
      <c r="DG263" s="56"/>
      <c r="DH263" s="56"/>
      <c r="DI263" s="56"/>
      <c r="DJ263" s="56"/>
      <c r="DK263" s="60"/>
      <c r="DL263" s="60"/>
      <c r="DM263" s="56"/>
      <c r="DN263" s="56"/>
      <c r="DO263" s="56"/>
      <c r="DP263" s="56"/>
      <c r="DQ263" s="56"/>
      <c r="DR263" s="56"/>
      <c r="DS263" s="56"/>
      <c r="DT263" s="56"/>
      <c r="DU263" s="56"/>
      <c r="DV263" s="56"/>
      <c r="DW263" s="56"/>
      <c r="DX263" s="56"/>
      <c r="DY263" s="56"/>
      <c r="DZ263" s="56"/>
      <c r="EA263" s="56"/>
      <c r="EB263" s="56"/>
      <c r="EC263" s="56"/>
      <c r="ED263" s="56"/>
      <c r="EE263" s="56"/>
      <c r="EF263" s="56"/>
    </row>
    <row r="264" spans="44:136" s="80" customFormat="1">
      <c r="AR264" s="118"/>
      <c r="BD264" s="56"/>
      <c r="BE264" s="56"/>
      <c r="BF264" s="56"/>
      <c r="BG264" s="56"/>
      <c r="BH264" s="56"/>
      <c r="BI264" s="56"/>
      <c r="BJ264" s="56"/>
      <c r="BK264" s="56"/>
      <c r="BL264" s="56"/>
      <c r="BM264" s="56"/>
      <c r="BN264" s="56"/>
      <c r="BO264" s="56"/>
      <c r="BP264" s="56"/>
      <c r="BQ264" s="56"/>
      <c r="BR264" s="56"/>
      <c r="BS264" s="56"/>
      <c r="BT264" s="60"/>
      <c r="BU264" s="56"/>
      <c r="BV264" s="56"/>
      <c r="BW264" s="56"/>
      <c r="BX264" s="56"/>
      <c r="BY264" s="56"/>
      <c r="BZ264" s="56"/>
      <c r="CA264" s="56"/>
      <c r="CB264" s="56"/>
      <c r="CC264" s="56"/>
      <c r="CD264" s="56"/>
      <c r="CE264" s="56"/>
      <c r="CF264" s="56"/>
      <c r="CG264" s="56"/>
      <c r="CH264" s="56"/>
      <c r="CI264" s="56"/>
      <c r="CJ264" s="60"/>
      <c r="CK264" s="56"/>
      <c r="CL264" s="56"/>
      <c r="CM264" s="56"/>
      <c r="CN264" s="56"/>
      <c r="CO264" s="56"/>
      <c r="CP264" s="56"/>
      <c r="CQ264" s="56"/>
      <c r="CR264" s="56"/>
      <c r="CS264" s="56"/>
      <c r="CT264" s="56"/>
      <c r="CU264" s="56"/>
      <c r="CV264" s="56"/>
      <c r="CW264" s="56"/>
      <c r="CX264" s="60"/>
      <c r="CY264" s="56"/>
      <c r="CZ264" s="56"/>
      <c r="DA264" s="56"/>
      <c r="DB264" s="56"/>
      <c r="DC264" s="56"/>
      <c r="DD264" s="56"/>
      <c r="DE264" s="56"/>
      <c r="DF264" s="56"/>
      <c r="DG264" s="56"/>
      <c r="DH264" s="56"/>
      <c r="DI264" s="56"/>
      <c r="DJ264" s="56"/>
      <c r="DK264" s="60"/>
      <c r="DL264" s="60"/>
      <c r="DM264" s="56"/>
      <c r="DN264" s="56"/>
      <c r="DO264" s="56"/>
      <c r="DP264" s="56"/>
      <c r="DQ264" s="56"/>
      <c r="DR264" s="56"/>
      <c r="DS264" s="56"/>
      <c r="DT264" s="56"/>
      <c r="DU264" s="56"/>
      <c r="DV264" s="56"/>
      <c r="DW264" s="56"/>
      <c r="DX264" s="56"/>
      <c r="DY264" s="56"/>
      <c r="DZ264" s="56"/>
      <c r="EA264" s="56"/>
      <c r="EB264" s="56"/>
      <c r="EC264" s="56"/>
      <c r="ED264" s="56"/>
      <c r="EE264" s="56"/>
      <c r="EF264" s="56"/>
    </row>
    <row r="265" spans="44:136" s="80" customFormat="1">
      <c r="AR265" s="118"/>
      <c r="BD265" s="56"/>
      <c r="BE265" s="56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60"/>
      <c r="BU265" s="56"/>
      <c r="BV265" s="56"/>
      <c r="BW265" s="56"/>
      <c r="BX265" s="56"/>
      <c r="BY265" s="56"/>
      <c r="BZ265" s="56"/>
      <c r="CA265" s="56"/>
      <c r="CB265" s="56"/>
      <c r="CC265" s="56"/>
      <c r="CD265" s="56"/>
      <c r="CE265" s="56"/>
      <c r="CF265" s="56"/>
      <c r="CG265" s="56"/>
      <c r="CH265" s="56"/>
      <c r="CI265" s="56"/>
      <c r="CJ265" s="60"/>
      <c r="CK265" s="56"/>
      <c r="CL265" s="56"/>
      <c r="CM265" s="56"/>
      <c r="CN265" s="56"/>
      <c r="CO265" s="56"/>
      <c r="CP265" s="56"/>
      <c r="CQ265" s="56"/>
      <c r="CR265" s="56"/>
      <c r="CS265" s="56"/>
      <c r="CT265" s="56"/>
      <c r="CU265" s="56"/>
      <c r="CV265" s="56"/>
      <c r="CW265" s="56"/>
      <c r="CX265" s="60"/>
      <c r="CY265" s="56"/>
      <c r="CZ265" s="56"/>
      <c r="DA265" s="56"/>
      <c r="DB265" s="56"/>
      <c r="DC265" s="56"/>
      <c r="DD265" s="56"/>
      <c r="DE265" s="56"/>
      <c r="DF265" s="56"/>
      <c r="DG265" s="56"/>
      <c r="DH265" s="56"/>
      <c r="DI265" s="56"/>
      <c r="DJ265" s="56"/>
      <c r="DK265" s="60"/>
      <c r="DL265" s="60"/>
      <c r="DM265" s="56"/>
      <c r="DN265" s="56"/>
      <c r="DO265" s="56"/>
      <c r="DP265" s="56"/>
      <c r="DQ265" s="56"/>
      <c r="DR265" s="56"/>
      <c r="DS265" s="56"/>
      <c r="DT265" s="56"/>
      <c r="DU265" s="56"/>
      <c r="DV265" s="56"/>
      <c r="DW265" s="56"/>
      <c r="DX265" s="56"/>
      <c r="DY265" s="56"/>
      <c r="DZ265" s="56"/>
      <c r="EA265" s="56"/>
      <c r="EB265" s="56"/>
      <c r="EC265" s="56"/>
      <c r="ED265" s="56"/>
      <c r="EE265" s="56"/>
      <c r="EF265" s="56"/>
    </row>
    <row r="266" spans="44:136" s="80" customFormat="1">
      <c r="AR266" s="118"/>
      <c r="BD266" s="56"/>
      <c r="BE266" s="56"/>
      <c r="BF266" s="56"/>
      <c r="BG266" s="56"/>
      <c r="BH266" s="56"/>
      <c r="BI266" s="56"/>
      <c r="BJ266" s="56"/>
      <c r="BK266" s="56"/>
      <c r="BL266" s="56"/>
      <c r="BM266" s="56"/>
      <c r="BN266" s="56"/>
      <c r="BO266" s="56"/>
      <c r="BP266" s="56"/>
      <c r="BQ266" s="56"/>
      <c r="BR266" s="56"/>
      <c r="BS266" s="56"/>
      <c r="BT266" s="60"/>
      <c r="BU266" s="56"/>
      <c r="BV266" s="56"/>
      <c r="BW266" s="56"/>
      <c r="BX266" s="56"/>
      <c r="BY266" s="56"/>
      <c r="BZ266" s="56"/>
      <c r="CA266" s="56"/>
      <c r="CB266" s="56"/>
      <c r="CC266" s="56"/>
      <c r="CD266" s="56"/>
      <c r="CE266" s="56"/>
      <c r="CF266" s="56"/>
      <c r="CG266" s="56"/>
      <c r="CH266" s="56"/>
      <c r="CI266" s="56"/>
      <c r="CJ266" s="60"/>
      <c r="CK266" s="56"/>
      <c r="CL266" s="56"/>
      <c r="CM266" s="56"/>
      <c r="CN266" s="56"/>
      <c r="CO266" s="56"/>
      <c r="CP266" s="56"/>
      <c r="CQ266" s="56"/>
      <c r="CR266" s="56"/>
      <c r="CS266" s="56"/>
      <c r="CT266" s="56"/>
      <c r="CU266" s="56"/>
      <c r="CV266" s="56"/>
      <c r="CW266" s="56"/>
      <c r="CX266" s="60"/>
      <c r="CY266" s="56"/>
      <c r="CZ266" s="56"/>
      <c r="DA266" s="56"/>
      <c r="DB266" s="56"/>
      <c r="DC266" s="56"/>
      <c r="DD266" s="56"/>
      <c r="DE266" s="56"/>
      <c r="DF266" s="56"/>
      <c r="DG266" s="56"/>
      <c r="DH266" s="56"/>
      <c r="DI266" s="56"/>
      <c r="DJ266" s="56"/>
      <c r="DK266" s="60"/>
      <c r="DL266" s="60"/>
      <c r="DM266" s="56"/>
      <c r="DN266" s="56"/>
      <c r="DO266" s="56"/>
      <c r="DP266" s="56"/>
      <c r="DQ266" s="56"/>
      <c r="DR266" s="56"/>
      <c r="DS266" s="56"/>
      <c r="DT266" s="56"/>
      <c r="DU266" s="56"/>
      <c r="DV266" s="56"/>
      <c r="DW266" s="56"/>
      <c r="DX266" s="56"/>
      <c r="DY266" s="56"/>
      <c r="DZ266" s="56"/>
      <c r="EA266" s="56"/>
      <c r="EB266" s="56"/>
      <c r="EC266" s="56"/>
      <c r="ED266" s="56"/>
      <c r="EE266" s="56"/>
      <c r="EF266" s="56"/>
    </row>
    <row r="267" spans="44:136" s="80" customFormat="1">
      <c r="AR267" s="118"/>
      <c r="BD267" s="56"/>
      <c r="BE267" s="56"/>
      <c r="BF267" s="56"/>
      <c r="BG267" s="56"/>
      <c r="BH267" s="56"/>
      <c r="BI267" s="56"/>
      <c r="BJ267" s="56"/>
      <c r="BK267" s="56"/>
      <c r="BL267" s="56"/>
      <c r="BM267" s="56"/>
      <c r="BN267" s="56"/>
      <c r="BO267" s="56"/>
      <c r="BP267" s="56"/>
      <c r="BQ267" s="56"/>
      <c r="BR267" s="56"/>
      <c r="BS267" s="56"/>
      <c r="BT267" s="60"/>
      <c r="BU267" s="56"/>
      <c r="BV267" s="56"/>
      <c r="BW267" s="56"/>
      <c r="BX267" s="56"/>
      <c r="BY267" s="56"/>
      <c r="BZ267" s="56"/>
      <c r="CA267" s="56"/>
      <c r="CB267" s="56"/>
      <c r="CC267" s="56"/>
      <c r="CD267" s="56"/>
      <c r="CE267" s="56"/>
      <c r="CF267" s="56"/>
      <c r="CG267" s="56"/>
      <c r="CH267" s="56"/>
      <c r="CI267" s="56"/>
      <c r="CJ267" s="60"/>
      <c r="CK267" s="56"/>
      <c r="CL267" s="56"/>
      <c r="CM267" s="56"/>
      <c r="CN267" s="56"/>
      <c r="CO267" s="56"/>
      <c r="CP267" s="56"/>
      <c r="CQ267" s="56"/>
      <c r="CR267" s="56"/>
      <c r="CS267" s="56"/>
      <c r="CT267" s="56"/>
      <c r="CU267" s="56"/>
      <c r="CV267" s="56"/>
      <c r="CW267" s="56"/>
      <c r="CX267" s="60"/>
      <c r="CY267" s="56"/>
      <c r="CZ267" s="56"/>
      <c r="DA267" s="56"/>
      <c r="DB267" s="56"/>
      <c r="DC267" s="56"/>
      <c r="DD267" s="56"/>
      <c r="DE267" s="56"/>
      <c r="DF267" s="56"/>
      <c r="DG267" s="56"/>
      <c r="DH267" s="56"/>
      <c r="DI267" s="56"/>
      <c r="DJ267" s="56"/>
      <c r="DK267" s="60"/>
      <c r="DL267" s="60"/>
      <c r="DM267" s="56"/>
      <c r="DN267" s="56"/>
      <c r="DO267" s="56"/>
      <c r="DP267" s="56"/>
      <c r="DQ267" s="56"/>
      <c r="DR267" s="56"/>
      <c r="DS267" s="56"/>
      <c r="DT267" s="56"/>
      <c r="DU267" s="56"/>
      <c r="DV267" s="56"/>
      <c r="DW267" s="56"/>
      <c r="DX267" s="56"/>
      <c r="DY267" s="56"/>
      <c r="DZ267" s="56"/>
      <c r="EA267" s="56"/>
      <c r="EB267" s="56"/>
      <c r="EC267" s="56"/>
      <c r="ED267" s="56"/>
      <c r="EE267" s="56"/>
      <c r="EF267" s="56"/>
    </row>
    <row r="268" spans="44:136" s="80" customFormat="1">
      <c r="AR268" s="118"/>
      <c r="BD268" s="56"/>
      <c r="BE268" s="56"/>
      <c r="BF268" s="56"/>
      <c r="BG268" s="56"/>
      <c r="BH268" s="56"/>
      <c r="BI268" s="56"/>
      <c r="BJ268" s="56"/>
      <c r="BK268" s="56"/>
      <c r="BL268" s="56"/>
      <c r="BM268" s="56"/>
      <c r="BN268" s="56"/>
      <c r="BO268" s="56"/>
      <c r="BP268" s="56"/>
      <c r="BQ268" s="56"/>
      <c r="BR268" s="56"/>
      <c r="BS268" s="56"/>
      <c r="BT268" s="60"/>
      <c r="BU268" s="56"/>
      <c r="BV268" s="56"/>
      <c r="BW268" s="56"/>
      <c r="BX268" s="56"/>
      <c r="BY268" s="56"/>
      <c r="BZ268" s="56"/>
      <c r="CA268" s="56"/>
      <c r="CB268" s="56"/>
      <c r="CC268" s="56"/>
      <c r="CD268" s="56"/>
      <c r="CE268" s="56"/>
      <c r="CF268" s="56"/>
      <c r="CG268" s="56"/>
      <c r="CH268" s="56"/>
      <c r="CI268" s="56"/>
      <c r="CJ268" s="60"/>
      <c r="CK268" s="56"/>
      <c r="CL268" s="56"/>
      <c r="CM268" s="56"/>
      <c r="CN268" s="56"/>
      <c r="CO268" s="56"/>
      <c r="CP268" s="56"/>
      <c r="CQ268" s="56"/>
      <c r="CR268" s="56"/>
      <c r="CS268" s="56"/>
      <c r="CT268" s="56"/>
      <c r="CU268" s="56"/>
      <c r="CV268" s="56"/>
      <c r="CW268" s="56"/>
      <c r="CX268" s="60"/>
      <c r="CY268" s="56"/>
      <c r="CZ268" s="56"/>
      <c r="DA268" s="56"/>
      <c r="DB268" s="56"/>
      <c r="DC268" s="56"/>
      <c r="DD268" s="56"/>
      <c r="DE268" s="56"/>
      <c r="DF268" s="56"/>
      <c r="DG268" s="56"/>
      <c r="DH268" s="56"/>
      <c r="DI268" s="56"/>
      <c r="DJ268" s="56"/>
      <c r="DK268" s="60"/>
      <c r="DL268" s="60"/>
      <c r="DM268" s="56"/>
      <c r="DN268" s="56"/>
      <c r="DO268" s="56"/>
      <c r="DP268" s="56"/>
      <c r="DQ268" s="56"/>
      <c r="DR268" s="56"/>
      <c r="DS268" s="56"/>
      <c r="DT268" s="56"/>
      <c r="DU268" s="56"/>
      <c r="DV268" s="56"/>
      <c r="DW268" s="56"/>
      <c r="DX268" s="56"/>
      <c r="DY268" s="56"/>
      <c r="DZ268" s="56"/>
      <c r="EA268" s="56"/>
      <c r="EB268" s="56"/>
      <c r="EC268" s="56"/>
      <c r="ED268" s="56"/>
      <c r="EE268" s="56"/>
      <c r="EF268" s="56"/>
    </row>
    <row r="269" spans="44:136" s="80" customFormat="1">
      <c r="AR269" s="118"/>
      <c r="BD269" s="56"/>
      <c r="BE269" s="56"/>
      <c r="BF269" s="56"/>
      <c r="BG269" s="56"/>
      <c r="BH269" s="56"/>
      <c r="BI269" s="56"/>
      <c r="BJ269" s="56"/>
      <c r="BK269" s="56"/>
      <c r="BL269" s="56"/>
      <c r="BM269" s="56"/>
      <c r="BN269" s="56"/>
      <c r="BO269" s="56"/>
      <c r="BP269" s="56"/>
      <c r="BQ269" s="56"/>
      <c r="BR269" s="56"/>
      <c r="BS269" s="56"/>
      <c r="BT269" s="60"/>
      <c r="BU269" s="56"/>
      <c r="BV269" s="56"/>
      <c r="BW269" s="56"/>
      <c r="BX269" s="56"/>
      <c r="BY269" s="56"/>
      <c r="BZ269" s="56"/>
      <c r="CA269" s="56"/>
      <c r="CB269" s="56"/>
      <c r="CC269" s="56"/>
      <c r="CD269" s="56"/>
      <c r="CE269" s="56"/>
      <c r="CF269" s="56"/>
      <c r="CG269" s="56"/>
      <c r="CH269" s="56"/>
      <c r="CI269" s="56"/>
      <c r="CJ269" s="60"/>
      <c r="CK269" s="56"/>
      <c r="CL269" s="56"/>
      <c r="CM269" s="56"/>
      <c r="CN269" s="56"/>
      <c r="CO269" s="56"/>
      <c r="CP269" s="56"/>
      <c r="CQ269" s="56"/>
      <c r="CR269" s="56"/>
      <c r="CS269" s="56"/>
      <c r="CT269" s="56"/>
      <c r="CU269" s="56"/>
      <c r="CV269" s="56"/>
      <c r="CW269" s="56"/>
      <c r="CX269" s="60"/>
      <c r="CY269" s="56"/>
      <c r="CZ269" s="56"/>
      <c r="DA269" s="56"/>
      <c r="DB269" s="56"/>
      <c r="DC269" s="56"/>
      <c r="DD269" s="56"/>
      <c r="DE269" s="56"/>
      <c r="DF269" s="56"/>
      <c r="DG269" s="56"/>
      <c r="DH269" s="56"/>
      <c r="DI269" s="56"/>
      <c r="DJ269" s="56"/>
      <c r="DK269" s="60"/>
      <c r="DL269" s="60"/>
      <c r="DM269" s="56"/>
      <c r="DN269" s="56"/>
      <c r="DO269" s="56"/>
      <c r="DP269" s="56"/>
      <c r="DQ269" s="56"/>
      <c r="DR269" s="56"/>
      <c r="DS269" s="56"/>
      <c r="DT269" s="56"/>
      <c r="DU269" s="56"/>
      <c r="DV269" s="56"/>
      <c r="DW269" s="56"/>
      <c r="DX269" s="56"/>
      <c r="DY269" s="56"/>
      <c r="DZ269" s="56"/>
      <c r="EA269" s="56"/>
      <c r="EB269" s="56"/>
      <c r="EC269" s="56"/>
      <c r="ED269" s="56"/>
      <c r="EE269" s="56"/>
      <c r="EF269" s="56"/>
    </row>
    <row r="270" spans="44:136" s="80" customFormat="1">
      <c r="AR270" s="118"/>
      <c r="BD270" s="56"/>
      <c r="BE270" s="56"/>
      <c r="BF270" s="56"/>
      <c r="BG270" s="56"/>
      <c r="BH270" s="56"/>
      <c r="BI270" s="56"/>
      <c r="BJ270" s="56"/>
      <c r="BK270" s="56"/>
      <c r="BL270" s="56"/>
      <c r="BM270" s="56"/>
      <c r="BN270" s="56"/>
      <c r="BO270" s="56"/>
      <c r="BP270" s="56"/>
      <c r="BQ270" s="56"/>
      <c r="BR270" s="56"/>
      <c r="BS270" s="56"/>
      <c r="BT270" s="60"/>
      <c r="BU270" s="56"/>
      <c r="BV270" s="56"/>
      <c r="BW270" s="56"/>
      <c r="BX270" s="56"/>
      <c r="BY270" s="56"/>
      <c r="BZ270" s="56"/>
      <c r="CA270" s="56"/>
      <c r="CB270" s="56"/>
      <c r="CC270" s="56"/>
      <c r="CD270" s="56"/>
      <c r="CE270" s="56"/>
      <c r="CF270" s="56"/>
      <c r="CG270" s="56"/>
      <c r="CH270" s="56"/>
      <c r="CI270" s="56"/>
      <c r="CJ270" s="60"/>
      <c r="CK270" s="56"/>
      <c r="CL270" s="56"/>
      <c r="CM270" s="56"/>
      <c r="CN270" s="56"/>
      <c r="CO270" s="56"/>
      <c r="CP270" s="56"/>
      <c r="CQ270" s="56"/>
      <c r="CR270" s="56"/>
      <c r="CS270" s="56"/>
      <c r="CT270" s="56"/>
      <c r="CU270" s="56"/>
      <c r="CV270" s="56"/>
      <c r="CW270" s="56"/>
      <c r="CX270" s="60"/>
      <c r="CY270" s="56"/>
      <c r="CZ270" s="56"/>
      <c r="DA270" s="56"/>
      <c r="DB270" s="56"/>
      <c r="DC270" s="56"/>
      <c r="DD270" s="56"/>
      <c r="DE270" s="56"/>
      <c r="DF270" s="56"/>
      <c r="DG270" s="56"/>
      <c r="DH270" s="56"/>
      <c r="DI270" s="56"/>
      <c r="DJ270" s="56"/>
      <c r="DK270" s="60"/>
      <c r="DL270" s="60"/>
      <c r="DM270" s="56"/>
      <c r="DN270" s="56"/>
      <c r="DO270" s="56"/>
      <c r="DP270" s="56"/>
      <c r="DQ270" s="56"/>
      <c r="DR270" s="56"/>
      <c r="DS270" s="56"/>
      <c r="DT270" s="56"/>
      <c r="DU270" s="56"/>
      <c r="DV270" s="56"/>
      <c r="DW270" s="56"/>
      <c r="DX270" s="56"/>
      <c r="DY270" s="56"/>
      <c r="DZ270" s="56"/>
      <c r="EA270" s="56"/>
      <c r="EB270" s="56"/>
      <c r="EC270" s="56"/>
      <c r="ED270" s="56"/>
      <c r="EE270" s="56"/>
      <c r="EF270" s="56"/>
    </row>
    <row r="271" spans="44:136" s="80" customFormat="1">
      <c r="AR271" s="118"/>
      <c r="BD271" s="56"/>
      <c r="BE271" s="56"/>
      <c r="BF271" s="56"/>
      <c r="BG271" s="56"/>
      <c r="BH271" s="56"/>
      <c r="BI271" s="56"/>
      <c r="BJ271" s="56"/>
      <c r="BK271" s="56"/>
      <c r="BL271" s="56"/>
      <c r="BM271" s="56"/>
      <c r="BN271" s="56"/>
      <c r="BO271" s="56"/>
      <c r="BP271" s="56"/>
      <c r="BQ271" s="56"/>
      <c r="BR271" s="56"/>
      <c r="BS271" s="56"/>
      <c r="BT271" s="60"/>
      <c r="BU271" s="56"/>
      <c r="BV271" s="56"/>
      <c r="BW271" s="56"/>
      <c r="BX271" s="56"/>
      <c r="BY271" s="56"/>
      <c r="BZ271" s="56"/>
      <c r="CA271" s="56"/>
      <c r="CB271" s="56"/>
      <c r="CC271" s="56"/>
      <c r="CD271" s="56"/>
      <c r="CE271" s="56"/>
      <c r="CF271" s="56"/>
      <c r="CG271" s="56"/>
      <c r="CH271" s="56"/>
      <c r="CI271" s="56"/>
      <c r="CJ271" s="60"/>
      <c r="CK271" s="56"/>
      <c r="CL271" s="56"/>
      <c r="CM271" s="56"/>
      <c r="CN271" s="56"/>
      <c r="CO271" s="56"/>
      <c r="CP271" s="56"/>
      <c r="CQ271" s="56"/>
      <c r="CR271" s="56"/>
      <c r="CS271" s="56"/>
      <c r="CT271" s="56"/>
      <c r="CU271" s="56"/>
      <c r="CV271" s="56"/>
      <c r="CW271" s="56"/>
      <c r="CX271" s="60"/>
      <c r="CY271" s="56"/>
      <c r="CZ271" s="56"/>
      <c r="DA271" s="56"/>
      <c r="DB271" s="56"/>
      <c r="DC271" s="56"/>
      <c r="DD271" s="56"/>
      <c r="DE271" s="56"/>
      <c r="DF271" s="56"/>
      <c r="DG271" s="56"/>
      <c r="DH271" s="56"/>
      <c r="DI271" s="56"/>
      <c r="DJ271" s="56"/>
      <c r="DK271" s="60"/>
      <c r="DL271" s="60"/>
      <c r="DM271" s="56"/>
      <c r="DN271" s="56"/>
      <c r="DO271" s="56"/>
      <c r="DP271" s="56"/>
      <c r="DQ271" s="56"/>
      <c r="DR271" s="56"/>
      <c r="DS271" s="56"/>
      <c r="DT271" s="56"/>
      <c r="DU271" s="56"/>
      <c r="DV271" s="56"/>
      <c r="DW271" s="56"/>
      <c r="DX271" s="56"/>
      <c r="DY271" s="56"/>
      <c r="DZ271" s="56"/>
      <c r="EA271" s="56"/>
      <c r="EB271" s="56"/>
      <c r="EC271" s="56"/>
      <c r="ED271" s="56"/>
      <c r="EE271" s="56"/>
      <c r="EF271" s="56"/>
    </row>
    <row r="272" spans="44:136" s="80" customFormat="1">
      <c r="AR272" s="118"/>
      <c r="BD272" s="56"/>
      <c r="BE272" s="56"/>
      <c r="BF272" s="56"/>
      <c r="BG272" s="56"/>
      <c r="BH272" s="56"/>
      <c r="BI272" s="56"/>
      <c r="BJ272" s="56"/>
      <c r="BK272" s="56"/>
      <c r="BL272" s="56"/>
      <c r="BM272" s="56"/>
      <c r="BN272" s="56"/>
      <c r="BO272" s="56"/>
      <c r="BP272" s="56"/>
      <c r="BQ272" s="56"/>
      <c r="BR272" s="56"/>
      <c r="BS272" s="56"/>
      <c r="BT272" s="60"/>
      <c r="BU272" s="56"/>
      <c r="BV272" s="56"/>
      <c r="BW272" s="56"/>
      <c r="BX272" s="56"/>
      <c r="BY272" s="56"/>
      <c r="BZ272" s="56"/>
      <c r="CA272" s="56"/>
      <c r="CB272" s="56"/>
      <c r="CC272" s="56"/>
      <c r="CD272" s="56"/>
      <c r="CE272" s="56"/>
      <c r="CF272" s="56"/>
      <c r="CG272" s="56"/>
      <c r="CH272" s="56"/>
      <c r="CI272" s="56"/>
      <c r="CJ272" s="60"/>
      <c r="CK272" s="56"/>
      <c r="CL272" s="56"/>
      <c r="CM272" s="56"/>
      <c r="CN272" s="56"/>
      <c r="CO272" s="56"/>
      <c r="CP272" s="56"/>
      <c r="CQ272" s="56"/>
      <c r="CR272" s="56"/>
      <c r="CS272" s="56"/>
      <c r="CT272" s="56"/>
      <c r="CU272" s="56"/>
      <c r="CV272" s="56"/>
      <c r="CW272" s="56"/>
      <c r="CX272" s="60"/>
      <c r="CY272" s="56"/>
      <c r="CZ272" s="56"/>
      <c r="DA272" s="56"/>
      <c r="DB272" s="56"/>
      <c r="DC272" s="56"/>
      <c r="DD272" s="56"/>
      <c r="DE272" s="56"/>
      <c r="DF272" s="56"/>
      <c r="DG272" s="56"/>
      <c r="DH272" s="56"/>
      <c r="DI272" s="56"/>
      <c r="DJ272" s="56"/>
      <c r="DK272" s="60"/>
      <c r="DL272" s="60"/>
      <c r="DM272" s="56"/>
      <c r="DN272" s="56"/>
      <c r="DO272" s="56"/>
      <c r="DP272" s="56"/>
      <c r="DQ272" s="56"/>
      <c r="DR272" s="56"/>
      <c r="DS272" s="56"/>
      <c r="DT272" s="56"/>
      <c r="DU272" s="56"/>
      <c r="DV272" s="56"/>
      <c r="DW272" s="56"/>
      <c r="DX272" s="56"/>
      <c r="DY272" s="56"/>
      <c r="DZ272" s="56"/>
      <c r="EA272" s="56"/>
      <c r="EB272" s="56"/>
      <c r="EC272" s="56"/>
      <c r="ED272" s="56"/>
      <c r="EE272" s="56"/>
      <c r="EF272" s="56"/>
    </row>
    <row r="273" spans="44:136" s="80" customFormat="1">
      <c r="AR273" s="118"/>
      <c r="BD273" s="56"/>
      <c r="BE273" s="56"/>
      <c r="BF273" s="56"/>
      <c r="BG273" s="56"/>
      <c r="BH273" s="56"/>
      <c r="BI273" s="56"/>
      <c r="BJ273" s="56"/>
      <c r="BK273" s="56"/>
      <c r="BL273" s="56"/>
      <c r="BM273" s="56"/>
      <c r="BN273" s="56"/>
      <c r="BO273" s="56"/>
      <c r="BP273" s="56"/>
      <c r="BQ273" s="56"/>
      <c r="BR273" s="56"/>
      <c r="BS273" s="56"/>
      <c r="BT273" s="60"/>
      <c r="BU273" s="56"/>
      <c r="BV273" s="56"/>
      <c r="BW273" s="56"/>
      <c r="BX273" s="56"/>
      <c r="BY273" s="56"/>
      <c r="BZ273" s="56"/>
      <c r="CA273" s="56"/>
      <c r="CB273" s="56"/>
      <c r="CC273" s="56"/>
      <c r="CD273" s="56"/>
      <c r="CE273" s="56"/>
      <c r="CF273" s="56"/>
      <c r="CG273" s="56"/>
      <c r="CH273" s="56"/>
      <c r="CI273" s="56"/>
      <c r="CJ273" s="60"/>
      <c r="CK273" s="56"/>
      <c r="CL273" s="56"/>
      <c r="CM273" s="56"/>
      <c r="CN273" s="56"/>
      <c r="CO273" s="56"/>
      <c r="CP273" s="56"/>
      <c r="CQ273" s="56"/>
      <c r="CR273" s="56"/>
      <c r="CS273" s="56"/>
      <c r="CT273" s="56"/>
      <c r="CU273" s="56"/>
      <c r="CV273" s="56"/>
      <c r="CW273" s="56"/>
      <c r="CX273" s="60"/>
      <c r="CY273" s="56"/>
      <c r="CZ273" s="56"/>
      <c r="DA273" s="56"/>
      <c r="DB273" s="56"/>
      <c r="DC273" s="56"/>
      <c r="DD273" s="56"/>
      <c r="DE273" s="56"/>
      <c r="DF273" s="56"/>
      <c r="DG273" s="56"/>
      <c r="DH273" s="56"/>
      <c r="DI273" s="56"/>
      <c r="DJ273" s="56"/>
      <c r="DK273" s="60"/>
      <c r="DL273" s="60"/>
      <c r="DM273" s="56"/>
      <c r="DN273" s="56"/>
      <c r="DO273" s="56"/>
      <c r="DP273" s="56"/>
      <c r="DQ273" s="56"/>
      <c r="DR273" s="56"/>
      <c r="DS273" s="56"/>
      <c r="DT273" s="56"/>
      <c r="DU273" s="56"/>
      <c r="DV273" s="56"/>
      <c r="DW273" s="56"/>
      <c r="DX273" s="56"/>
      <c r="DY273" s="56"/>
      <c r="DZ273" s="56"/>
      <c r="EA273" s="56"/>
      <c r="EB273" s="56"/>
      <c r="EC273" s="56"/>
      <c r="ED273" s="56"/>
      <c r="EE273" s="56"/>
      <c r="EF273" s="56"/>
    </row>
    <row r="274" spans="44:136" s="80" customFormat="1">
      <c r="AR274" s="118"/>
      <c r="BD274" s="56"/>
      <c r="BE274" s="56"/>
      <c r="BF274" s="56"/>
      <c r="BG274" s="56"/>
      <c r="BH274" s="56"/>
      <c r="BI274" s="56"/>
      <c r="BJ274" s="56"/>
      <c r="BK274" s="56"/>
      <c r="BL274" s="56"/>
      <c r="BM274" s="56"/>
      <c r="BN274" s="56"/>
      <c r="BO274" s="56"/>
      <c r="BP274" s="56"/>
      <c r="BQ274" s="56"/>
      <c r="BR274" s="56"/>
      <c r="BS274" s="56"/>
      <c r="BT274" s="60"/>
      <c r="BU274" s="56"/>
      <c r="BV274" s="56"/>
      <c r="BW274" s="56"/>
      <c r="BX274" s="56"/>
      <c r="BY274" s="56"/>
      <c r="BZ274" s="56"/>
      <c r="CA274" s="56"/>
      <c r="CB274" s="56"/>
      <c r="CC274" s="56"/>
      <c r="CD274" s="56"/>
      <c r="CE274" s="56"/>
      <c r="CF274" s="56"/>
      <c r="CG274" s="56"/>
      <c r="CH274" s="56"/>
      <c r="CI274" s="56"/>
      <c r="CJ274" s="60"/>
      <c r="CK274" s="56"/>
      <c r="CL274" s="56"/>
      <c r="CM274" s="56"/>
      <c r="CN274" s="56"/>
      <c r="CO274" s="56"/>
      <c r="CP274" s="56"/>
      <c r="CQ274" s="56"/>
      <c r="CR274" s="56"/>
      <c r="CS274" s="56"/>
      <c r="CT274" s="56"/>
      <c r="CU274" s="56"/>
      <c r="CV274" s="56"/>
      <c r="CW274" s="56"/>
      <c r="CX274" s="60"/>
      <c r="CY274" s="56"/>
      <c r="CZ274" s="56"/>
      <c r="DA274" s="56"/>
      <c r="DB274" s="56"/>
      <c r="DC274" s="56"/>
      <c r="DD274" s="56"/>
      <c r="DE274" s="56"/>
      <c r="DF274" s="56"/>
      <c r="DG274" s="56"/>
      <c r="DH274" s="56"/>
      <c r="DI274" s="56"/>
      <c r="DJ274" s="56"/>
      <c r="DK274" s="60"/>
      <c r="DL274" s="60"/>
      <c r="DM274" s="56"/>
      <c r="DN274" s="56"/>
      <c r="DO274" s="56"/>
      <c r="DP274" s="56"/>
      <c r="DQ274" s="56"/>
      <c r="DR274" s="56"/>
      <c r="DS274" s="56"/>
      <c r="DT274" s="56"/>
      <c r="DU274" s="56"/>
      <c r="DV274" s="56"/>
      <c r="DW274" s="56"/>
      <c r="DX274" s="56"/>
      <c r="DY274" s="56"/>
      <c r="DZ274" s="56"/>
      <c r="EA274" s="56"/>
      <c r="EB274" s="56"/>
      <c r="EC274" s="56"/>
      <c r="ED274" s="56"/>
      <c r="EE274" s="56"/>
      <c r="EF274" s="56"/>
    </row>
    <row r="275" spans="44:136" s="80" customFormat="1">
      <c r="AR275" s="118"/>
      <c r="BD275" s="56"/>
      <c r="BE275" s="56"/>
      <c r="BF275" s="56"/>
      <c r="BG275" s="56"/>
      <c r="BH275" s="56"/>
      <c r="BI275" s="56"/>
      <c r="BJ275" s="56"/>
      <c r="BK275" s="56"/>
      <c r="BL275" s="56"/>
      <c r="BM275" s="56"/>
      <c r="BN275" s="56"/>
      <c r="BO275" s="56"/>
      <c r="BP275" s="56"/>
      <c r="BQ275" s="56"/>
      <c r="BR275" s="56"/>
      <c r="BS275" s="56"/>
      <c r="BT275" s="60"/>
      <c r="BU275" s="56"/>
      <c r="BV275" s="56"/>
      <c r="BW275" s="56"/>
      <c r="BX275" s="56"/>
      <c r="BY275" s="56"/>
      <c r="BZ275" s="56"/>
      <c r="CA275" s="56"/>
      <c r="CB275" s="56"/>
      <c r="CC275" s="56"/>
      <c r="CD275" s="56"/>
      <c r="CE275" s="56"/>
      <c r="CF275" s="56"/>
      <c r="CG275" s="56"/>
      <c r="CH275" s="56"/>
      <c r="CI275" s="56"/>
      <c r="CJ275" s="60"/>
      <c r="CK275" s="56"/>
      <c r="CL275" s="56"/>
      <c r="CM275" s="56"/>
      <c r="CN275" s="56"/>
      <c r="CO275" s="56"/>
      <c r="CP275" s="56"/>
      <c r="CQ275" s="56"/>
      <c r="CR275" s="56"/>
      <c r="CS275" s="56"/>
      <c r="CT275" s="56"/>
      <c r="CU275" s="56"/>
      <c r="CV275" s="56"/>
      <c r="CW275" s="56"/>
      <c r="CX275" s="60"/>
      <c r="CY275" s="56"/>
      <c r="CZ275" s="56"/>
      <c r="DA275" s="56"/>
      <c r="DB275" s="56"/>
      <c r="DC275" s="56"/>
      <c r="DD275" s="56"/>
      <c r="DE275" s="56"/>
      <c r="DF275" s="56"/>
      <c r="DG275" s="56"/>
      <c r="DH275" s="56"/>
      <c r="DI275" s="56"/>
      <c r="DJ275" s="56"/>
      <c r="DK275" s="60"/>
      <c r="DL275" s="60"/>
      <c r="DM275" s="56"/>
      <c r="DN275" s="56"/>
      <c r="DO275" s="56"/>
      <c r="DP275" s="56"/>
      <c r="DQ275" s="56"/>
      <c r="DR275" s="56"/>
      <c r="DS275" s="56"/>
      <c r="DT275" s="56"/>
      <c r="DU275" s="56"/>
      <c r="DV275" s="56"/>
      <c r="DW275" s="56"/>
      <c r="DX275" s="56"/>
      <c r="DY275" s="56"/>
      <c r="DZ275" s="56"/>
      <c r="EA275" s="56"/>
      <c r="EB275" s="56"/>
      <c r="EC275" s="56"/>
      <c r="ED275" s="56"/>
      <c r="EE275" s="56"/>
      <c r="EF275" s="56"/>
    </row>
    <row r="276" spans="44:136" s="80" customFormat="1">
      <c r="AR276" s="118"/>
      <c r="BD276" s="56"/>
      <c r="BE276" s="56"/>
      <c r="BF276" s="56"/>
      <c r="BG276" s="56"/>
      <c r="BH276" s="56"/>
      <c r="BI276" s="56"/>
      <c r="BJ276" s="56"/>
      <c r="BK276" s="56"/>
      <c r="BL276" s="56"/>
      <c r="BM276" s="56"/>
      <c r="BN276" s="56"/>
      <c r="BO276" s="56"/>
      <c r="BP276" s="56"/>
      <c r="BQ276" s="56"/>
      <c r="BR276" s="56"/>
      <c r="BS276" s="56"/>
      <c r="BT276" s="60"/>
      <c r="BU276" s="56"/>
      <c r="BV276" s="56"/>
      <c r="BW276" s="56"/>
      <c r="BX276" s="56"/>
      <c r="BY276" s="56"/>
      <c r="BZ276" s="56"/>
      <c r="CA276" s="56"/>
      <c r="CB276" s="56"/>
      <c r="CC276" s="56"/>
      <c r="CD276" s="56"/>
      <c r="CE276" s="56"/>
      <c r="CF276" s="56"/>
      <c r="CG276" s="56"/>
      <c r="CH276" s="56"/>
      <c r="CI276" s="56"/>
      <c r="CJ276" s="60"/>
      <c r="CK276" s="56"/>
      <c r="CL276" s="56"/>
      <c r="CM276" s="56"/>
      <c r="CN276" s="56"/>
      <c r="CO276" s="56"/>
      <c r="CP276" s="56"/>
      <c r="CQ276" s="56"/>
      <c r="CR276" s="56"/>
      <c r="CS276" s="56"/>
      <c r="CT276" s="56"/>
      <c r="CU276" s="56"/>
      <c r="CV276" s="56"/>
      <c r="CW276" s="56"/>
      <c r="CX276" s="60"/>
      <c r="CY276" s="56"/>
      <c r="CZ276" s="56"/>
      <c r="DA276" s="56"/>
      <c r="DB276" s="56"/>
      <c r="DC276" s="56"/>
      <c r="DD276" s="56"/>
      <c r="DE276" s="56"/>
      <c r="DF276" s="56"/>
      <c r="DG276" s="56"/>
      <c r="DH276" s="56"/>
      <c r="DI276" s="56"/>
      <c r="DJ276" s="56"/>
      <c r="DK276" s="60"/>
      <c r="DL276" s="60"/>
      <c r="DM276" s="56"/>
      <c r="DN276" s="56"/>
      <c r="DO276" s="56"/>
      <c r="DP276" s="56"/>
      <c r="DQ276" s="56"/>
      <c r="DR276" s="56"/>
      <c r="DS276" s="56"/>
      <c r="DT276" s="56"/>
      <c r="DU276" s="56"/>
      <c r="DV276" s="56"/>
      <c r="DW276" s="56"/>
      <c r="DX276" s="56"/>
      <c r="DY276" s="56"/>
      <c r="DZ276" s="56"/>
      <c r="EA276" s="56"/>
      <c r="EB276" s="56"/>
      <c r="EC276" s="56"/>
      <c r="ED276" s="56"/>
      <c r="EE276" s="56"/>
      <c r="EF276" s="56"/>
    </row>
    <row r="277" spans="44:136" s="80" customFormat="1">
      <c r="AR277" s="118"/>
      <c r="BD277" s="56"/>
      <c r="BE277" s="56"/>
      <c r="BF277" s="56"/>
      <c r="BG277" s="56"/>
      <c r="BH277" s="56"/>
      <c r="BI277" s="56"/>
      <c r="BJ277" s="56"/>
      <c r="BK277" s="56"/>
      <c r="BL277" s="56"/>
      <c r="BM277" s="56"/>
      <c r="BN277" s="56"/>
      <c r="BO277" s="56"/>
      <c r="BP277" s="56"/>
      <c r="BQ277" s="56"/>
      <c r="BR277" s="56"/>
      <c r="BS277" s="56"/>
      <c r="BT277" s="60"/>
      <c r="BU277" s="56"/>
      <c r="BV277" s="56"/>
      <c r="BW277" s="56"/>
      <c r="BX277" s="56"/>
      <c r="BY277" s="56"/>
      <c r="BZ277" s="56"/>
      <c r="CA277" s="56"/>
      <c r="CB277" s="56"/>
      <c r="CC277" s="56"/>
      <c r="CD277" s="56"/>
      <c r="CE277" s="56"/>
      <c r="CF277" s="56"/>
      <c r="CG277" s="56"/>
      <c r="CH277" s="56"/>
      <c r="CI277" s="56"/>
      <c r="CJ277" s="60"/>
      <c r="CK277" s="56"/>
      <c r="CL277" s="56"/>
      <c r="CM277" s="56"/>
      <c r="CN277" s="56"/>
      <c r="CO277" s="56"/>
      <c r="CP277" s="56"/>
      <c r="CQ277" s="56"/>
      <c r="CR277" s="56"/>
      <c r="CS277" s="56"/>
      <c r="CT277" s="56"/>
      <c r="CU277" s="56"/>
      <c r="CV277" s="56"/>
      <c r="CW277" s="56"/>
      <c r="CX277" s="60"/>
      <c r="CY277" s="56"/>
      <c r="CZ277" s="56"/>
      <c r="DA277" s="56"/>
      <c r="DB277" s="56"/>
      <c r="DC277" s="56"/>
      <c r="DD277" s="56"/>
      <c r="DE277" s="56"/>
      <c r="DF277" s="56"/>
      <c r="DG277" s="56"/>
      <c r="DH277" s="56"/>
      <c r="DI277" s="56"/>
      <c r="DJ277" s="56"/>
      <c r="DK277" s="60"/>
      <c r="DL277" s="60"/>
      <c r="DM277" s="56"/>
      <c r="DN277" s="56"/>
      <c r="DO277" s="56"/>
      <c r="DP277" s="56"/>
      <c r="DQ277" s="56"/>
      <c r="DR277" s="56"/>
      <c r="DS277" s="56"/>
      <c r="DT277" s="56"/>
      <c r="DU277" s="56"/>
      <c r="DV277" s="56"/>
      <c r="DW277" s="56"/>
      <c r="DX277" s="56"/>
      <c r="DY277" s="56"/>
      <c r="DZ277" s="56"/>
      <c r="EA277" s="56"/>
      <c r="EB277" s="56"/>
      <c r="EC277" s="56"/>
      <c r="ED277" s="56"/>
      <c r="EE277" s="56"/>
      <c r="EF277" s="56"/>
    </row>
    <row r="278" spans="44:136" s="80" customFormat="1">
      <c r="AR278" s="118"/>
      <c r="BD278" s="56"/>
      <c r="BE278" s="56"/>
      <c r="BF278" s="56"/>
      <c r="BG278" s="56"/>
      <c r="BH278" s="56"/>
      <c r="BI278" s="56"/>
      <c r="BJ278" s="56"/>
      <c r="BK278" s="56"/>
      <c r="BL278" s="56"/>
      <c r="BM278" s="56"/>
      <c r="BN278" s="56"/>
      <c r="BO278" s="56"/>
      <c r="BP278" s="56"/>
      <c r="BQ278" s="56"/>
      <c r="BR278" s="56"/>
      <c r="BS278" s="56"/>
      <c r="BT278" s="60"/>
      <c r="BU278" s="56"/>
      <c r="BV278" s="56"/>
      <c r="BW278" s="56"/>
      <c r="BX278" s="56"/>
      <c r="BY278" s="56"/>
      <c r="BZ278" s="56"/>
      <c r="CA278" s="56"/>
      <c r="CB278" s="56"/>
      <c r="CC278" s="56"/>
      <c r="CD278" s="56"/>
      <c r="CE278" s="56"/>
      <c r="CF278" s="56"/>
      <c r="CG278" s="56"/>
      <c r="CH278" s="56"/>
      <c r="CI278" s="56"/>
      <c r="CJ278" s="60"/>
      <c r="CK278" s="56"/>
      <c r="CL278" s="56"/>
      <c r="CM278" s="56"/>
      <c r="CN278" s="56"/>
      <c r="CO278" s="56"/>
      <c r="CP278" s="56"/>
      <c r="CQ278" s="56"/>
      <c r="CR278" s="56"/>
      <c r="CS278" s="56"/>
      <c r="CT278" s="56"/>
      <c r="CU278" s="56"/>
      <c r="CV278" s="56"/>
      <c r="CW278" s="56"/>
      <c r="CX278" s="60"/>
      <c r="CY278" s="56"/>
      <c r="CZ278" s="56"/>
      <c r="DA278" s="56"/>
      <c r="DB278" s="56"/>
      <c r="DC278" s="56"/>
      <c r="DD278" s="56"/>
      <c r="DE278" s="56"/>
      <c r="DF278" s="56"/>
      <c r="DG278" s="56"/>
      <c r="DH278" s="56"/>
      <c r="DI278" s="56"/>
      <c r="DJ278" s="56"/>
      <c r="DK278" s="60"/>
      <c r="DL278" s="60"/>
      <c r="DM278" s="56"/>
      <c r="DN278" s="56"/>
      <c r="DO278" s="56"/>
      <c r="DP278" s="56"/>
      <c r="DQ278" s="56"/>
      <c r="DR278" s="56"/>
      <c r="DS278" s="56"/>
      <c r="DT278" s="56"/>
      <c r="DU278" s="56"/>
      <c r="DV278" s="56"/>
      <c r="DW278" s="56"/>
      <c r="DX278" s="56"/>
      <c r="DY278" s="56"/>
      <c r="DZ278" s="56"/>
      <c r="EA278" s="56"/>
      <c r="EB278" s="56"/>
      <c r="EC278" s="56"/>
      <c r="ED278" s="56"/>
      <c r="EE278" s="56"/>
      <c r="EF278" s="56"/>
    </row>
    <row r="279" spans="44:136" s="80" customFormat="1">
      <c r="AR279" s="118"/>
      <c r="BD279" s="56"/>
      <c r="BE279" s="56"/>
      <c r="BF279" s="56"/>
      <c r="BG279" s="56"/>
      <c r="BH279" s="56"/>
      <c r="BI279" s="56"/>
      <c r="BJ279" s="56"/>
      <c r="BK279" s="56"/>
      <c r="BL279" s="56"/>
      <c r="BM279" s="56"/>
      <c r="BN279" s="56"/>
      <c r="BO279" s="56"/>
      <c r="BP279" s="56"/>
      <c r="BQ279" s="56"/>
      <c r="BR279" s="56"/>
      <c r="BS279" s="56"/>
      <c r="BT279" s="60"/>
      <c r="BU279" s="56"/>
      <c r="BV279" s="56"/>
      <c r="BW279" s="56"/>
      <c r="BX279" s="56"/>
      <c r="BY279" s="56"/>
      <c r="BZ279" s="56"/>
      <c r="CA279" s="56"/>
      <c r="CB279" s="56"/>
      <c r="CC279" s="56"/>
      <c r="CD279" s="56"/>
      <c r="CE279" s="56"/>
      <c r="CF279" s="56"/>
      <c r="CG279" s="56"/>
      <c r="CH279" s="56"/>
      <c r="CI279" s="56"/>
      <c r="CJ279" s="60"/>
      <c r="CK279" s="56"/>
      <c r="CL279" s="56"/>
      <c r="CM279" s="56"/>
      <c r="CN279" s="56"/>
      <c r="CO279" s="56"/>
      <c r="CP279" s="56"/>
      <c r="CQ279" s="56"/>
      <c r="CR279" s="56"/>
      <c r="CS279" s="56"/>
      <c r="CT279" s="56"/>
      <c r="CU279" s="56"/>
      <c r="CV279" s="56"/>
      <c r="CW279" s="56"/>
      <c r="CX279" s="60"/>
      <c r="CY279" s="56"/>
      <c r="CZ279" s="56"/>
      <c r="DA279" s="56"/>
      <c r="DB279" s="56"/>
      <c r="DC279" s="56"/>
      <c r="DD279" s="56"/>
      <c r="DE279" s="56"/>
      <c r="DF279" s="56"/>
      <c r="DG279" s="56"/>
      <c r="DH279" s="56"/>
      <c r="DI279" s="56"/>
      <c r="DJ279" s="56"/>
      <c r="DK279" s="60"/>
      <c r="DL279" s="60"/>
      <c r="DM279" s="56"/>
      <c r="DN279" s="56"/>
      <c r="DO279" s="56"/>
      <c r="DP279" s="56"/>
      <c r="DQ279" s="56"/>
      <c r="DR279" s="56"/>
      <c r="DS279" s="56"/>
      <c r="DT279" s="56"/>
      <c r="DU279" s="56"/>
      <c r="DV279" s="56"/>
      <c r="DW279" s="56"/>
      <c r="DX279" s="56"/>
      <c r="DY279" s="56"/>
      <c r="DZ279" s="56"/>
      <c r="EA279" s="56"/>
      <c r="EB279" s="56"/>
      <c r="EC279" s="56"/>
      <c r="ED279" s="56"/>
      <c r="EE279" s="56"/>
      <c r="EF279" s="56"/>
    </row>
    <row r="280" spans="44:136" s="80" customFormat="1">
      <c r="AR280" s="118"/>
      <c r="BD280" s="56"/>
      <c r="BE280" s="56"/>
      <c r="BF280" s="56"/>
      <c r="BG280" s="56"/>
      <c r="BH280" s="56"/>
      <c r="BI280" s="56"/>
      <c r="BJ280" s="56"/>
      <c r="BK280" s="56"/>
      <c r="BL280" s="56"/>
      <c r="BM280" s="56"/>
      <c r="BN280" s="56"/>
      <c r="BO280" s="56"/>
      <c r="BP280" s="56"/>
      <c r="BQ280" s="56"/>
      <c r="BR280" s="56"/>
      <c r="BS280" s="56"/>
      <c r="BT280" s="60"/>
      <c r="BU280" s="56"/>
      <c r="BV280" s="56"/>
      <c r="BW280" s="56"/>
      <c r="BX280" s="56"/>
      <c r="BY280" s="56"/>
      <c r="BZ280" s="56"/>
      <c r="CA280" s="56"/>
      <c r="CB280" s="56"/>
      <c r="CC280" s="56"/>
      <c r="CD280" s="56"/>
      <c r="CE280" s="56"/>
      <c r="CF280" s="56"/>
      <c r="CG280" s="56"/>
      <c r="CH280" s="56"/>
      <c r="CI280" s="56"/>
      <c r="CJ280" s="60"/>
      <c r="CK280" s="56"/>
      <c r="CL280" s="56"/>
      <c r="CM280" s="56"/>
      <c r="CN280" s="56"/>
      <c r="CO280" s="56"/>
      <c r="CP280" s="56"/>
      <c r="CQ280" s="56"/>
      <c r="CR280" s="56"/>
      <c r="CS280" s="56"/>
      <c r="CT280" s="56"/>
      <c r="CU280" s="56"/>
      <c r="CV280" s="56"/>
      <c r="CW280" s="56"/>
      <c r="CX280" s="60"/>
      <c r="CY280" s="56"/>
      <c r="CZ280" s="56"/>
      <c r="DA280" s="56"/>
      <c r="DB280" s="56"/>
      <c r="DC280" s="56"/>
      <c r="DD280" s="56"/>
      <c r="DE280" s="56"/>
      <c r="DF280" s="56"/>
      <c r="DG280" s="56"/>
      <c r="DH280" s="56"/>
      <c r="DI280" s="56"/>
      <c r="DJ280" s="56"/>
      <c r="DK280" s="60"/>
      <c r="DL280" s="60"/>
      <c r="DM280" s="56"/>
      <c r="DN280" s="56"/>
      <c r="DO280" s="56"/>
      <c r="DP280" s="56"/>
      <c r="DQ280" s="56"/>
      <c r="DR280" s="56"/>
      <c r="DS280" s="56"/>
      <c r="DT280" s="56"/>
      <c r="DU280" s="56"/>
      <c r="DV280" s="56"/>
      <c r="DW280" s="56"/>
      <c r="DX280" s="56"/>
      <c r="DY280" s="56"/>
      <c r="DZ280" s="56"/>
      <c r="EA280" s="56"/>
      <c r="EB280" s="56"/>
      <c r="EC280" s="56"/>
      <c r="ED280" s="56"/>
      <c r="EE280" s="56"/>
      <c r="EF280" s="56"/>
    </row>
    <row r="281" spans="44:136" s="80" customFormat="1">
      <c r="AR281" s="118"/>
      <c r="BD281" s="56"/>
      <c r="BE281" s="56"/>
      <c r="BF281" s="56"/>
      <c r="BG281" s="56"/>
      <c r="BH281" s="56"/>
      <c r="BI281" s="56"/>
      <c r="BJ281" s="56"/>
      <c r="BK281" s="56"/>
      <c r="BL281" s="56"/>
      <c r="BM281" s="56"/>
      <c r="BN281" s="56"/>
      <c r="BO281" s="56"/>
      <c r="BP281" s="56"/>
      <c r="BQ281" s="56"/>
      <c r="BR281" s="56"/>
      <c r="BS281" s="56"/>
      <c r="BT281" s="60"/>
      <c r="BU281" s="56"/>
      <c r="BV281" s="56"/>
      <c r="BW281" s="56"/>
      <c r="BX281" s="56"/>
      <c r="BY281" s="56"/>
      <c r="BZ281" s="56"/>
      <c r="CA281" s="56"/>
      <c r="CB281" s="56"/>
      <c r="CC281" s="56"/>
      <c r="CD281" s="56"/>
      <c r="CE281" s="56"/>
      <c r="CF281" s="56"/>
      <c r="CG281" s="56"/>
      <c r="CH281" s="56"/>
      <c r="CI281" s="56"/>
      <c r="CJ281" s="60"/>
      <c r="CK281" s="56"/>
      <c r="CL281" s="56"/>
      <c r="CM281" s="56"/>
      <c r="CN281" s="56"/>
      <c r="CO281" s="56"/>
      <c r="CP281" s="56"/>
      <c r="CQ281" s="56"/>
      <c r="CR281" s="56"/>
      <c r="CS281" s="56"/>
      <c r="CT281" s="56"/>
      <c r="CU281" s="56"/>
      <c r="CV281" s="56"/>
      <c r="CW281" s="56"/>
      <c r="CX281" s="60"/>
      <c r="CY281" s="56"/>
      <c r="CZ281" s="56"/>
      <c r="DA281" s="56"/>
      <c r="DB281" s="56"/>
      <c r="DC281" s="56"/>
      <c r="DD281" s="56"/>
      <c r="DE281" s="56"/>
      <c r="DF281" s="56"/>
      <c r="DG281" s="56"/>
      <c r="DH281" s="56"/>
      <c r="DI281" s="56"/>
      <c r="DJ281" s="56"/>
      <c r="DK281" s="60"/>
      <c r="DL281" s="60"/>
      <c r="DM281" s="56"/>
      <c r="DN281" s="56"/>
      <c r="DO281" s="56"/>
      <c r="DP281" s="56"/>
      <c r="DQ281" s="56"/>
      <c r="DR281" s="56"/>
      <c r="DS281" s="56"/>
      <c r="DT281" s="56"/>
      <c r="DU281" s="56"/>
      <c r="DV281" s="56"/>
      <c r="DW281" s="56"/>
      <c r="DX281" s="56"/>
      <c r="DY281" s="56"/>
      <c r="DZ281" s="56"/>
      <c r="EA281" s="56"/>
      <c r="EB281" s="56"/>
      <c r="EC281" s="56"/>
      <c r="ED281" s="56"/>
      <c r="EE281" s="56"/>
      <c r="EF281" s="56"/>
    </row>
    <row r="282" spans="44:136" s="80" customFormat="1">
      <c r="AR282" s="118"/>
      <c r="BD282" s="56"/>
      <c r="BE282" s="56"/>
      <c r="BF282" s="56"/>
      <c r="BG282" s="56"/>
      <c r="BH282" s="56"/>
      <c r="BI282" s="56"/>
      <c r="BJ282" s="56"/>
      <c r="BK282" s="56"/>
      <c r="BL282" s="56"/>
      <c r="BM282" s="56"/>
      <c r="BN282" s="56"/>
      <c r="BO282" s="56"/>
      <c r="BP282" s="56"/>
      <c r="BQ282" s="56"/>
      <c r="BR282" s="56"/>
      <c r="BS282" s="56"/>
      <c r="BT282" s="60"/>
      <c r="BU282" s="56"/>
      <c r="BV282" s="56"/>
      <c r="BW282" s="56"/>
      <c r="BX282" s="56"/>
      <c r="BY282" s="56"/>
      <c r="BZ282" s="56"/>
      <c r="CA282" s="56"/>
      <c r="CB282" s="56"/>
      <c r="CC282" s="56"/>
      <c r="CD282" s="56"/>
      <c r="CE282" s="56"/>
      <c r="CF282" s="56"/>
      <c r="CG282" s="56"/>
      <c r="CH282" s="56"/>
      <c r="CI282" s="56"/>
      <c r="CJ282" s="60"/>
      <c r="CK282" s="56"/>
      <c r="CL282" s="56"/>
      <c r="CM282" s="56"/>
      <c r="CN282" s="56"/>
      <c r="CO282" s="56"/>
      <c r="CP282" s="56"/>
      <c r="CQ282" s="56"/>
      <c r="CR282" s="56"/>
      <c r="CS282" s="56"/>
      <c r="CT282" s="56"/>
      <c r="CU282" s="56"/>
      <c r="CV282" s="56"/>
      <c r="CW282" s="56"/>
      <c r="CX282" s="60"/>
      <c r="CY282" s="56"/>
      <c r="CZ282" s="56"/>
      <c r="DA282" s="56"/>
      <c r="DB282" s="56"/>
      <c r="DC282" s="56"/>
      <c r="DD282" s="56"/>
      <c r="DE282" s="56"/>
      <c r="DF282" s="56"/>
      <c r="DG282" s="56"/>
      <c r="DH282" s="56"/>
      <c r="DI282" s="56"/>
      <c r="DJ282" s="56"/>
      <c r="DK282" s="60"/>
      <c r="DL282" s="60"/>
      <c r="DM282" s="56"/>
      <c r="DN282" s="56"/>
      <c r="DO282" s="56"/>
      <c r="DP282" s="56"/>
      <c r="DQ282" s="56"/>
      <c r="DR282" s="56"/>
      <c r="DS282" s="56"/>
      <c r="DT282" s="56"/>
      <c r="DU282" s="56"/>
      <c r="DV282" s="56"/>
      <c r="DW282" s="56"/>
      <c r="DX282" s="56"/>
      <c r="DY282" s="56"/>
      <c r="DZ282" s="56"/>
      <c r="EA282" s="56"/>
      <c r="EB282" s="56"/>
      <c r="EC282" s="56"/>
      <c r="ED282" s="56"/>
      <c r="EE282" s="56"/>
      <c r="EF282" s="56"/>
    </row>
    <row r="283" spans="44:136" s="80" customFormat="1">
      <c r="AR283" s="118"/>
      <c r="BD283" s="56"/>
      <c r="BE283" s="56"/>
      <c r="BF283" s="56"/>
      <c r="BG283" s="56"/>
      <c r="BH283" s="56"/>
      <c r="BI283" s="56"/>
      <c r="BJ283" s="56"/>
      <c r="BK283" s="56"/>
      <c r="BL283" s="56"/>
      <c r="BM283" s="56"/>
      <c r="BN283" s="56"/>
      <c r="BO283" s="56"/>
      <c r="BP283" s="56"/>
      <c r="BQ283" s="56"/>
      <c r="BR283" s="56"/>
      <c r="BS283" s="56"/>
      <c r="BT283" s="60"/>
      <c r="BU283" s="56"/>
      <c r="BV283" s="56"/>
      <c r="BW283" s="56"/>
      <c r="BX283" s="56"/>
      <c r="BY283" s="56"/>
      <c r="BZ283" s="56"/>
      <c r="CA283" s="56"/>
      <c r="CB283" s="56"/>
      <c r="CC283" s="56"/>
      <c r="CD283" s="56"/>
      <c r="CE283" s="56"/>
      <c r="CF283" s="56"/>
      <c r="CG283" s="56"/>
      <c r="CH283" s="56"/>
      <c r="CI283" s="56"/>
      <c r="CJ283" s="60"/>
      <c r="CK283" s="56"/>
      <c r="CL283" s="56"/>
      <c r="CM283" s="56"/>
      <c r="CN283" s="56"/>
      <c r="CO283" s="56"/>
      <c r="CP283" s="56"/>
      <c r="CQ283" s="56"/>
      <c r="CR283" s="56"/>
      <c r="CS283" s="56"/>
      <c r="CT283" s="56"/>
      <c r="CU283" s="56"/>
      <c r="CV283" s="56"/>
      <c r="CW283" s="56"/>
      <c r="CX283" s="60"/>
      <c r="CY283" s="56"/>
      <c r="CZ283" s="56"/>
      <c r="DA283" s="56"/>
      <c r="DB283" s="56"/>
      <c r="DC283" s="56"/>
      <c r="DD283" s="56"/>
      <c r="DE283" s="56"/>
      <c r="DF283" s="56"/>
      <c r="DG283" s="56"/>
      <c r="DH283" s="56"/>
      <c r="DI283" s="56"/>
      <c r="DJ283" s="56"/>
      <c r="DK283" s="60"/>
      <c r="DL283" s="60"/>
      <c r="DM283" s="56"/>
      <c r="DN283" s="56"/>
      <c r="DO283" s="56"/>
      <c r="DP283" s="56"/>
      <c r="DQ283" s="56"/>
      <c r="DR283" s="56"/>
      <c r="DS283" s="56"/>
      <c r="DT283" s="56"/>
      <c r="DU283" s="56"/>
      <c r="DV283" s="56"/>
      <c r="DW283" s="56"/>
      <c r="DX283" s="56"/>
      <c r="DY283" s="56"/>
      <c r="DZ283" s="56"/>
      <c r="EA283" s="56"/>
      <c r="EB283" s="56"/>
      <c r="EC283" s="56"/>
      <c r="ED283" s="56"/>
      <c r="EE283" s="56"/>
      <c r="EF283" s="56"/>
    </row>
    <row r="284" spans="44:136" s="80" customFormat="1">
      <c r="AR284" s="118"/>
      <c r="BD284" s="56"/>
      <c r="BE284" s="56"/>
      <c r="BF284" s="56"/>
      <c r="BG284" s="56"/>
      <c r="BH284" s="56"/>
      <c r="BI284" s="56"/>
      <c r="BJ284" s="56"/>
      <c r="BK284" s="56"/>
      <c r="BL284" s="56"/>
      <c r="BM284" s="56"/>
      <c r="BN284" s="56"/>
      <c r="BO284" s="56"/>
      <c r="BP284" s="56"/>
      <c r="BQ284" s="56"/>
      <c r="BR284" s="56"/>
      <c r="BS284" s="56"/>
      <c r="BT284" s="60"/>
      <c r="BU284" s="56"/>
      <c r="BV284" s="56"/>
      <c r="BW284" s="56"/>
      <c r="BX284" s="56"/>
      <c r="BY284" s="56"/>
      <c r="BZ284" s="56"/>
      <c r="CA284" s="56"/>
      <c r="CB284" s="56"/>
      <c r="CC284" s="56"/>
      <c r="CD284" s="56"/>
      <c r="CE284" s="56"/>
      <c r="CF284" s="56"/>
      <c r="CG284" s="56"/>
      <c r="CH284" s="56"/>
      <c r="CI284" s="56"/>
      <c r="CJ284" s="60"/>
      <c r="CK284" s="56"/>
      <c r="CL284" s="56"/>
      <c r="CM284" s="56"/>
      <c r="CN284" s="56"/>
      <c r="CO284" s="56"/>
      <c r="CP284" s="56"/>
      <c r="CQ284" s="56"/>
      <c r="CR284" s="56"/>
      <c r="CS284" s="56"/>
      <c r="CT284" s="56"/>
      <c r="CU284" s="56"/>
      <c r="CV284" s="56"/>
      <c r="CW284" s="56"/>
      <c r="CX284" s="60"/>
      <c r="CY284" s="56"/>
      <c r="CZ284" s="56"/>
      <c r="DA284" s="56"/>
      <c r="DB284" s="56"/>
      <c r="DC284" s="56"/>
      <c r="DD284" s="56"/>
      <c r="DE284" s="56"/>
      <c r="DF284" s="56"/>
      <c r="DG284" s="56"/>
      <c r="DH284" s="56"/>
      <c r="DI284" s="56"/>
      <c r="DJ284" s="56"/>
      <c r="DK284" s="60"/>
      <c r="DL284" s="60"/>
      <c r="DM284" s="56"/>
      <c r="DN284" s="56"/>
      <c r="DO284" s="56"/>
      <c r="DP284" s="56"/>
      <c r="DQ284" s="56"/>
      <c r="DR284" s="56"/>
      <c r="DS284" s="56"/>
      <c r="DT284" s="56"/>
      <c r="DU284" s="56"/>
      <c r="DV284" s="56"/>
      <c r="DW284" s="56"/>
      <c r="DX284" s="56"/>
      <c r="DY284" s="56"/>
      <c r="DZ284" s="56"/>
      <c r="EA284" s="56"/>
      <c r="EB284" s="56"/>
      <c r="EC284" s="56"/>
      <c r="ED284" s="56"/>
      <c r="EE284" s="56"/>
      <c r="EF284" s="56"/>
    </row>
    <row r="285" spans="44:136" s="80" customFormat="1">
      <c r="AR285" s="118"/>
      <c r="BD285" s="56"/>
      <c r="BE285" s="56"/>
      <c r="BF285" s="56"/>
      <c r="BG285" s="56"/>
      <c r="BH285" s="56"/>
      <c r="BI285" s="56"/>
      <c r="BJ285" s="56"/>
      <c r="BK285" s="56"/>
      <c r="BL285" s="56"/>
      <c r="BM285" s="56"/>
      <c r="BN285" s="56"/>
      <c r="BO285" s="56"/>
      <c r="BP285" s="56"/>
      <c r="BQ285" s="56"/>
      <c r="BR285" s="56"/>
      <c r="BS285" s="56"/>
      <c r="BT285" s="60"/>
      <c r="BU285" s="56"/>
      <c r="BV285" s="56"/>
      <c r="BW285" s="56"/>
      <c r="BX285" s="56"/>
      <c r="BY285" s="56"/>
      <c r="BZ285" s="56"/>
      <c r="CA285" s="56"/>
      <c r="CB285" s="56"/>
      <c r="CC285" s="56"/>
      <c r="CD285" s="56"/>
      <c r="CE285" s="56"/>
      <c r="CF285" s="56"/>
      <c r="CG285" s="56"/>
      <c r="CH285" s="56"/>
      <c r="CI285" s="56"/>
      <c r="CJ285" s="60"/>
      <c r="CK285" s="56"/>
      <c r="CL285" s="56"/>
      <c r="CM285" s="56"/>
      <c r="CN285" s="56"/>
      <c r="CO285" s="56"/>
      <c r="CP285" s="56"/>
      <c r="CQ285" s="56"/>
      <c r="CR285" s="56"/>
      <c r="CS285" s="56"/>
      <c r="CT285" s="56"/>
      <c r="CU285" s="56"/>
      <c r="CV285" s="56"/>
      <c r="CW285" s="56"/>
      <c r="CX285" s="60"/>
      <c r="CY285" s="56"/>
      <c r="CZ285" s="56"/>
      <c r="DA285" s="56"/>
      <c r="DB285" s="56"/>
      <c r="DC285" s="56"/>
      <c r="DD285" s="56"/>
      <c r="DE285" s="56"/>
      <c r="DF285" s="56"/>
      <c r="DG285" s="56"/>
      <c r="DH285" s="56"/>
      <c r="DI285" s="56"/>
      <c r="DJ285" s="56"/>
      <c r="DK285" s="60"/>
      <c r="DL285" s="60"/>
      <c r="DM285" s="56"/>
      <c r="DN285" s="56"/>
      <c r="DO285" s="56"/>
      <c r="DP285" s="56"/>
      <c r="DQ285" s="56"/>
      <c r="DR285" s="56"/>
      <c r="DS285" s="56"/>
      <c r="DT285" s="56"/>
      <c r="DU285" s="56"/>
      <c r="DV285" s="56"/>
      <c r="DW285" s="56"/>
      <c r="DX285" s="56"/>
      <c r="DY285" s="56"/>
      <c r="DZ285" s="56"/>
      <c r="EA285" s="56"/>
      <c r="EB285" s="56"/>
      <c r="EC285" s="56"/>
      <c r="ED285" s="56"/>
      <c r="EE285" s="56"/>
      <c r="EF285" s="56"/>
    </row>
    <row r="286" spans="44:136" s="80" customFormat="1">
      <c r="AR286" s="118"/>
      <c r="BD286" s="56"/>
      <c r="BE286" s="56"/>
      <c r="BF286" s="56"/>
      <c r="BG286" s="56"/>
      <c r="BH286" s="56"/>
      <c r="BI286" s="56"/>
      <c r="BJ286" s="56"/>
      <c r="BK286" s="56"/>
      <c r="BL286" s="56"/>
      <c r="BM286" s="56"/>
      <c r="BN286" s="56"/>
      <c r="BO286" s="56"/>
      <c r="BP286" s="56"/>
      <c r="BQ286" s="56"/>
      <c r="BR286" s="56"/>
      <c r="BS286" s="56"/>
      <c r="BT286" s="60"/>
      <c r="BU286" s="56"/>
      <c r="BV286" s="56"/>
      <c r="BW286" s="56"/>
      <c r="BX286" s="56"/>
      <c r="BY286" s="56"/>
      <c r="BZ286" s="56"/>
      <c r="CA286" s="56"/>
      <c r="CB286" s="56"/>
      <c r="CC286" s="56"/>
      <c r="CD286" s="56"/>
      <c r="CE286" s="56"/>
      <c r="CF286" s="56"/>
      <c r="CG286" s="56"/>
      <c r="CH286" s="56"/>
      <c r="CI286" s="56"/>
      <c r="CJ286" s="60"/>
      <c r="CK286" s="56"/>
      <c r="CL286" s="56"/>
      <c r="CM286" s="56"/>
      <c r="CN286" s="56"/>
      <c r="CO286" s="56"/>
      <c r="CP286" s="56"/>
      <c r="CQ286" s="56"/>
      <c r="CR286" s="56"/>
      <c r="CS286" s="56"/>
      <c r="CT286" s="56"/>
      <c r="CU286" s="56"/>
      <c r="CV286" s="56"/>
      <c r="CW286" s="56"/>
      <c r="CX286" s="60"/>
      <c r="CY286" s="56"/>
      <c r="CZ286" s="56"/>
      <c r="DA286" s="56"/>
      <c r="DB286" s="56"/>
      <c r="DC286" s="56"/>
      <c r="DD286" s="56"/>
      <c r="DE286" s="56"/>
      <c r="DF286" s="56"/>
      <c r="DG286" s="56"/>
      <c r="DH286" s="56"/>
      <c r="DI286" s="56"/>
      <c r="DJ286" s="56"/>
      <c r="DK286" s="60"/>
      <c r="DL286" s="60"/>
      <c r="DM286" s="56"/>
      <c r="DN286" s="56"/>
      <c r="DO286" s="56"/>
      <c r="DP286" s="56"/>
      <c r="DQ286" s="56"/>
      <c r="DR286" s="56"/>
      <c r="DS286" s="56"/>
      <c r="DT286" s="56"/>
      <c r="DU286" s="56"/>
      <c r="DV286" s="56"/>
      <c r="DW286" s="56"/>
      <c r="DX286" s="56"/>
      <c r="DY286" s="56"/>
      <c r="DZ286" s="56"/>
      <c r="EA286" s="56"/>
      <c r="EB286" s="56"/>
      <c r="EC286" s="56"/>
      <c r="ED286" s="56"/>
      <c r="EE286" s="56"/>
      <c r="EF286" s="56"/>
    </row>
    <row r="287" spans="44:136" s="80" customFormat="1">
      <c r="AR287" s="118"/>
      <c r="BD287" s="56"/>
      <c r="BE287" s="56"/>
      <c r="BF287" s="56"/>
      <c r="BG287" s="56"/>
      <c r="BH287" s="56"/>
      <c r="BI287" s="56"/>
      <c r="BJ287" s="56"/>
      <c r="BK287" s="56"/>
      <c r="BL287" s="56"/>
      <c r="BM287" s="56"/>
      <c r="BN287" s="56"/>
      <c r="BO287" s="56"/>
      <c r="BP287" s="56"/>
      <c r="BQ287" s="56"/>
      <c r="BR287" s="56"/>
      <c r="BS287" s="56"/>
      <c r="BT287" s="60"/>
      <c r="BU287" s="56"/>
      <c r="BV287" s="56"/>
      <c r="BW287" s="56"/>
      <c r="BX287" s="56"/>
      <c r="BY287" s="56"/>
      <c r="BZ287" s="56"/>
      <c r="CA287" s="56"/>
      <c r="CB287" s="56"/>
      <c r="CC287" s="56"/>
      <c r="CD287" s="56"/>
      <c r="CE287" s="56"/>
      <c r="CF287" s="56"/>
      <c r="CG287" s="56"/>
      <c r="CH287" s="56"/>
      <c r="CI287" s="56"/>
      <c r="CJ287" s="60"/>
      <c r="CK287" s="56"/>
      <c r="CL287" s="56"/>
      <c r="CM287" s="56"/>
      <c r="CN287" s="56"/>
      <c r="CO287" s="56"/>
      <c r="CP287" s="56"/>
      <c r="CQ287" s="56"/>
      <c r="CR287" s="56"/>
      <c r="CS287" s="56"/>
      <c r="CT287" s="56"/>
      <c r="CU287" s="56"/>
      <c r="CV287" s="56"/>
      <c r="CW287" s="56"/>
      <c r="CX287" s="60"/>
      <c r="CY287" s="56"/>
      <c r="CZ287" s="56"/>
      <c r="DA287" s="56"/>
      <c r="DB287" s="56"/>
      <c r="DC287" s="56"/>
      <c r="DD287" s="56"/>
      <c r="DE287" s="56"/>
      <c r="DF287" s="56"/>
      <c r="DG287" s="56"/>
      <c r="DH287" s="56"/>
      <c r="DI287" s="56"/>
      <c r="DJ287" s="56"/>
      <c r="DK287" s="60"/>
      <c r="DL287" s="60"/>
      <c r="DM287" s="56"/>
      <c r="DN287" s="56"/>
      <c r="DO287" s="56"/>
      <c r="DP287" s="56"/>
      <c r="DQ287" s="56"/>
      <c r="DR287" s="56"/>
      <c r="DS287" s="56"/>
      <c r="DT287" s="56"/>
      <c r="DU287" s="56"/>
      <c r="DV287" s="56"/>
      <c r="DW287" s="56"/>
      <c r="DX287" s="56"/>
      <c r="DY287" s="56"/>
      <c r="DZ287" s="56"/>
      <c r="EA287" s="56"/>
      <c r="EB287" s="56"/>
      <c r="EC287" s="56"/>
      <c r="ED287" s="56"/>
      <c r="EE287" s="56"/>
      <c r="EF287" s="56"/>
    </row>
    <row r="288" spans="44:136" s="80" customFormat="1">
      <c r="AR288" s="118"/>
      <c r="BD288" s="56"/>
      <c r="BE288" s="56"/>
      <c r="BF288" s="56"/>
      <c r="BG288" s="56"/>
      <c r="BH288" s="56"/>
      <c r="BI288" s="56"/>
      <c r="BJ288" s="56"/>
      <c r="BK288" s="56"/>
      <c r="BL288" s="56"/>
      <c r="BM288" s="56"/>
      <c r="BN288" s="56"/>
      <c r="BO288" s="56"/>
      <c r="BP288" s="56"/>
      <c r="BQ288" s="56"/>
      <c r="BR288" s="56"/>
      <c r="BS288" s="56"/>
      <c r="BT288" s="60"/>
      <c r="BU288" s="56"/>
      <c r="BV288" s="56"/>
      <c r="BW288" s="56"/>
      <c r="BX288" s="56"/>
      <c r="BY288" s="56"/>
      <c r="BZ288" s="56"/>
      <c r="CA288" s="56"/>
      <c r="CB288" s="56"/>
      <c r="CC288" s="56"/>
      <c r="CD288" s="56"/>
      <c r="CE288" s="56"/>
      <c r="CF288" s="56"/>
      <c r="CG288" s="56"/>
      <c r="CH288" s="56"/>
      <c r="CI288" s="56"/>
      <c r="CJ288" s="60"/>
      <c r="CK288" s="56"/>
      <c r="CL288" s="56"/>
      <c r="CM288" s="56"/>
      <c r="CN288" s="56"/>
      <c r="CO288" s="56"/>
      <c r="CP288" s="56"/>
      <c r="CQ288" s="56"/>
      <c r="CR288" s="56"/>
      <c r="CS288" s="56"/>
      <c r="CT288" s="56"/>
      <c r="CU288" s="56"/>
      <c r="CV288" s="56"/>
      <c r="CW288" s="56"/>
      <c r="CX288" s="60"/>
      <c r="CY288" s="56"/>
      <c r="CZ288" s="56"/>
      <c r="DA288" s="56"/>
      <c r="DB288" s="56"/>
      <c r="DC288" s="56"/>
      <c r="DD288" s="56"/>
      <c r="DE288" s="56"/>
      <c r="DF288" s="56"/>
      <c r="DG288" s="56"/>
      <c r="DH288" s="56"/>
      <c r="DI288" s="56"/>
      <c r="DJ288" s="56"/>
      <c r="DK288" s="60"/>
      <c r="DL288" s="60"/>
      <c r="DM288" s="56"/>
      <c r="DN288" s="56"/>
      <c r="DO288" s="56"/>
      <c r="DP288" s="56"/>
      <c r="DQ288" s="56"/>
      <c r="DR288" s="56"/>
      <c r="DS288" s="56"/>
      <c r="DT288" s="56"/>
      <c r="DU288" s="56"/>
      <c r="DV288" s="56"/>
      <c r="DW288" s="56"/>
      <c r="DX288" s="56"/>
      <c r="DY288" s="56"/>
      <c r="DZ288" s="56"/>
      <c r="EA288" s="56"/>
      <c r="EB288" s="56"/>
      <c r="EC288" s="56"/>
      <c r="ED288" s="56"/>
      <c r="EE288" s="56"/>
      <c r="EF288" s="56"/>
    </row>
    <row r="289" spans="44:136" s="80" customFormat="1">
      <c r="AR289" s="118"/>
      <c r="BD289" s="56"/>
      <c r="BE289" s="56"/>
      <c r="BF289" s="56"/>
      <c r="BG289" s="56"/>
      <c r="BH289" s="56"/>
      <c r="BI289" s="56"/>
      <c r="BJ289" s="56"/>
      <c r="BK289" s="56"/>
      <c r="BL289" s="56"/>
      <c r="BM289" s="56"/>
      <c r="BN289" s="56"/>
      <c r="BO289" s="56"/>
      <c r="BP289" s="56"/>
      <c r="BQ289" s="56"/>
      <c r="BR289" s="56"/>
      <c r="BS289" s="56"/>
      <c r="BT289" s="60"/>
      <c r="BU289" s="56"/>
      <c r="BV289" s="56"/>
      <c r="BW289" s="56"/>
      <c r="BX289" s="56"/>
      <c r="BY289" s="56"/>
      <c r="BZ289" s="56"/>
      <c r="CA289" s="56"/>
      <c r="CB289" s="56"/>
      <c r="CC289" s="56"/>
      <c r="CD289" s="56"/>
      <c r="CE289" s="56"/>
      <c r="CF289" s="56"/>
      <c r="CG289" s="56"/>
      <c r="CH289" s="56"/>
      <c r="CI289" s="56"/>
      <c r="CJ289" s="60"/>
      <c r="CK289" s="56"/>
      <c r="CL289" s="56"/>
      <c r="CM289" s="56"/>
      <c r="CN289" s="56"/>
      <c r="CO289" s="56"/>
      <c r="CP289" s="56"/>
      <c r="CQ289" s="56"/>
      <c r="CR289" s="56"/>
      <c r="CS289" s="56"/>
      <c r="CT289" s="56"/>
      <c r="CU289" s="56"/>
      <c r="CV289" s="56"/>
      <c r="CW289" s="56"/>
      <c r="CX289" s="60"/>
      <c r="CY289" s="56"/>
      <c r="CZ289" s="56"/>
      <c r="DA289" s="56"/>
      <c r="DB289" s="56"/>
      <c r="DC289" s="56"/>
      <c r="DD289" s="56"/>
      <c r="DE289" s="56"/>
      <c r="DF289" s="56"/>
      <c r="DG289" s="56"/>
      <c r="DH289" s="56"/>
      <c r="DI289" s="56"/>
      <c r="DJ289" s="56"/>
      <c r="DK289" s="60"/>
      <c r="DL289" s="60"/>
      <c r="DM289" s="56"/>
      <c r="DN289" s="56"/>
      <c r="DO289" s="56"/>
      <c r="DP289" s="56"/>
      <c r="DQ289" s="56"/>
      <c r="DR289" s="56"/>
      <c r="DS289" s="56"/>
      <c r="DT289" s="56"/>
      <c r="DU289" s="56"/>
      <c r="DV289" s="56"/>
      <c r="DW289" s="56"/>
      <c r="DX289" s="56"/>
      <c r="DY289" s="56"/>
      <c r="DZ289" s="56"/>
      <c r="EA289" s="56"/>
      <c r="EB289" s="56"/>
      <c r="EC289" s="56"/>
      <c r="ED289" s="56"/>
      <c r="EE289" s="56"/>
      <c r="EF289" s="56"/>
    </row>
    <row r="290" spans="44:136" s="80" customFormat="1">
      <c r="AR290" s="118"/>
      <c r="BD290" s="56"/>
      <c r="BE290" s="56"/>
      <c r="BF290" s="56"/>
      <c r="BG290" s="56"/>
      <c r="BH290" s="56"/>
      <c r="BI290" s="56"/>
      <c r="BJ290" s="56"/>
      <c r="BK290" s="56"/>
      <c r="BL290" s="56"/>
      <c r="BM290" s="56"/>
      <c r="BN290" s="56"/>
      <c r="BO290" s="56"/>
      <c r="BP290" s="56"/>
      <c r="BQ290" s="56"/>
      <c r="BR290" s="56"/>
      <c r="BS290" s="56"/>
      <c r="BT290" s="60"/>
      <c r="BU290" s="56"/>
      <c r="BV290" s="56"/>
      <c r="BW290" s="56"/>
      <c r="BX290" s="56"/>
      <c r="BY290" s="56"/>
      <c r="BZ290" s="56"/>
      <c r="CA290" s="56"/>
      <c r="CB290" s="56"/>
      <c r="CC290" s="56"/>
      <c r="CD290" s="56"/>
      <c r="CE290" s="56"/>
      <c r="CF290" s="56"/>
      <c r="CG290" s="56"/>
      <c r="CH290" s="56"/>
      <c r="CI290" s="56"/>
      <c r="CJ290" s="60"/>
      <c r="CK290" s="56"/>
      <c r="CL290" s="56"/>
      <c r="CM290" s="56"/>
      <c r="CN290" s="56"/>
      <c r="CO290" s="56"/>
      <c r="CP290" s="56"/>
      <c r="CQ290" s="56"/>
      <c r="CR290" s="56"/>
      <c r="CS290" s="56"/>
      <c r="CT290" s="56"/>
      <c r="CU290" s="56"/>
      <c r="CV290" s="56"/>
      <c r="CW290" s="56"/>
      <c r="CX290" s="60"/>
      <c r="CY290" s="56"/>
      <c r="CZ290" s="56"/>
      <c r="DA290" s="56"/>
      <c r="DB290" s="56"/>
      <c r="DC290" s="56"/>
      <c r="DD290" s="56"/>
      <c r="DE290" s="56"/>
      <c r="DF290" s="56"/>
      <c r="DG290" s="56"/>
      <c r="DH290" s="56"/>
      <c r="DI290" s="56"/>
      <c r="DJ290" s="56"/>
      <c r="DK290" s="60"/>
      <c r="DL290" s="60"/>
      <c r="DM290" s="56"/>
      <c r="DN290" s="56"/>
      <c r="DO290" s="56"/>
      <c r="DP290" s="56"/>
      <c r="DQ290" s="56"/>
      <c r="DR290" s="56"/>
      <c r="DS290" s="56"/>
      <c r="DT290" s="56"/>
      <c r="DU290" s="56"/>
      <c r="DV290" s="56"/>
      <c r="DW290" s="56"/>
      <c r="DX290" s="56"/>
      <c r="DY290" s="56"/>
      <c r="DZ290" s="56"/>
      <c r="EA290" s="56"/>
      <c r="EB290" s="56"/>
      <c r="EC290" s="56"/>
      <c r="ED290" s="56"/>
      <c r="EE290" s="56"/>
      <c r="EF290" s="56"/>
    </row>
    <row r="291" spans="44:136" s="80" customFormat="1">
      <c r="AR291" s="118"/>
      <c r="BD291" s="56"/>
      <c r="BE291" s="56"/>
      <c r="BF291" s="56"/>
      <c r="BG291" s="56"/>
      <c r="BH291" s="56"/>
      <c r="BI291" s="56"/>
      <c r="BJ291" s="56"/>
      <c r="BK291" s="56"/>
      <c r="BL291" s="56"/>
      <c r="BM291" s="56"/>
      <c r="BN291" s="56"/>
      <c r="BO291" s="56"/>
      <c r="BP291" s="56"/>
      <c r="BQ291" s="56"/>
      <c r="BR291" s="56"/>
      <c r="BS291" s="56"/>
      <c r="BT291" s="60"/>
      <c r="BU291" s="56"/>
      <c r="BV291" s="56"/>
      <c r="BW291" s="56"/>
      <c r="BX291" s="56"/>
      <c r="BY291" s="56"/>
      <c r="BZ291" s="56"/>
      <c r="CA291" s="56"/>
      <c r="CB291" s="56"/>
      <c r="CC291" s="56"/>
      <c r="CD291" s="56"/>
      <c r="CE291" s="56"/>
      <c r="CF291" s="56"/>
      <c r="CG291" s="56"/>
      <c r="CH291" s="56"/>
      <c r="CI291" s="56"/>
      <c r="CJ291" s="60"/>
      <c r="CK291" s="56"/>
      <c r="CL291" s="56"/>
      <c r="CM291" s="56"/>
      <c r="CN291" s="56"/>
      <c r="CO291" s="56"/>
      <c r="CP291" s="56"/>
      <c r="CQ291" s="56"/>
      <c r="CR291" s="56"/>
      <c r="CS291" s="56"/>
      <c r="CT291" s="56"/>
      <c r="CU291" s="56"/>
      <c r="CV291" s="56"/>
      <c r="CW291" s="56"/>
      <c r="CX291" s="60"/>
      <c r="CY291" s="56"/>
      <c r="CZ291" s="56"/>
      <c r="DA291" s="56"/>
      <c r="DB291" s="56"/>
      <c r="DC291" s="56"/>
      <c r="DD291" s="56"/>
      <c r="DE291" s="56"/>
      <c r="DF291" s="56"/>
      <c r="DG291" s="56"/>
      <c r="DH291" s="56"/>
      <c r="DI291" s="56"/>
      <c r="DJ291" s="56"/>
      <c r="DK291" s="60"/>
      <c r="DL291" s="60"/>
      <c r="DM291" s="56"/>
      <c r="DN291" s="56"/>
      <c r="DO291" s="56"/>
      <c r="DP291" s="56"/>
      <c r="DQ291" s="56"/>
      <c r="DR291" s="56"/>
      <c r="DS291" s="56"/>
      <c r="DT291" s="56"/>
      <c r="DU291" s="56"/>
      <c r="DV291" s="56"/>
      <c r="DW291" s="56"/>
      <c r="DX291" s="56"/>
      <c r="DY291" s="56"/>
      <c r="DZ291" s="56"/>
      <c r="EA291" s="56"/>
      <c r="EB291" s="56"/>
      <c r="EC291" s="56"/>
      <c r="ED291" s="56"/>
      <c r="EE291" s="56"/>
      <c r="EF291" s="56"/>
    </row>
    <row r="292" spans="44:136" s="80" customFormat="1">
      <c r="AR292" s="118"/>
      <c r="BD292" s="56"/>
      <c r="BE292" s="56"/>
      <c r="BF292" s="56"/>
      <c r="BG292" s="56"/>
      <c r="BH292" s="56"/>
      <c r="BI292" s="56"/>
      <c r="BJ292" s="56"/>
      <c r="BK292" s="56"/>
      <c r="BL292" s="56"/>
      <c r="BM292" s="56"/>
      <c r="BN292" s="56"/>
      <c r="BO292" s="56"/>
      <c r="BP292" s="56"/>
      <c r="BQ292" s="56"/>
      <c r="BR292" s="56"/>
      <c r="BS292" s="56"/>
      <c r="BT292" s="60"/>
      <c r="BU292" s="56"/>
      <c r="BV292" s="56"/>
      <c r="BW292" s="56"/>
      <c r="BX292" s="56"/>
      <c r="BY292" s="56"/>
      <c r="BZ292" s="56"/>
      <c r="CA292" s="56"/>
      <c r="CB292" s="56"/>
      <c r="CC292" s="56"/>
      <c r="CD292" s="56"/>
      <c r="CE292" s="56"/>
      <c r="CF292" s="56"/>
      <c r="CG292" s="56"/>
      <c r="CH292" s="56"/>
      <c r="CI292" s="56"/>
      <c r="CJ292" s="60"/>
      <c r="CK292" s="56"/>
      <c r="CL292" s="56"/>
      <c r="CM292" s="56"/>
      <c r="CN292" s="56"/>
      <c r="CO292" s="56"/>
      <c r="CP292" s="56"/>
      <c r="CQ292" s="56"/>
      <c r="CR292" s="56"/>
      <c r="CS292" s="56"/>
      <c r="CT292" s="56"/>
      <c r="CU292" s="56"/>
      <c r="CV292" s="56"/>
      <c r="CW292" s="56"/>
      <c r="CX292" s="60"/>
      <c r="CY292" s="56"/>
      <c r="CZ292" s="56"/>
      <c r="DA292" s="56"/>
      <c r="DB292" s="56"/>
      <c r="DC292" s="56"/>
      <c r="DD292" s="56"/>
      <c r="DE292" s="56"/>
      <c r="DF292" s="56"/>
      <c r="DG292" s="56"/>
      <c r="DH292" s="56"/>
      <c r="DI292" s="56"/>
      <c r="DJ292" s="56"/>
      <c r="DK292" s="60"/>
      <c r="DL292" s="60"/>
      <c r="DM292" s="56"/>
      <c r="DN292" s="56"/>
      <c r="DO292" s="56"/>
      <c r="DP292" s="56"/>
      <c r="DQ292" s="56"/>
      <c r="DR292" s="56"/>
      <c r="DS292" s="56"/>
      <c r="DT292" s="56"/>
      <c r="DU292" s="56"/>
      <c r="DV292" s="56"/>
      <c r="DW292" s="56"/>
      <c r="DX292" s="56"/>
      <c r="DY292" s="56"/>
      <c r="DZ292" s="56"/>
      <c r="EA292" s="56"/>
      <c r="EB292" s="56"/>
      <c r="EC292" s="56"/>
      <c r="ED292" s="56"/>
      <c r="EE292" s="56"/>
      <c r="EF292" s="56"/>
    </row>
    <row r="293" spans="44:136" s="80" customFormat="1">
      <c r="AR293" s="118"/>
      <c r="BD293" s="56"/>
      <c r="BE293" s="56"/>
      <c r="BF293" s="56"/>
      <c r="BG293" s="56"/>
      <c r="BH293" s="56"/>
      <c r="BI293" s="56"/>
      <c r="BJ293" s="56"/>
      <c r="BK293" s="56"/>
      <c r="BL293" s="56"/>
      <c r="BM293" s="56"/>
      <c r="BN293" s="56"/>
      <c r="BO293" s="56"/>
      <c r="BP293" s="56"/>
      <c r="BQ293" s="56"/>
      <c r="BR293" s="56"/>
      <c r="BS293" s="56"/>
      <c r="BT293" s="60"/>
      <c r="BU293" s="56"/>
      <c r="BV293" s="56"/>
      <c r="BW293" s="56"/>
      <c r="BX293" s="56"/>
      <c r="BY293" s="56"/>
      <c r="BZ293" s="56"/>
      <c r="CA293" s="56"/>
      <c r="CB293" s="56"/>
      <c r="CC293" s="56"/>
      <c r="CD293" s="56"/>
      <c r="CE293" s="56"/>
      <c r="CF293" s="56"/>
      <c r="CG293" s="56"/>
      <c r="CH293" s="56"/>
      <c r="CI293" s="56"/>
      <c r="CJ293" s="60"/>
      <c r="CK293" s="56"/>
      <c r="CL293" s="56"/>
      <c r="CM293" s="56"/>
      <c r="CN293" s="56"/>
      <c r="CO293" s="56"/>
      <c r="CP293" s="56"/>
      <c r="CQ293" s="56"/>
      <c r="CR293" s="56"/>
      <c r="CS293" s="56"/>
      <c r="CT293" s="56"/>
      <c r="CU293" s="56"/>
      <c r="CV293" s="56"/>
      <c r="CW293" s="56"/>
      <c r="CX293" s="60"/>
      <c r="CY293" s="56"/>
      <c r="CZ293" s="56"/>
      <c r="DA293" s="56"/>
      <c r="DB293" s="56"/>
      <c r="DC293" s="56"/>
      <c r="DD293" s="56"/>
      <c r="DE293" s="56"/>
      <c r="DF293" s="56"/>
      <c r="DG293" s="56"/>
      <c r="DH293" s="56"/>
      <c r="DI293" s="56"/>
      <c r="DJ293" s="56"/>
      <c r="DK293" s="60"/>
      <c r="DL293" s="60"/>
      <c r="DM293" s="56"/>
      <c r="DN293" s="56"/>
      <c r="DO293" s="56"/>
      <c r="DP293" s="56"/>
      <c r="DQ293" s="56"/>
      <c r="DR293" s="56"/>
      <c r="DS293" s="56"/>
      <c r="DT293" s="56"/>
      <c r="DU293" s="56"/>
      <c r="DV293" s="56"/>
      <c r="DW293" s="56"/>
      <c r="DX293" s="56"/>
      <c r="DY293" s="56"/>
      <c r="DZ293" s="56"/>
      <c r="EA293" s="56"/>
      <c r="EB293" s="56"/>
      <c r="EC293" s="56"/>
      <c r="ED293" s="56"/>
      <c r="EE293" s="56"/>
      <c r="EF293" s="56"/>
    </row>
    <row r="294" spans="44:136" s="80" customFormat="1">
      <c r="AR294" s="118"/>
      <c r="BD294" s="56"/>
      <c r="BE294" s="56"/>
      <c r="BF294" s="56"/>
      <c r="BG294" s="56"/>
      <c r="BH294" s="56"/>
      <c r="BI294" s="56"/>
      <c r="BJ294" s="56"/>
      <c r="BK294" s="56"/>
      <c r="BL294" s="56"/>
      <c r="BM294" s="56"/>
      <c r="BN294" s="56"/>
      <c r="BO294" s="56"/>
      <c r="BP294" s="56"/>
      <c r="BQ294" s="56"/>
      <c r="BR294" s="56"/>
      <c r="BS294" s="56"/>
      <c r="BT294" s="60"/>
      <c r="BU294" s="56"/>
      <c r="BV294" s="56"/>
      <c r="BW294" s="56"/>
      <c r="BX294" s="56"/>
      <c r="BY294" s="56"/>
      <c r="BZ294" s="56"/>
      <c r="CA294" s="56"/>
      <c r="CB294" s="56"/>
      <c r="CC294" s="56"/>
      <c r="CD294" s="56"/>
      <c r="CE294" s="56"/>
      <c r="CF294" s="56"/>
      <c r="CG294" s="56"/>
      <c r="CH294" s="56"/>
      <c r="CI294" s="56"/>
      <c r="CJ294" s="60"/>
      <c r="CK294" s="56"/>
      <c r="CL294" s="56"/>
      <c r="CM294" s="56"/>
      <c r="CN294" s="56"/>
      <c r="CO294" s="56"/>
      <c r="CP294" s="56"/>
      <c r="CQ294" s="56"/>
      <c r="CR294" s="56"/>
      <c r="CS294" s="56"/>
      <c r="CT294" s="56"/>
      <c r="CU294" s="56"/>
      <c r="CV294" s="56"/>
      <c r="CW294" s="56"/>
      <c r="CX294" s="60"/>
      <c r="CY294" s="56"/>
      <c r="CZ294" s="56"/>
      <c r="DA294" s="56"/>
      <c r="DB294" s="56"/>
      <c r="DC294" s="56"/>
      <c r="DD294" s="56"/>
      <c r="DE294" s="56"/>
      <c r="DF294" s="56"/>
      <c r="DG294" s="56"/>
      <c r="DH294" s="56"/>
      <c r="DI294" s="56"/>
      <c r="DJ294" s="56"/>
      <c r="DK294" s="60"/>
      <c r="DL294" s="60"/>
      <c r="DM294" s="56"/>
      <c r="DN294" s="56"/>
      <c r="DO294" s="56"/>
      <c r="DP294" s="56"/>
      <c r="DQ294" s="56"/>
      <c r="DR294" s="56"/>
      <c r="DS294" s="56"/>
      <c r="DT294" s="56"/>
      <c r="DU294" s="56"/>
      <c r="DV294" s="56"/>
      <c r="DW294" s="56"/>
      <c r="DX294" s="56"/>
      <c r="DY294" s="56"/>
      <c r="DZ294" s="56"/>
      <c r="EA294" s="56"/>
      <c r="EB294" s="56"/>
      <c r="EC294" s="56"/>
      <c r="ED294" s="56"/>
      <c r="EE294" s="56"/>
      <c r="EF294" s="56"/>
    </row>
    <row r="295" spans="44:136" s="80" customFormat="1">
      <c r="AR295" s="118"/>
      <c r="BD295" s="56"/>
      <c r="BE295" s="56"/>
      <c r="BF295" s="56"/>
      <c r="BG295" s="56"/>
      <c r="BH295" s="56"/>
      <c r="BI295" s="56"/>
      <c r="BJ295" s="56"/>
      <c r="BK295" s="56"/>
      <c r="BL295" s="56"/>
      <c r="BM295" s="56"/>
      <c r="BN295" s="56"/>
      <c r="BO295" s="56"/>
      <c r="BP295" s="56"/>
      <c r="BQ295" s="56"/>
      <c r="BR295" s="56"/>
      <c r="BS295" s="56"/>
      <c r="BT295" s="60"/>
      <c r="BU295" s="56"/>
      <c r="BV295" s="56"/>
      <c r="BW295" s="56"/>
      <c r="BX295" s="56"/>
      <c r="BY295" s="56"/>
      <c r="BZ295" s="56"/>
      <c r="CA295" s="56"/>
      <c r="CB295" s="56"/>
      <c r="CC295" s="56"/>
      <c r="CD295" s="56"/>
      <c r="CE295" s="56"/>
      <c r="CF295" s="56"/>
      <c r="CG295" s="56"/>
      <c r="CH295" s="56"/>
      <c r="CI295" s="56"/>
      <c r="CJ295" s="60"/>
      <c r="CK295" s="56"/>
      <c r="CL295" s="56"/>
      <c r="CM295" s="56"/>
      <c r="CN295" s="56"/>
      <c r="CO295" s="56"/>
      <c r="CP295" s="56"/>
      <c r="CQ295" s="56"/>
      <c r="CR295" s="56"/>
      <c r="CS295" s="56"/>
      <c r="CT295" s="56"/>
      <c r="CU295" s="56"/>
      <c r="CV295" s="56"/>
      <c r="CW295" s="56"/>
      <c r="CX295" s="60"/>
      <c r="CY295" s="56"/>
      <c r="CZ295" s="56"/>
      <c r="DA295" s="56"/>
      <c r="DB295" s="56"/>
      <c r="DC295" s="56"/>
      <c r="DD295" s="56"/>
      <c r="DE295" s="56"/>
      <c r="DF295" s="56"/>
      <c r="DG295" s="56"/>
      <c r="DH295" s="56"/>
      <c r="DI295" s="56"/>
      <c r="DJ295" s="56"/>
      <c r="DK295" s="60"/>
      <c r="DL295" s="60"/>
      <c r="DM295" s="56"/>
      <c r="DN295" s="56"/>
      <c r="DO295" s="56"/>
      <c r="DP295" s="56"/>
      <c r="DQ295" s="56"/>
      <c r="DR295" s="56"/>
      <c r="DS295" s="56"/>
      <c r="DT295" s="56"/>
      <c r="DU295" s="56"/>
      <c r="DV295" s="56"/>
      <c r="DW295" s="56"/>
      <c r="DX295" s="56"/>
      <c r="DY295" s="56"/>
      <c r="DZ295" s="56"/>
      <c r="EA295" s="56"/>
      <c r="EB295" s="56"/>
      <c r="EC295" s="56"/>
      <c r="ED295" s="56"/>
      <c r="EE295" s="56"/>
      <c r="EF295" s="56"/>
    </row>
    <row r="296" spans="44:136" s="80" customFormat="1">
      <c r="AR296" s="118"/>
      <c r="BD296" s="56"/>
      <c r="BE296" s="56"/>
      <c r="BF296" s="56"/>
      <c r="BG296" s="56"/>
      <c r="BH296" s="56"/>
      <c r="BI296" s="56"/>
      <c r="BJ296" s="56"/>
      <c r="BK296" s="56"/>
      <c r="BL296" s="56"/>
      <c r="BM296" s="56"/>
      <c r="BN296" s="56"/>
      <c r="BO296" s="56"/>
      <c r="BP296" s="56"/>
      <c r="BQ296" s="56"/>
      <c r="BR296" s="56"/>
      <c r="BS296" s="56"/>
      <c r="BT296" s="60"/>
      <c r="BU296" s="56"/>
      <c r="BV296" s="56"/>
      <c r="BW296" s="56"/>
      <c r="BX296" s="56"/>
      <c r="BY296" s="56"/>
      <c r="BZ296" s="56"/>
      <c r="CA296" s="56"/>
      <c r="CB296" s="56"/>
      <c r="CC296" s="56"/>
      <c r="CD296" s="56"/>
      <c r="CE296" s="56"/>
      <c r="CF296" s="56"/>
      <c r="CG296" s="56"/>
      <c r="CH296" s="56"/>
      <c r="CI296" s="56"/>
      <c r="CJ296" s="60"/>
      <c r="CK296" s="56"/>
      <c r="CL296" s="56"/>
      <c r="CM296" s="56"/>
      <c r="CN296" s="56"/>
      <c r="CO296" s="56"/>
      <c r="CP296" s="56"/>
      <c r="CQ296" s="56"/>
      <c r="CR296" s="56"/>
      <c r="CS296" s="56"/>
      <c r="CT296" s="56"/>
      <c r="CU296" s="56"/>
      <c r="CV296" s="56"/>
      <c r="CW296" s="56"/>
      <c r="CX296" s="60"/>
      <c r="CY296" s="56"/>
      <c r="CZ296" s="56"/>
      <c r="DA296" s="56"/>
      <c r="DB296" s="56"/>
      <c r="DC296" s="56"/>
      <c r="DD296" s="56"/>
      <c r="DE296" s="56"/>
      <c r="DF296" s="56"/>
      <c r="DG296" s="56"/>
      <c r="DH296" s="56"/>
      <c r="DI296" s="56"/>
      <c r="DJ296" s="56"/>
      <c r="DK296" s="60"/>
      <c r="DL296" s="60"/>
      <c r="DM296" s="56"/>
      <c r="DN296" s="56"/>
      <c r="DO296" s="56"/>
      <c r="DP296" s="56"/>
      <c r="DQ296" s="56"/>
      <c r="DR296" s="56"/>
      <c r="DS296" s="56"/>
      <c r="DT296" s="56"/>
      <c r="DU296" s="56"/>
      <c r="DV296" s="56"/>
      <c r="DW296" s="56"/>
      <c r="DX296" s="56"/>
      <c r="DY296" s="56"/>
      <c r="DZ296" s="56"/>
      <c r="EA296" s="56"/>
      <c r="EB296" s="56"/>
      <c r="EC296" s="56"/>
      <c r="ED296" s="56"/>
      <c r="EE296" s="56"/>
      <c r="EF296" s="56"/>
    </row>
    <row r="297" spans="44:136" s="80" customFormat="1">
      <c r="AR297" s="118"/>
      <c r="BD297" s="56"/>
      <c r="BE297" s="56"/>
      <c r="BF297" s="56"/>
      <c r="BG297" s="56"/>
      <c r="BH297" s="56"/>
      <c r="BI297" s="56"/>
      <c r="BJ297" s="56"/>
      <c r="BK297" s="56"/>
      <c r="BL297" s="56"/>
      <c r="BM297" s="56"/>
      <c r="BN297" s="56"/>
      <c r="BO297" s="56"/>
      <c r="BP297" s="56"/>
      <c r="BQ297" s="56"/>
      <c r="BR297" s="56"/>
      <c r="BS297" s="56"/>
      <c r="BT297" s="60"/>
      <c r="BU297" s="56"/>
      <c r="BV297" s="56"/>
      <c r="BW297" s="56"/>
      <c r="BX297" s="56"/>
      <c r="BY297" s="56"/>
      <c r="BZ297" s="56"/>
      <c r="CA297" s="56"/>
      <c r="CB297" s="56"/>
      <c r="CC297" s="56"/>
      <c r="CD297" s="56"/>
      <c r="CE297" s="56"/>
      <c r="CF297" s="56"/>
      <c r="CG297" s="56"/>
      <c r="CH297" s="56"/>
      <c r="CI297" s="56"/>
      <c r="CJ297" s="60"/>
      <c r="CK297" s="56"/>
      <c r="CL297" s="56"/>
      <c r="CM297" s="56"/>
      <c r="CN297" s="56"/>
      <c r="CO297" s="56"/>
      <c r="CP297" s="56"/>
      <c r="CQ297" s="56"/>
      <c r="CR297" s="56"/>
      <c r="CS297" s="56"/>
      <c r="CT297" s="56"/>
      <c r="CU297" s="56"/>
      <c r="CV297" s="56"/>
      <c r="CW297" s="56"/>
      <c r="CX297" s="60"/>
      <c r="CY297" s="56"/>
      <c r="CZ297" s="56"/>
      <c r="DA297" s="56"/>
      <c r="DB297" s="56"/>
      <c r="DC297" s="56"/>
      <c r="DD297" s="56"/>
      <c r="DE297" s="56"/>
      <c r="DF297" s="56"/>
      <c r="DG297" s="56"/>
      <c r="DH297" s="56"/>
      <c r="DI297" s="56"/>
      <c r="DJ297" s="56"/>
      <c r="DK297" s="60"/>
      <c r="DL297" s="60"/>
      <c r="DM297" s="56"/>
      <c r="DN297" s="56"/>
      <c r="DO297" s="56"/>
      <c r="DP297" s="56"/>
      <c r="DQ297" s="56"/>
      <c r="DR297" s="56"/>
      <c r="DS297" s="56"/>
      <c r="DT297" s="56"/>
      <c r="DU297" s="56"/>
      <c r="DV297" s="56"/>
      <c r="DW297" s="56"/>
      <c r="DX297" s="56"/>
      <c r="DY297" s="56"/>
      <c r="DZ297" s="56"/>
      <c r="EA297" s="56"/>
      <c r="EB297" s="56"/>
      <c r="EC297" s="56"/>
      <c r="ED297" s="56"/>
      <c r="EE297" s="56"/>
      <c r="EF297" s="56"/>
    </row>
    <row r="298" spans="44:136" s="80" customFormat="1">
      <c r="AR298" s="118"/>
      <c r="BD298" s="56"/>
      <c r="BE298" s="56"/>
      <c r="BF298" s="56"/>
      <c r="BG298" s="56"/>
      <c r="BH298" s="56"/>
      <c r="BI298" s="56"/>
      <c r="BJ298" s="56"/>
      <c r="BK298" s="56"/>
      <c r="BL298" s="56"/>
      <c r="BM298" s="56"/>
      <c r="BN298" s="56"/>
      <c r="BO298" s="56"/>
      <c r="BP298" s="56"/>
      <c r="BQ298" s="56"/>
      <c r="BR298" s="56"/>
      <c r="BS298" s="56"/>
      <c r="BT298" s="60"/>
      <c r="BU298" s="56"/>
      <c r="BV298" s="56"/>
      <c r="BW298" s="56"/>
      <c r="BX298" s="56"/>
      <c r="BY298" s="56"/>
      <c r="BZ298" s="56"/>
      <c r="CA298" s="56"/>
      <c r="CB298" s="56"/>
      <c r="CC298" s="56"/>
      <c r="CD298" s="56"/>
      <c r="CE298" s="56"/>
      <c r="CF298" s="56"/>
      <c r="CG298" s="56"/>
      <c r="CH298" s="56"/>
      <c r="CI298" s="56"/>
      <c r="CJ298" s="60"/>
      <c r="CK298" s="56"/>
      <c r="CL298" s="56"/>
      <c r="CM298" s="56"/>
      <c r="CN298" s="56"/>
      <c r="CO298" s="56"/>
      <c r="CP298" s="56"/>
      <c r="CQ298" s="56"/>
      <c r="CR298" s="56"/>
      <c r="CS298" s="56"/>
      <c r="CT298" s="56"/>
      <c r="CU298" s="56"/>
      <c r="CV298" s="56"/>
      <c r="CW298" s="56"/>
      <c r="CX298" s="60"/>
      <c r="CY298" s="56"/>
      <c r="CZ298" s="56"/>
      <c r="DA298" s="56"/>
      <c r="DB298" s="56"/>
      <c r="DC298" s="56"/>
      <c r="DD298" s="56"/>
      <c r="DE298" s="56"/>
      <c r="DF298" s="56"/>
      <c r="DG298" s="56"/>
      <c r="DH298" s="56"/>
      <c r="DI298" s="56"/>
      <c r="DJ298" s="56"/>
      <c r="DK298" s="60"/>
      <c r="DL298" s="60"/>
      <c r="DM298" s="56"/>
      <c r="DN298" s="56"/>
      <c r="DO298" s="56"/>
      <c r="DP298" s="56"/>
      <c r="DQ298" s="56"/>
      <c r="DR298" s="56"/>
      <c r="DS298" s="56"/>
      <c r="DT298" s="56"/>
      <c r="DU298" s="56"/>
      <c r="DV298" s="56"/>
      <c r="DW298" s="56"/>
      <c r="DX298" s="56"/>
      <c r="DY298" s="56"/>
      <c r="DZ298" s="56"/>
      <c r="EA298" s="56"/>
      <c r="EB298" s="56"/>
      <c r="EC298" s="56"/>
      <c r="ED298" s="56"/>
      <c r="EE298" s="56"/>
      <c r="EF298" s="56"/>
    </row>
    <row r="299" spans="44:136" s="80" customFormat="1">
      <c r="AR299" s="118"/>
      <c r="BD299" s="56"/>
      <c r="BE299" s="56"/>
      <c r="BF299" s="56"/>
      <c r="BG299" s="56"/>
      <c r="BH299" s="56"/>
      <c r="BI299" s="56"/>
      <c r="BJ299" s="56"/>
      <c r="BK299" s="56"/>
      <c r="BL299" s="56"/>
      <c r="BM299" s="56"/>
      <c r="BN299" s="56"/>
      <c r="BO299" s="56"/>
      <c r="BP299" s="56"/>
      <c r="BQ299" s="56"/>
      <c r="BR299" s="56"/>
      <c r="BS299" s="56"/>
      <c r="BT299" s="60"/>
      <c r="BU299" s="56"/>
      <c r="BV299" s="56"/>
      <c r="BW299" s="56"/>
      <c r="BX299" s="56"/>
      <c r="BY299" s="56"/>
      <c r="BZ299" s="56"/>
      <c r="CA299" s="56"/>
      <c r="CB299" s="56"/>
      <c r="CC299" s="56"/>
      <c r="CD299" s="56"/>
      <c r="CE299" s="56"/>
      <c r="CF299" s="56"/>
      <c r="CG299" s="56"/>
      <c r="CH299" s="56"/>
      <c r="CI299" s="56"/>
      <c r="CJ299" s="60"/>
      <c r="CK299" s="56"/>
      <c r="CL299" s="56"/>
      <c r="CM299" s="56"/>
      <c r="CN299" s="56"/>
      <c r="CO299" s="56"/>
      <c r="CP299" s="56"/>
      <c r="CQ299" s="56"/>
      <c r="CR299" s="56"/>
      <c r="CS299" s="56"/>
      <c r="CT299" s="56"/>
      <c r="CU299" s="56"/>
      <c r="CV299" s="56"/>
      <c r="CW299" s="56"/>
      <c r="CX299" s="60"/>
      <c r="CY299" s="56"/>
      <c r="CZ299" s="56"/>
      <c r="DA299" s="56"/>
      <c r="DB299" s="56"/>
      <c r="DC299" s="56"/>
      <c r="DD299" s="56"/>
      <c r="DE299" s="56"/>
      <c r="DF299" s="56"/>
      <c r="DG299" s="56"/>
      <c r="DH299" s="56"/>
      <c r="DI299" s="56"/>
      <c r="DJ299" s="56"/>
      <c r="DK299" s="60"/>
      <c r="DL299" s="60"/>
      <c r="DM299" s="56"/>
      <c r="DN299" s="56"/>
      <c r="DO299" s="56"/>
      <c r="DP299" s="56"/>
      <c r="DQ299" s="56"/>
      <c r="DR299" s="56"/>
      <c r="DS299" s="56"/>
      <c r="DT299" s="56"/>
      <c r="DU299" s="56"/>
      <c r="DV299" s="56"/>
      <c r="DW299" s="56"/>
      <c r="DX299" s="56"/>
      <c r="DY299" s="56"/>
      <c r="DZ299" s="56"/>
      <c r="EA299" s="56"/>
      <c r="EB299" s="56"/>
      <c r="EC299" s="56"/>
      <c r="ED299" s="56"/>
      <c r="EE299" s="56"/>
      <c r="EF299" s="56"/>
    </row>
    <row r="300" spans="44:136" s="80" customFormat="1">
      <c r="AR300" s="118"/>
      <c r="BD300" s="56"/>
      <c r="BE300" s="56"/>
      <c r="BF300" s="56"/>
      <c r="BG300" s="56"/>
      <c r="BH300" s="56"/>
      <c r="BI300" s="56"/>
      <c r="BJ300" s="56"/>
      <c r="BK300" s="56"/>
      <c r="BL300" s="56"/>
      <c r="BM300" s="56"/>
      <c r="BN300" s="56"/>
      <c r="BO300" s="56"/>
      <c r="BP300" s="56"/>
      <c r="BQ300" s="56"/>
      <c r="BR300" s="56"/>
      <c r="BS300" s="56"/>
      <c r="BT300" s="60"/>
      <c r="BU300" s="56"/>
      <c r="BV300" s="56"/>
      <c r="BW300" s="56"/>
      <c r="BX300" s="56"/>
      <c r="BY300" s="56"/>
      <c r="BZ300" s="56"/>
      <c r="CA300" s="56"/>
      <c r="CB300" s="56"/>
      <c r="CC300" s="56"/>
      <c r="CD300" s="56"/>
      <c r="CE300" s="56"/>
      <c r="CF300" s="56"/>
      <c r="CG300" s="56"/>
      <c r="CH300" s="56"/>
      <c r="CI300" s="56"/>
      <c r="CJ300" s="60"/>
      <c r="CK300" s="56"/>
      <c r="CL300" s="56"/>
      <c r="CM300" s="56"/>
      <c r="CN300" s="56"/>
      <c r="CO300" s="56"/>
      <c r="CP300" s="56"/>
      <c r="CQ300" s="56"/>
      <c r="CR300" s="56"/>
      <c r="CS300" s="56"/>
      <c r="CT300" s="56"/>
      <c r="CU300" s="56"/>
      <c r="CV300" s="56"/>
      <c r="CW300" s="56"/>
      <c r="CX300" s="60"/>
      <c r="CY300" s="56"/>
      <c r="CZ300" s="56"/>
      <c r="DA300" s="56"/>
      <c r="DB300" s="56"/>
      <c r="DC300" s="56"/>
      <c r="DD300" s="56"/>
      <c r="DE300" s="56"/>
      <c r="DF300" s="56"/>
      <c r="DG300" s="56"/>
      <c r="DH300" s="56"/>
      <c r="DI300" s="56"/>
      <c r="DJ300" s="56"/>
      <c r="DK300" s="60"/>
      <c r="DL300" s="60"/>
      <c r="DM300" s="56"/>
      <c r="DN300" s="56"/>
      <c r="DO300" s="56"/>
      <c r="DP300" s="56"/>
      <c r="DQ300" s="56"/>
      <c r="DR300" s="56"/>
      <c r="DS300" s="56"/>
      <c r="DT300" s="56"/>
      <c r="DU300" s="56"/>
      <c r="DV300" s="56"/>
      <c r="DW300" s="56"/>
      <c r="DX300" s="56"/>
      <c r="DY300" s="56"/>
      <c r="DZ300" s="56"/>
      <c r="EA300" s="56"/>
      <c r="EB300" s="56"/>
      <c r="EC300" s="56"/>
      <c r="ED300" s="56"/>
      <c r="EE300" s="56"/>
      <c r="EF300" s="56"/>
    </row>
    <row r="301" spans="44:136" s="80" customFormat="1">
      <c r="AR301" s="118"/>
      <c r="BD301" s="56"/>
      <c r="BE301" s="56"/>
      <c r="BF301" s="56"/>
      <c r="BG301" s="56"/>
      <c r="BH301" s="56"/>
      <c r="BI301" s="56"/>
      <c r="BJ301" s="56"/>
      <c r="BK301" s="56"/>
      <c r="BL301" s="56"/>
      <c r="BM301" s="56"/>
      <c r="BN301" s="56"/>
      <c r="BO301" s="56"/>
      <c r="BP301" s="56"/>
      <c r="BQ301" s="56"/>
      <c r="BR301" s="56"/>
      <c r="BS301" s="56"/>
      <c r="BT301" s="60"/>
      <c r="BU301" s="56"/>
      <c r="BV301" s="56"/>
      <c r="BW301" s="56"/>
      <c r="BX301" s="56"/>
      <c r="BY301" s="56"/>
      <c r="BZ301" s="56"/>
      <c r="CA301" s="56"/>
      <c r="CB301" s="56"/>
      <c r="CC301" s="56"/>
      <c r="CD301" s="56"/>
      <c r="CE301" s="56"/>
      <c r="CF301" s="56"/>
      <c r="CG301" s="56"/>
      <c r="CH301" s="56"/>
      <c r="CI301" s="56"/>
      <c r="CJ301" s="60"/>
      <c r="CK301" s="56"/>
      <c r="CL301" s="56"/>
      <c r="CM301" s="56"/>
      <c r="CN301" s="56"/>
      <c r="CO301" s="56"/>
      <c r="CP301" s="56"/>
      <c r="CQ301" s="56"/>
      <c r="CR301" s="56"/>
      <c r="CS301" s="56"/>
      <c r="CT301" s="56"/>
      <c r="CU301" s="56"/>
      <c r="CV301" s="56"/>
      <c r="CW301" s="56"/>
      <c r="CX301" s="60"/>
      <c r="CY301" s="56"/>
      <c r="CZ301" s="56"/>
      <c r="DA301" s="56"/>
      <c r="DB301" s="56"/>
      <c r="DC301" s="56"/>
      <c r="DD301" s="56"/>
      <c r="DE301" s="56"/>
      <c r="DF301" s="56"/>
      <c r="DG301" s="56"/>
      <c r="DH301" s="56"/>
      <c r="DI301" s="56"/>
      <c r="DJ301" s="56"/>
      <c r="DK301" s="60"/>
      <c r="DL301" s="60"/>
      <c r="DM301" s="56"/>
      <c r="DN301" s="56"/>
      <c r="DO301" s="56"/>
      <c r="DP301" s="56"/>
      <c r="DQ301" s="56"/>
      <c r="DR301" s="56"/>
      <c r="DS301" s="56"/>
      <c r="DT301" s="56"/>
      <c r="DU301" s="56"/>
      <c r="DV301" s="56"/>
      <c r="DW301" s="56"/>
      <c r="DX301" s="56"/>
      <c r="DY301" s="56"/>
      <c r="DZ301" s="56"/>
      <c r="EA301" s="56"/>
      <c r="EB301" s="56"/>
      <c r="EC301" s="56"/>
      <c r="ED301" s="56"/>
      <c r="EE301" s="56"/>
      <c r="EF301" s="56"/>
    </row>
    <row r="302" spans="44:136" s="80" customFormat="1">
      <c r="AR302" s="118"/>
      <c r="BD302" s="56"/>
      <c r="BE302" s="56"/>
      <c r="BF302" s="56"/>
      <c r="BG302" s="56"/>
      <c r="BH302" s="56"/>
      <c r="BI302" s="56"/>
      <c r="BJ302" s="56"/>
      <c r="BK302" s="56"/>
      <c r="BL302" s="56"/>
      <c r="BM302" s="56"/>
      <c r="BN302" s="56"/>
      <c r="BO302" s="56"/>
      <c r="BP302" s="56"/>
      <c r="BQ302" s="56"/>
      <c r="BR302" s="56"/>
      <c r="BS302" s="56"/>
      <c r="BT302" s="60"/>
      <c r="BU302" s="56"/>
      <c r="BV302" s="56"/>
      <c r="BW302" s="56"/>
      <c r="BX302" s="56"/>
      <c r="BY302" s="56"/>
      <c r="BZ302" s="56"/>
      <c r="CA302" s="56"/>
      <c r="CB302" s="56"/>
      <c r="CC302" s="56"/>
      <c r="CD302" s="56"/>
      <c r="CE302" s="56"/>
      <c r="CF302" s="56"/>
      <c r="CG302" s="56"/>
      <c r="CH302" s="56"/>
      <c r="CI302" s="56"/>
      <c r="CJ302" s="60"/>
      <c r="CK302" s="56"/>
      <c r="CL302" s="56"/>
      <c r="CM302" s="56"/>
      <c r="CN302" s="56"/>
      <c r="CO302" s="56"/>
      <c r="CP302" s="56"/>
      <c r="CQ302" s="56"/>
      <c r="CR302" s="56"/>
      <c r="CS302" s="56"/>
      <c r="CT302" s="56"/>
      <c r="CU302" s="56"/>
      <c r="CV302" s="56"/>
      <c r="CW302" s="56"/>
      <c r="CX302" s="60"/>
      <c r="CY302" s="56"/>
      <c r="CZ302" s="56"/>
      <c r="DA302" s="56"/>
      <c r="DB302" s="56"/>
      <c r="DC302" s="56"/>
      <c r="DD302" s="56"/>
      <c r="DE302" s="56"/>
      <c r="DF302" s="56"/>
      <c r="DG302" s="56"/>
      <c r="DH302" s="56"/>
      <c r="DI302" s="56"/>
      <c r="DJ302" s="56"/>
      <c r="DK302" s="60"/>
      <c r="DL302" s="60"/>
      <c r="DM302" s="56"/>
      <c r="DN302" s="56"/>
      <c r="DO302" s="56"/>
      <c r="DP302" s="56"/>
      <c r="DQ302" s="56"/>
      <c r="DR302" s="56"/>
      <c r="DS302" s="56"/>
      <c r="DT302" s="56"/>
      <c r="DU302" s="56"/>
      <c r="DV302" s="56"/>
      <c r="DW302" s="56"/>
      <c r="DX302" s="56"/>
      <c r="DY302" s="56"/>
      <c r="DZ302" s="56"/>
      <c r="EA302" s="56"/>
      <c r="EB302" s="56"/>
      <c r="EC302" s="56"/>
      <c r="ED302" s="56"/>
      <c r="EE302" s="56"/>
      <c r="EF302" s="56"/>
    </row>
    <row r="303" spans="44:136" s="80" customFormat="1">
      <c r="AR303" s="118"/>
      <c r="BD303" s="56"/>
      <c r="BE303" s="56"/>
      <c r="BF303" s="56"/>
      <c r="BG303" s="56"/>
      <c r="BH303" s="56"/>
      <c r="BI303" s="56"/>
      <c r="BJ303" s="56"/>
      <c r="BK303" s="56"/>
      <c r="BL303" s="56"/>
      <c r="BM303" s="56"/>
      <c r="BN303" s="56"/>
      <c r="BO303" s="56"/>
      <c r="BP303" s="56"/>
      <c r="BQ303" s="56"/>
      <c r="BR303" s="56"/>
      <c r="BS303" s="56"/>
      <c r="BT303" s="60"/>
      <c r="BU303" s="56"/>
      <c r="BV303" s="56"/>
      <c r="BW303" s="56"/>
      <c r="BX303" s="56"/>
      <c r="BY303" s="56"/>
      <c r="BZ303" s="56"/>
      <c r="CA303" s="56"/>
      <c r="CB303" s="56"/>
      <c r="CC303" s="56"/>
      <c r="CD303" s="56"/>
      <c r="CE303" s="56"/>
      <c r="CF303" s="56"/>
      <c r="CG303" s="56"/>
      <c r="CH303" s="56"/>
      <c r="CI303" s="56"/>
      <c r="CJ303" s="60"/>
      <c r="CK303" s="56"/>
      <c r="CL303" s="56"/>
      <c r="CM303" s="56"/>
      <c r="CN303" s="56"/>
      <c r="CO303" s="56"/>
      <c r="CP303" s="56"/>
      <c r="CQ303" s="56"/>
      <c r="CR303" s="56"/>
      <c r="CS303" s="56"/>
      <c r="CT303" s="56"/>
      <c r="CU303" s="56"/>
      <c r="CV303" s="56"/>
      <c r="CW303" s="56"/>
      <c r="CX303" s="60"/>
      <c r="CY303" s="56"/>
      <c r="CZ303" s="56"/>
      <c r="DA303" s="56"/>
      <c r="DB303" s="56"/>
      <c r="DC303" s="56"/>
      <c r="DD303" s="56"/>
      <c r="DE303" s="56"/>
      <c r="DF303" s="56"/>
      <c r="DG303" s="56"/>
      <c r="DH303" s="56"/>
      <c r="DI303" s="56"/>
      <c r="DJ303" s="56"/>
      <c r="DK303" s="60"/>
      <c r="DL303" s="60"/>
      <c r="DM303" s="56"/>
      <c r="DN303" s="56"/>
      <c r="DO303" s="56"/>
      <c r="DP303" s="56"/>
      <c r="DQ303" s="56"/>
      <c r="DR303" s="56"/>
      <c r="DS303" s="56"/>
      <c r="DT303" s="56"/>
      <c r="DU303" s="56"/>
      <c r="DV303" s="56"/>
      <c r="DW303" s="56"/>
      <c r="DX303" s="56"/>
      <c r="DY303" s="56"/>
      <c r="DZ303" s="56"/>
      <c r="EA303" s="56"/>
      <c r="EB303" s="56"/>
      <c r="EC303" s="56"/>
      <c r="ED303" s="56"/>
      <c r="EE303" s="56"/>
      <c r="EF303" s="56"/>
    </row>
    <row r="304" spans="44:136" s="80" customFormat="1">
      <c r="AR304" s="118"/>
      <c r="BD304" s="56"/>
      <c r="BE304" s="56"/>
      <c r="BF304" s="56"/>
      <c r="BG304" s="56"/>
      <c r="BH304" s="56"/>
      <c r="BI304" s="56"/>
      <c r="BJ304" s="56"/>
      <c r="BK304" s="56"/>
      <c r="BL304" s="56"/>
      <c r="BM304" s="56"/>
      <c r="BN304" s="56"/>
      <c r="BO304" s="56"/>
      <c r="BP304" s="56"/>
      <c r="BQ304" s="56"/>
      <c r="BR304" s="56"/>
      <c r="BS304" s="56"/>
      <c r="BT304" s="60"/>
      <c r="BU304" s="56"/>
      <c r="BV304" s="56"/>
      <c r="BW304" s="56"/>
      <c r="BX304" s="56"/>
      <c r="BY304" s="56"/>
      <c r="BZ304" s="56"/>
      <c r="CA304" s="56"/>
      <c r="CB304" s="56"/>
      <c r="CC304" s="56"/>
      <c r="CD304" s="56"/>
      <c r="CE304" s="56"/>
      <c r="CF304" s="56"/>
      <c r="CG304" s="56"/>
      <c r="CH304" s="56"/>
      <c r="CI304" s="56"/>
      <c r="CJ304" s="60"/>
      <c r="CK304" s="56"/>
      <c r="CL304" s="56"/>
      <c r="CM304" s="56"/>
      <c r="CN304" s="56"/>
      <c r="CO304" s="56"/>
      <c r="CP304" s="56"/>
      <c r="CQ304" s="56"/>
      <c r="CR304" s="56"/>
      <c r="CS304" s="56"/>
      <c r="CT304" s="56"/>
      <c r="CU304" s="56"/>
      <c r="CV304" s="56"/>
      <c r="CW304" s="56"/>
      <c r="CX304" s="60"/>
      <c r="CY304" s="56"/>
      <c r="CZ304" s="56"/>
      <c r="DA304" s="56"/>
      <c r="DB304" s="56"/>
      <c r="DC304" s="56"/>
      <c r="DD304" s="56"/>
      <c r="DE304" s="56"/>
      <c r="DF304" s="56"/>
      <c r="DG304" s="56"/>
      <c r="DH304" s="56"/>
      <c r="DI304" s="56"/>
      <c r="DJ304" s="56"/>
      <c r="DK304" s="60"/>
      <c r="DL304" s="60"/>
      <c r="DM304" s="56"/>
      <c r="DN304" s="56"/>
      <c r="DO304" s="56"/>
      <c r="DP304" s="56"/>
      <c r="DQ304" s="56"/>
      <c r="DR304" s="56"/>
      <c r="DS304" s="56"/>
      <c r="DT304" s="56"/>
      <c r="DU304" s="56"/>
      <c r="DV304" s="56"/>
      <c r="DW304" s="56"/>
      <c r="DX304" s="56"/>
      <c r="DY304" s="56"/>
      <c r="DZ304" s="56"/>
      <c r="EA304" s="56"/>
      <c r="EB304" s="56"/>
      <c r="EC304" s="56"/>
      <c r="ED304" s="56"/>
      <c r="EE304" s="56"/>
      <c r="EF304" s="56"/>
    </row>
    <row r="305" spans="44:136" s="80" customFormat="1">
      <c r="AR305" s="118"/>
      <c r="BD305" s="56"/>
      <c r="BE305" s="56"/>
      <c r="BF305" s="56"/>
      <c r="BG305" s="56"/>
      <c r="BH305" s="56"/>
      <c r="BI305" s="56"/>
      <c r="BJ305" s="56"/>
      <c r="BK305" s="56"/>
      <c r="BL305" s="56"/>
      <c r="BM305" s="56"/>
      <c r="BN305" s="56"/>
      <c r="BO305" s="56"/>
      <c r="BP305" s="56"/>
      <c r="BQ305" s="56"/>
      <c r="BR305" s="56"/>
      <c r="BS305" s="56"/>
      <c r="BT305" s="60"/>
      <c r="BU305" s="56"/>
      <c r="BV305" s="56"/>
      <c r="BW305" s="56"/>
      <c r="BX305" s="56"/>
      <c r="BY305" s="56"/>
      <c r="BZ305" s="56"/>
      <c r="CA305" s="56"/>
      <c r="CB305" s="56"/>
      <c r="CC305" s="56"/>
      <c r="CD305" s="56"/>
      <c r="CE305" s="56"/>
      <c r="CF305" s="56"/>
      <c r="CG305" s="56"/>
      <c r="CH305" s="56"/>
      <c r="CI305" s="56"/>
      <c r="CJ305" s="60"/>
      <c r="CK305" s="56"/>
      <c r="CL305" s="56"/>
      <c r="CM305" s="56"/>
      <c r="CN305" s="56"/>
      <c r="CO305" s="56"/>
      <c r="CP305" s="56"/>
      <c r="CQ305" s="56"/>
      <c r="CR305" s="56"/>
      <c r="CS305" s="56"/>
      <c r="CT305" s="56"/>
      <c r="CU305" s="56"/>
      <c r="CV305" s="56"/>
      <c r="CW305" s="56"/>
      <c r="CX305" s="60"/>
      <c r="CY305" s="56"/>
      <c r="CZ305" s="56"/>
      <c r="DA305" s="56"/>
      <c r="DB305" s="56"/>
      <c r="DC305" s="56"/>
      <c r="DD305" s="56"/>
      <c r="DE305" s="56"/>
      <c r="DF305" s="56"/>
      <c r="DG305" s="56"/>
      <c r="DH305" s="56"/>
      <c r="DI305" s="56"/>
      <c r="DJ305" s="56"/>
      <c r="DK305" s="60"/>
      <c r="DL305" s="60"/>
      <c r="DM305" s="56"/>
      <c r="DN305" s="56"/>
      <c r="DO305" s="56"/>
      <c r="DP305" s="56"/>
      <c r="DQ305" s="56"/>
      <c r="DR305" s="56"/>
      <c r="DS305" s="56"/>
      <c r="DT305" s="56"/>
      <c r="DU305" s="56"/>
      <c r="DV305" s="56"/>
      <c r="DW305" s="56"/>
      <c r="DX305" s="56"/>
      <c r="DY305" s="56"/>
      <c r="DZ305" s="56"/>
      <c r="EA305" s="56"/>
      <c r="EB305" s="56"/>
      <c r="EC305" s="56"/>
      <c r="ED305" s="56"/>
      <c r="EE305" s="56"/>
      <c r="EF305" s="56"/>
    </row>
    <row r="306" spans="44:136" s="80" customFormat="1">
      <c r="AR306" s="118"/>
      <c r="BD306" s="56"/>
      <c r="BE306" s="56"/>
      <c r="BF306" s="56"/>
      <c r="BG306" s="56"/>
      <c r="BH306" s="56"/>
      <c r="BI306" s="56"/>
      <c r="BJ306" s="56"/>
      <c r="BK306" s="56"/>
      <c r="BL306" s="56"/>
      <c r="BM306" s="56"/>
      <c r="BN306" s="56"/>
      <c r="BO306" s="56"/>
      <c r="BP306" s="56"/>
      <c r="BQ306" s="56"/>
      <c r="BR306" s="56"/>
      <c r="BS306" s="56"/>
      <c r="BT306" s="60"/>
      <c r="BU306" s="56"/>
      <c r="BV306" s="56"/>
      <c r="BW306" s="56"/>
      <c r="BX306" s="56"/>
      <c r="BY306" s="56"/>
      <c r="BZ306" s="56"/>
      <c r="CA306" s="56"/>
      <c r="CB306" s="56"/>
      <c r="CC306" s="56"/>
      <c r="CD306" s="56"/>
      <c r="CE306" s="56"/>
      <c r="CF306" s="56"/>
      <c r="CG306" s="56"/>
      <c r="CH306" s="56"/>
      <c r="CI306" s="56"/>
      <c r="CJ306" s="60"/>
      <c r="CK306" s="56"/>
      <c r="CL306" s="56"/>
      <c r="CM306" s="56"/>
      <c r="CN306" s="56"/>
      <c r="CO306" s="56"/>
      <c r="CP306" s="56"/>
      <c r="CQ306" s="56"/>
      <c r="CR306" s="56"/>
      <c r="CS306" s="56"/>
      <c r="CT306" s="56"/>
      <c r="CU306" s="56"/>
      <c r="CV306" s="56"/>
      <c r="CW306" s="56"/>
      <c r="CX306" s="60"/>
      <c r="CY306" s="56"/>
      <c r="CZ306" s="56"/>
      <c r="DA306" s="56"/>
      <c r="DB306" s="56"/>
      <c r="DC306" s="56"/>
      <c r="DD306" s="56"/>
      <c r="DE306" s="56"/>
      <c r="DF306" s="56"/>
      <c r="DG306" s="56"/>
      <c r="DH306" s="56"/>
      <c r="DI306" s="56"/>
      <c r="DJ306" s="56"/>
      <c r="DK306" s="60"/>
      <c r="DL306" s="60"/>
      <c r="DM306" s="56"/>
      <c r="DN306" s="56"/>
      <c r="DO306" s="56"/>
      <c r="DP306" s="56"/>
      <c r="DQ306" s="56"/>
      <c r="DR306" s="56"/>
      <c r="DS306" s="56"/>
      <c r="DT306" s="56"/>
      <c r="DU306" s="56"/>
      <c r="DV306" s="56"/>
      <c r="DW306" s="56"/>
      <c r="DX306" s="56"/>
      <c r="DY306" s="56"/>
      <c r="DZ306" s="56"/>
      <c r="EA306" s="56"/>
      <c r="EB306" s="56"/>
      <c r="EC306" s="56"/>
      <c r="ED306" s="56"/>
      <c r="EE306" s="56"/>
      <c r="EF306" s="56"/>
    </row>
    <row r="307" spans="44:136" s="80" customFormat="1">
      <c r="AR307" s="118"/>
      <c r="BD307" s="56"/>
      <c r="BE307" s="56"/>
      <c r="BF307" s="56"/>
      <c r="BG307" s="56"/>
      <c r="BH307" s="56"/>
      <c r="BI307" s="56"/>
      <c r="BJ307" s="56"/>
      <c r="BK307" s="56"/>
      <c r="BL307" s="56"/>
      <c r="BM307" s="56"/>
      <c r="BN307" s="56"/>
      <c r="BO307" s="56"/>
      <c r="BP307" s="56"/>
      <c r="BQ307" s="56"/>
      <c r="BR307" s="56"/>
      <c r="BS307" s="56"/>
      <c r="BT307" s="60"/>
      <c r="BU307" s="56"/>
      <c r="BV307" s="56"/>
      <c r="BW307" s="56"/>
      <c r="BX307" s="56"/>
      <c r="BY307" s="56"/>
      <c r="BZ307" s="56"/>
      <c r="CA307" s="56"/>
      <c r="CB307" s="56"/>
      <c r="CC307" s="56"/>
      <c r="CD307" s="56"/>
      <c r="CE307" s="56"/>
      <c r="CF307" s="56"/>
      <c r="CG307" s="56"/>
      <c r="CH307" s="56"/>
      <c r="CI307" s="56"/>
      <c r="CJ307" s="60"/>
      <c r="CK307" s="56"/>
      <c r="CL307" s="56"/>
      <c r="CM307" s="56"/>
      <c r="CN307" s="56"/>
      <c r="CO307" s="56"/>
      <c r="CP307" s="56"/>
      <c r="CQ307" s="56"/>
      <c r="CR307" s="56"/>
      <c r="CS307" s="56"/>
      <c r="CT307" s="56"/>
      <c r="CU307" s="56"/>
      <c r="CV307" s="56"/>
      <c r="CW307" s="56"/>
      <c r="CX307" s="60"/>
      <c r="CY307" s="56"/>
      <c r="CZ307" s="56"/>
      <c r="DA307" s="56"/>
      <c r="DB307" s="56"/>
      <c r="DC307" s="56"/>
      <c r="DD307" s="56"/>
      <c r="DE307" s="56"/>
      <c r="DF307" s="56"/>
      <c r="DG307" s="56"/>
      <c r="DH307" s="56"/>
      <c r="DI307" s="56"/>
      <c r="DJ307" s="56"/>
      <c r="DK307" s="60"/>
      <c r="DL307" s="60"/>
      <c r="DM307" s="56"/>
      <c r="DN307" s="56"/>
      <c r="DO307" s="56"/>
      <c r="DP307" s="56"/>
      <c r="DQ307" s="56"/>
      <c r="DR307" s="56"/>
      <c r="DS307" s="56"/>
      <c r="DT307" s="56"/>
      <c r="DU307" s="56"/>
      <c r="DV307" s="56"/>
      <c r="DW307" s="56"/>
      <c r="DX307" s="56"/>
      <c r="DY307" s="56"/>
      <c r="DZ307" s="56"/>
      <c r="EA307" s="56"/>
      <c r="EB307" s="56"/>
      <c r="EC307" s="56"/>
      <c r="ED307" s="56"/>
      <c r="EE307" s="56"/>
      <c r="EF307" s="56"/>
    </row>
    <row r="308" spans="44:136" s="80" customFormat="1">
      <c r="AR308" s="118"/>
      <c r="BD308" s="56"/>
      <c r="BE308" s="56"/>
      <c r="BF308" s="56"/>
      <c r="BG308" s="56"/>
      <c r="BH308" s="56"/>
      <c r="BI308" s="56"/>
      <c r="BJ308" s="56"/>
      <c r="BK308" s="56"/>
      <c r="BL308" s="56"/>
      <c r="BM308" s="56"/>
      <c r="BN308" s="56"/>
      <c r="BO308" s="56"/>
      <c r="BP308" s="56"/>
      <c r="BQ308" s="56"/>
      <c r="BR308" s="56"/>
      <c r="BS308" s="56"/>
      <c r="BT308" s="60"/>
      <c r="BU308" s="56"/>
      <c r="BV308" s="56"/>
      <c r="BW308" s="56"/>
      <c r="BX308" s="56"/>
      <c r="BY308" s="56"/>
      <c r="BZ308" s="56"/>
      <c r="CA308" s="56"/>
      <c r="CB308" s="56"/>
      <c r="CC308" s="56"/>
      <c r="CD308" s="56"/>
      <c r="CE308" s="56"/>
      <c r="CF308" s="56"/>
      <c r="CG308" s="56"/>
      <c r="CH308" s="56"/>
      <c r="CI308" s="56"/>
      <c r="CJ308" s="60"/>
      <c r="CK308" s="56"/>
      <c r="CL308" s="56"/>
      <c r="CM308" s="56"/>
      <c r="CN308" s="56"/>
      <c r="CO308" s="56"/>
      <c r="CP308" s="56"/>
      <c r="CQ308" s="56"/>
      <c r="CR308" s="56"/>
      <c r="CS308" s="56"/>
      <c r="CT308" s="56"/>
      <c r="CU308" s="56"/>
      <c r="CV308" s="56"/>
      <c r="CW308" s="56"/>
      <c r="CX308" s="60"/>
      <c r="CY308" s="56"/>
      <c r="CZ308" s="56"/>
      <c r="DA308" s="56"/>
      <c r="DB308" s="56"/>
      <c r="DC308" s="56"/>
      <c r="DD308" s="56"/>
      <c r="DE308" s="56"/>
      <c r="DF308" s="56"/>
      <c r="DG308" s="56"/>
      <c r="DH308" s="56"/>
      <c r="DI308" s="56"/>
      <c r="DJ308" s="56"/>
      <c r="DK308" s="60"/>
      <c r="DL308" s="60"/>
      <c r="DM308" s="56"/>
      <c r="DN308" s="56"/>
      <c r="DO308" s="56"/>
      <c r="DP308" s="56"/>
      <c r="DQ308" s="56"/>
      <c r="DR308" s="56"/>
      <c r="DS308" s="56"/>
      <c r="DT308" s="56"/>
      <c r="DU308" s="56"/>
      <c r="DV308" s="56"/>
      <c r="DW308" s="56"/>
      <c r="DX308" s="56"/>
      <c r="DY308" s="56"/>
      <c r="DZ308" s="56"/>
      <c r="EA308" s="56"/>
      <c r="EB308" s="56"/>
      <c r="EC308" s="56"/>
      <c r="ED308" s="56"/>
      <c r="EE308" s="56"/>
      <c r="EF308" s="56"/>
    </row>
    <row r="309" spans="44:136" s="80" customFormat="1">
      <c r="AR309" s="118"/>
      <c r="BD309" s="56"/>
      <c r="BE309" s="56"/>
      <c r="BF309" s="56"/>
      <c r="BG309" s="56"/>
      <c r="BH309" s="56"/>
      <c r="BI309" s="56"/>
      <c r="BJ309" s="56"/>
      <c r="BK309" s="56"/>
      <c r="BL309" s="56"/>
      <c r="BM309" s="56"/>
      <c r="BN309" s="56"/>
      <c r="BO309" s="56"/>
      <c r="BP309" s="56"/>
      <c r="BQ309" s="56"/>
      <c r="BR309" s="56"/>
      <c r="BS309" s="56"/>
      <c r="BT309" s="60"/>
      <c r="BU309" s="56"/>
      <c r="BV309" s="56"/>
      <c r="BW309" s="56"/>
      <c r="BX309" s="56"/>
      <c r="BY309" s="56"/>
      <c r="BZ309" s="56"/>
      <c r="CA309" s="56"/>
      <c r="CB309" s="56"/>
      <c r="CC309" s="56"/>
      <c r="CD309" s="56"/>
      <c r="CE309" s="56"/>
      <c r="CF309" s="56"/>
      <c r="CG309" s="56"/>
      <c r="CH309" s="56"/>
      <c r="CI309" s="56"/>
      <c r="CJ309" s="60"/>
      <c r="CK309" s="56"/>
      <c r="CL309" s="56"/>
      <c r="CM309" s="56"/>
      <c r="CN309" s="56"/>
      <c r="CO309" s="56"/>
      <c r="CP309" s="56"/>
      <c r="CQ309" s="56"/>
      <c r="CR309" s="56"/>
      <c r="CS309" s="56"/>
      <c r="CT309" s="56"/>
      <c r="CU309" s="56"/>
      <c r="CV309" s="56"/>
      <c r="CW309" s="56"/>
      <c r="CX309" s="60"/>
      <c r="CY309" s="56"/>
      <c r="CZ309" s="56"/>
      <c r="DA309" s="56"/>
      <c r="DB309" s="56"/>
      <c r="DC309" s="56"/>
      <c r="DD309" s="56"/>
      <c r="DE309" s="56"/>
      <c r="DF309" s="56"/>
      <c r="DG309" s="56"/>
      <c r="DH309" s="56"/>
      <c r="DI309" s="56"/>
      <c r="DJ309" s="56"/>
      <c r="DK309" s="60"/>
      <c r="DL309" s="60"/>
      <c r="DM309" s="56"/>
      <c r="DN309" s="56"/>
      <c r="DO309" s="56"/>
      <c r="DP309" s="56"/>
      <c r="DQ309" s="56"/>
      <c r="DR309" s="56"/>
      <c r="DS309" s="56"/>
      <c r="DT309" s="56"/>
      <c r="DU309" s="56"/>
      <c r="DV309" s="56"/>
      <c r="DW309" s="56"/>
      <c r="DX309" s="56"/>
      <c r="DY309" s="56"/>
      <c r="DZ309" s="56"/>
      <c r="EA309" s="56"/>
      <c r="EB309" s="56"/>
      <c r="EC309" s="56"/>
      <c r="ED309" s="56"/>
      <c r="EE309" s="56"/>
      <c r="EF309" s="56"/>
    </row>
    <row r="310" spans="44:136" s="80" customFormat="1">
      <c r="AR310" s="118"/>
      <c r="BD310" s="56"/>
      <c r="BE310" s="56"/>
      <c r="BF310" s="56"/>
      <c r="BG310" s="56"/>
      <c r="BH310" s="56"/>
      <c r="BI310" s="56"/>
      <c r="BJ310" s="56"/>
      <c r="BK310" s="56"/>
      <c r="BL310" s="56"/>
      <c r="BM310" s="56"/>
      <c r="BN310" s="56"/>
      <c r="BO310" s="56"/>
      <c r="BP310" s="56"/>
      <c r="BQ310" s="56"/>
      <c r="BR310" s="56"/>
      <c r="BS310" s="56"/>
      <c r="BT310" s="60"/>
      <c r="BU310" s="56"/>
      <c r="BV310" s="56"/>
      <c r="BW310" s="56"/>
      <c r="BX310" s="56"/>
      <c r="BY310" s="56"/>
      <c r="BZ310" s="56"/>
      <c r="CA310" s="56"/>
      <c r="CB310" s="56"/>
      <c r="CC310" s="56"/>
      <c r="CD310" s="56"/>
      <c r="CE310" s="56"/>
      <c r="CF310" s="56"/>
      <c r="CG310" s="56"/>
      <c r="CH310" s="56"/>
      <c r="CI310" s="56"/>
      <c r="CJ310" s="60"/>
      <c r="CK310" s="56"/>
      <c r="CL310" s="56"/>
      <c r="CM310" s="56"/>
      <c r="CN310" s="56"/>
      <c r="CO310" s="56"/>
      <c r="CP310" s="56"/>
      <c r="CQ310" s="56"/>
      <c r="CR310" s="56"/>
      <c r="CS310" s="56"/>
      <c r="CT310" s="56"/>
      <c r="CU310" s="56"/>
      <c r="CV310" s="56"/>
      <c r="CW310" s="56"/>
      <c r="CX310" s="60"/>
      <c r="CY310" s="56"/>
      <c r="CZ310" s="56"/>
      <c r="DA310" s="56"/>
      <c r="DB310" s="56"/>
      <c r="DC310" s="56"/>
      <c r="DD310" s="56"/>
      <c r="DE310" s="56"/>
      <c r="DF310" s="56"/>
      <c r="DG310" s="56"/>
      <c r="DH310" s="56"/>
      <c r="DI310" s="56"/>
      <c r="DJ310" s="56"/>
      <c r="DK310" s="60"/>
      <c r="DL310" s="60"/>
      <c r="DM310" s="56"/>
      <c r="DN310" s="56"/>
      <c r="DO310" s="56"/>
      <c r="DP310" s="56"/>
      <c r="DQ310" s="56"/>
      <c r="DR310" s="56"/>
      <c r="DS310" s="56"/>
      <c r="DT310" s="56"/>
      <c r="DU310" s="56"/>
      <c r="DV310" s="56"/>
      <c r="DW310" s="56"/>
      <c r="DX310" s="56"/>
      <c r="DY310" s="56"/>
      <c r="DZ310" s="56"/>
      <c r="EA310" s="56"/>
      <c r="EB310" s="56"/>
      <c r="EC310" s="56"/>
      <c r="ED310" s="56"/>
      <c r="EE310" s="56"/>
      <c r="EF310" s="56"/>
    </row>
    <row r="311" spans="44:136" s="80" customFormat="1">
      <c r="AR311" s="118"/>
      <c r="BD311" s="56"/>
      <c r="BE311" s="56"/>
      <c r="BF311" s="56"/>
      <c r="BG311" s="56"/>
      <c r="BH311" s="56"/>
      <c r="BI311" s="56"/>
      <c r="BJ311" s="56"/>
      <c r="BK311" s="56"/>
      <c r="BL311" s="56"/>
      <c r="BM311" s="56"/>
      <c r="BN311" s="56"/>
      <c r="BO311" s="56"/>
      <c r="BP311" s="56"/>
      <c r="BQ311" s="56"/>
      <c r="BR311" s="56"/>
      <c r="BS311" s="56"/>
      <c r="BT311" s="60"/>
      <c r="BU311" s="56"/>
      <c r="BV311" s="56"/>
      <c r="BW311" s="56"/>
      <c r="BX311" s="56"/>
      <c r="BY311" s="56"/>
      <c r="BZ311" s="56"/>
      <c r="CA311" s="56"/>
      <c r="CB311" s="56"/>
      <c r="CC311" s="56"/>
      <c r="CD311" s="56"/>
      <c r="CE311" s="56"/>
      <c r="CF311" s="56"/>
      <c r="CG311" s="56"/>
      <c r="CH311" s="56"/>
      <c r="CI311" s="56"/>
      <c r="CJ311" s="60"/>
      <c r="CK311" s="56"/>
      <c r="CL311" s="56"/>
      <c r="CM311" s="56"/>
      <c r="CN311" s="56"/>
      <c r="CO311" s="56"/>
      <c r="CP311" s="56"/>
      <c r="CQ311" s="56"/>
      <c r="CR311" s="56"/>
      <c r="CS311" s="56"/>
      <c r="CT311" s="56"/>
      <c r="CU311" s="56"/>
      <c r="CV311" s="56"/>
      <c r="CW311" s="56"/>
      <c r="CX311" s="60"/>
      <c r="CY311" s="56"/>
      <c r="CZ311" s="56"/>
      <c r="DA311" s="56"/>
      <c r="DB311" s="56"/>
      <c r="DC311" s="56"/>
      <c r="DD311" s="56"/>
      <c r="DE311" s="56"/>
      <c r="DF311" s="56"/>
      <c r="DG311" s="56"/>
      <c r="DH311" s="56"/>
      <c r="DI311" s="56"/>
      <c r="DJ311" s="56"/>
      <c r="DK311" s="60"/>
      <c r="DL311" s="60"/>
      <c r="DM311" s="56"/>
      <c r="DN311" s="56"/>
      <c r="DO311" s="56"/>
      <c r="DP311" s="56"/>
      <c r="DQ311" s="56"/>
      <c r="DR311" s="56"/>
      <c r="DS311" s="56"/>
      <c r="DT311" s="56"/>
      <c r="DU311" s="56"/>
      <c r="DV311" s="56"/>
      <c r="DW311" s="56"/>
      <c r="DX311" s="56"/>
      <c r="DY311" s="56"/>
      <c r="DZ311" s="56"/>
      <c r="EA311" s="56"/>
      <c r="EB311" s="56"/>
      <c r="EC311" s="56"/>
      <c r="ED311" s="56"/>
      <c r="EE311" s="56"/>
      <c r="EF311" s="56"/>
    </row>
    <row r="312" spans="44:136" s="80" customFormat="1">
      <c r="AR312" s="118"/>
      <c r="BD312" s="56"/>
      <c r="BE312" s="56"/>
      <c r="BF312" s="56"/>
      <c r="BG312" s="56"/>
      <c r="BH312" s="56"/>
      <c r="BI312" s="56"/>
      <c r="BJ312" s="56"/>
      <c r="BK312" s="56"/>
      <c r="BL312" s="56"/>
      <c r="BM312" s="56"/>
      <c r="BN312" s="56"/>
      <c r="BO312" s="56"/>
      <c r="BP312" s="56"/>
      <c r="BQ312" s="56"/>
      <c r="BR312" s="56"/>
      <c r="BS312" s="56"/>
      <c r="BT312" s="60"/>
      <c r="BU312" s="56"/>
      <c r="BV312" s="56"/>
      <c r="BW312" s="56"/>
      <c r="BX312" s="56"/>
      <c r="BY312" s="56"/>
      <c r="BZ312" s="56"/>
      <c r="CA312" s="56"/>
      <c r="CB312" s="56"/>
      <c r="CC312" s="56"/>
      <c r="CD312" s="56"/>
      <c r="CE312" s="56"/>
      <c r="CF312" s="56"/>
      <c r="CG312" s="56"/>
      <c r="CH312" s="56"/>
      <c r="CI312" s="56"/>
      <c r="CJ312" s="60"/>
      <c r="CK312" s="56"/>
      <c r="CL312" s="56"/>
      <c r="CM312" s="56"/>
      <c r="CN312" s="56"/>
      <c r="CO312" s="56"/>
      <c r="CP312" s="56"/>
      <c r="CQ312" s="56"/>
      <c r="CR312" s="56"/>
      <c r="CS312" s="56"/>
      <c r="CT312" s="56"/>
      <c r="CU312" s="56"/>
      <c r="CV312" s="56"/>
      <c r="CW312" s="56"/>
      <c r="CX312" s="60"/>
      <c r="CY312" s="56"/>
      <c r="CZ312" s="56"/>
      <c r="DA312" s="56"/>
      <c r="DB312" s="56"/>
      <c r="DC312" s="56"/>
      <c r="DD312" s="56"/>
      <c r="DE312" s="56"/>
      <c r="DF312" s="56"/>
      <c r="DG312" s="56"/>
      <c r="DH312" s="56"/>
      <c r="DI312" s="56"/>
      <c r="DJ312" s="56"/>
      <c r="DK312" s="60"/>
      <c r="DL312" s="60"/>
      <c r="DM312" s="56"/>
      <c r="DN312" s="56"/>
      <c r="DO312" s="56"/>
      <c r="DP312" s="56"/>
      <c r="DQ312" s="56"/>
      <c r="DR312" s="56"/>
      <c r="DS312" s="56"/>
      <c r="DT312" s="56"/>
      <c r="DU312" s="56"/>
      <c r="DV312" s="56"/>
      <c r="DW312" s="56"/>
      <c r="DX312" s="56"/>
      <c r="DY312" s="56"/>
      <c r="DZ312" s="56"/>
      <c r="EA312" s="56"/>
      <c r="EB312" s="56"/>
      <c r="EC312" s="56"/>
      <c r="ED312" s="56"/>
      <c r="EE312" s="56"/>
      <c r="EF312" s="56"/>
    </row>
    <row r="313" spans="44:136" s="80" customFormat="1">
      <c r="AR313" s="118"/>
      <c r="BD313" s="56"/>
      <c r="BE313" s="56"/>
      <c r="BF313" s="56"/>
      <c r="BG313" s="56"/>
      <c r="BH313" s="56"/>
      <c r="BI313" s="56"/>
      <c r="BJ313" s="56"/>
      <c r="BK313" s="56"/>
      <c r="BL313" s="56"/>
      <c r="BM313" s="56"/>
      <c r="BN313" s="56"/>
      <c r="BO313" s="56"/>
      <c r="BP313" s="56"/>
      <c r="BQ313" s="56"/>
      <c r="BR313" s="56"/>
      <c r="BS313" s="56"/>
      <c r="BT313" s="60"/>
      <c r="BU313" s="56"/>
      <c r="BV313" s="56"/>
      <c r="BW313" s="56"/>
      <c r="BX313" s="56"/>
      <c r="BY313" s="56"/>
      <c r="BZ313" s="56"/>
      <c r="CA313" s="56"/>
      <c r="CB313" s="56"/>
      <c r="CC313" s="56"/>
      <c r="CD313" s="56"/>
      <c r="CE313" s="56"/>
      <c r="CF313" s="56"/>
      <c r="CG313" s="56"/>
      <c r="CH313" s="56"/>
      <c r="CI313" s="56"/>
      <c r="CJ313" s="60"/>
      <c r="CK313" s="56"/>
      <c r="CL313" s="56"/>
      <c r="CM313" s="56"/>
      <c r="CN313" s="56"/>
      <c r="CO313" s="56"/>
      <c r="CP313" s="56"/>
      <c r="CQ313" s="56"/>
      <c r="CR313" s="56"/>
      <c r="CS313" s="56"/>
      <c r="CT313" s="56"/>
      <c r="CU313" s="56"/>
      <c r="CV313" s="56"/>
      <c r="CW313" s="56"/>
      <c r="CX313" s="60"/>
      <c r="CY313" s="56"/>
      <c r="CZ313" s="56"/>
      <c r="DA313" s="56"/>
      <c r="DB313" s="56"/>
      <c r="DC313" s="56"/>
      <c r="DD313" s="56"/>
      <c r="DE313" s="56"/>
      <c r="DF313" s="56"/>
      <c r="DG313" s="56"/>
      <c r="DH313" s="56"/>
      <c r="DI313" s="56"/>
      <c r="DJ313" s="56"/>
      <c r="DK313" s="60"/>
      <c r="DL313" s="60"/>
      <c r="DM313" s="56"/>
      <c r="DN313" s="56"/>
      <c r="DO313" s="56"/>
      <c r="DP313" s="56"/>
      <c r="DQ313" s="56"/>
      <c r="DR313" s="56"/>
      <c r="DS313" s="56"/>
      <c r="DT313" s="56"/>
      <c r="DU313" s="56"/>
      <c r="DV313" s="56"/>
      <c r="DW313" s="56"/>
      <c r="DX313" s="56"/>
      <c r="DY313" s="56"/>
      <c r="DZ313" s="56"/>
      <c r="EA313" s="56"/>
      <c r="EB313" s="56"/>
      <c r="EC313" s="56"/>
      <c r="ED313" s="56"/>
      <c r="EE313" s="56"/>
      <c r="EF313" s="56"/>
    </row>
    <row r="314" spans="44:136" s="80" customFormat="1">
      <c r="AR314" s="118"/>
      <c r="BD314" s="56"/>
      <c r="BE314" s="56"/>
      <c r="BF314" s="56"/>
      <c r="BG314" s="56"/>
      <c r="BH314" s="56"/>
      <c r="BI314" s="56"/>
      <c r="BJ314" s="56"/>
      <c r="BK314" s="56"/>
      <c r="BL314" s="56"/>
      <c r="BM314" s="56"/>
      <c r="BN314" s="56"/>
      <c r="BO314" s="56"/>
      <c r="BP314" s="56"/>
      <c r="BQ314" s="56"/>
      <c r="BR314" s="56"/>
      <c r="BS314" s="56"/>
      <c r="BT314" s="60"/>
      <c r="BU314" s="56"/>
      <c r="BV314" s="56"/>
      <c r="BW314" s="56"/>
      <c r="BX314" s="56"/>
      <c r="BY314" s="56"/>
      <c r="BZ314" s="56"/>
      <c r="CA314" s="56"/>
      <c r="CB314" s="56"/>
      <c r="CC314" s="56"/>
      <c r="CD314" s="56"/>
      <c r="CE314" s="56"/>
      <c r="CF314" s="56"/>
      <c r="CG314" s="56"/>
      <c r="CH314" s="56"/>
      <c r="CI314" s="56"/>
      <c r="CJ314" s="60"/>
      <c r="CK314" s="56"/>
      <c r="CL314" s="56"/>
      <c r="CM314" s="56"/>
      <c r="CN314" s="56"/>
      <c r="CO314" s="56"/>
      <c r="CP314" s="56"/>
      <c r="CQ314" s="56"/>
      <c r="CR314" s="56"/>
      <c r="CS314" s="56"/>
      <c r="CT314" s="56"/>
      <c r="CU314" s="56"/>
      <c r="CV314" s="56"/>
      <c r="CW314" s="56"/>
      <c r="CX314" s="60"/>
      <c r="CY314" s="56"/>
      <c r="CZ314" s="56"/>
      <c r="DA314" s="56"/>
      <c r="DB314" s="56"/>
      <c r="DC314" s="56"/>
      <c r="DD314" s="56"/>
      <c r="DE314" s="56"/>
      <c r="DF314" s="56"/>
      <c r="DG314" s="56"/>
      <c r="DH314" s="56"/>
      <c r="DI314" s="56"/>
      <c r="DJ314" s="56"/>
      <c r="DK314" s="60"/>
      <c r="DL314" s="60"/>
      <c r="DM314" s="56"/>
      <c r="DN314" s="56"/>
      <c r="DO314" s="56"/>
      <c r="DP314" s="56"/>
      <c r="DQ314" s="56"/>
      <c r="DR314" s="56"/>
      <c r="DS314" s="56"/>
      <c r="DT314" s="56"/>
      <c r="DU314" s="56"/>
      <c r="DV314" s="56"/>
      <c r="DW314" s="56"/>
      <c r="DX314" s="56"/>
      <c r="DY314" s="56"/>
      <c r="DZ314" s="56"/>
      <c r="EA314" s="56"/>
      <c r="EB314" s="56"/>
      <c r="EC314" s="56"/>
      <c r="ED314" s="56"/>
      <c r="EE314" s="56"/>
      <c r="EF314" s="56"/>
    </row>
    <row r="315" spans="44:136" s="80" customFormat="1">
      <c r="AR315" s="118"/>
      <c r="BD315" s="56"/>
      <c r="BE315" s="56"/>
      <c r="BF315" s="56"/>
      <c r="BG315" s="56"/>
      <c r="BH315" s="56"/>
      <c r="BI315" s="56"/>
      <c r="BJ315" s="56"/>
      <c r="BK315" s="56"/>
      <c r="BL315" s="56"/>
      <c r="BM315" s="56"/>
      <c r="BN315" s="56"/>
      <c r="BO315" s="56"/>
      <c r="BP315" s="56"/>
      <c r="BQ315" s="56"/>
      <c r="BR315" s="56"/>
      <c r="BS315" s="56"/>
      <c r="BT315" s="60"/>
      <c r="BU315" s="56"/>
      <c r="BV315" s="56"/>
      <c r="BW315" s="56"/>
      <c r="BX315" s="56"/>
      <c r="BY315" s="56"/>
      <c r="BZ315" s="56"/>
      <c r="CA315" s="56"/>
      <c r="CB315" s="56"/>
      <c r="CC315" s="56"/>
      <c r="CD315" s="56"/>
      <c r="CE315" s="56"/>
      <c r="CF315" s="56"/>
      <c r="CG315" s="56"/>
      <c r="CH315" s="56"/>
      <c r="CI315" s="56"/>
      <c r="CJ315" s="60"/>
      <c r="CK315" s="56"/>
      <c r="CL315" s="56"/>
      <c r="CM315" s="56"/>
      <c r="CN315" s="56"/>
      <c r="CO315" s="56"/>
      <c r="CP315" s="56"/>
      <c r="CQ315" s="56"/>
      <c r="CR315" s="56"/>
      <c r="CS315" s="56"/>
      <c r="CT315" s="56"/>
      <c r="CU315" s="56"/>
      <c r="CV315" s="56"/>
      <c r="CW315" s="56"/>
      <c r="CX315" s="60"/>
      <c r="CY315" s="56"/>
      <c r="CZ315" s="56"/>
      <c r="DA315" s="56"/>
      <c r="DB315" s="56"/>
      <c r="DC315" s="56"/>
      <c r="DD315" s="56"/>
      <c r="DE315" s="56"/>
      <c r="DF315" s="56"/>
      <c r="DG315" s="56"/>
      <c r="DH315" s="56"/>
      <c r="DI315" s="56"/>
      <c r="DJ315" s="56"/>
      <c r="DK315" s="60"/>
      <c r="DL315" s="60"/>
      <c r="DM315" s="56"/>
      <c r="DN315" s="56"/>
      <c r="DO315" s="56"/>
      <c r="DP315" s="56"/>
      <c r="DQ315" s="56"/>
      <c r="DR315" s="56"/>
      <c r="DS315" s="56"/>
      <c r="DT315" s="56"/>
      <c r="DU315" s="56"/>
      <c r="DV315" s="56"/>
      <c r="DW315" s="56"/>
      <c r="DX315" s="56"/>
      <c r="DY315" s="56"/>
      <c r="DZ315" s="56"/>
      <c r="EA315" s="56"/>
      <c r="EB315" s="56"/>
      <c r="EC315" s="56"/>
      <c r="ED315" s="56"/>
      <c r="EE315" s="56"/>
      <c r="EF315" s="56"/>
    </row>
    <row r="316" spans="44:136" s="80" customFormat="1">
      <c r="AR316" s="118"/>
      <c r="BD316" s="56"/>
      <c r="BE316" s="56"/>
      <c r="BF316" s="56"/>
      <c r="BG316" s="56"/>
      <c r="BH316" s="56"/>
      <c r="BI316" s="56"/>
      <c r="BJ316" s="56"/>
      <c r="BK316" s="56"/>
      <c r="BL316" s="56"/>
      <c r="BM316" s="56"/>
      <c r="BN316" s="56"/>
      <c r="BO316" s="56"/>
      <c r="BP316" s="56"/>
      <c r="BQ316" s="56"/>
      <c r="BR316" s="56"/>
      <c r="BS316" s="56"/>
      <c r="BT316" s="60"/>
      <c r="BU316" s="56"/>
      <c r="BV316" s="56"/>
      <c r="BW316" s="56"/>
      <c r="BX316" s="56"/>
      <c r="BY316" s="56"/>
      <c r="BZ316" s="56"/>
      <c r="CA316" s="56"/>
      <c r="CB316" s="56"/>
      <c r="CC316" s="56"/>
      <c r="CD316" s="56"/>
      <c r="CE316" s="56"/>
      <c r="CF316" s="56"/>
      <c r="CG316" s="56"/>
      <c r="CH316" s="56"/>
      <c r="CI316" s="56"/>
      <c r="CJ316" s="60"/>
      <c r="CK316" s="56"/>
      <c r="CL316" s="56"/>
      <c r="CM316" s="56"/>
      <c r="CN316" s="56"/>
      <c r="CO316" s="56"/>
      <c r="CP316" s="56"/>
      <c r="CQ316" s="56"/>
      <c r="CR316" s="56"/>
      <c r="CS316" s="56"/>
      <c r="CT316" s="56"/>
      <c r="CU316" s="56"/>
      <c r="CV316" s="56"/>
      <c r="CW316" s="56"/>
      <c r="CX316" s="60"/>
      <c r="CY316" s="56"/>
      <c r="CZ316" s="56"/>
      <c r="DA316" s="56"/>
      <c r="DB316" s="56"/>
      <c r="DC316" s="56"/>
      <c r="DD316" s="56"/>
      <c r="DE316" s="56"/>
      <c r="DF316" s="56"/>
      <c r="DG316" s="56"/>
      <c r="DH316" s="56"/>
      <c r="DI316" s="56"/>
      <c r="DJ316" s="56"/>
      <c r="DK316" s="60"/>
      <c r="DL316" s="60"/>
      <c r="DM316" s="56"/>
      <c r="DN316" s="56"/>
      <c r="DO316" s="56"/>
      <c r="DP316" s="56"/>
      <c r="DQ316" s="56"/>
      <c r="DR316" s="56"/>
      <c r="DS316" s="56"/>
      <c r="DT316" s="56"/>
      <c r="DU316" s="56"/>
      <c r="DV316" s="56"/>
      <c r="DW316" s="56"/>
      <c r="DX316" s="56"/>
      <c r="DY316" s="56"/>
      <c r="DZ316" s="56"/>
      <c r="EA316" s="56"/>
      <c r="EB316" s="56"/>
      <c r="EC316" s="56"/>
      <c r="ED316" s="56"/>
      <c r="EE316" s="56"/>
      <c r="EF316" s="56"/>
    </row>
    <row r="317" spans="44:136" s="80" customFormat="1">
      <c r="AR317" s="118"/>
      <c r="BD317" s="56"/>
      <c r="BE317" s="56"/>
      <c r="BF317" s="56"/>
      <c r="BG317" s="56"/>
      <c r="BH317" s="56"/>
      <c r="BI317" s="56"/>
      <c r="BJ317" s="56"/>
      <c r="BK317" s="56"/>
      <c r="BL317" s="56"/>
      <c r="BM317" s="56"/>
      <c r="BN317" s="56"/>
      <c r="BO317" s="56"/>
      <c r="BP317" s="56"/>
      <c r="BQ317" s="56"/>
      <c r="BR317" s="56"/>
      <c r="BS317" s="56"/>
      <c r="BT317" s="60"/>
      <c r="BU317" s="56"/>
      <c r="BV317" s="56"/>
      <c r="BW317" s="56"/>
      <c r="BX317" s="56"/>
      <c r="BY317" s="56"/>
      <c r="BZ317" s="56"/>
      <c r="CA317" s="56"/>
      <c r="CB317" s="56"/>
      <c r="CC317" s="56"/>
      <c r="CD317" s="56"/>
      <c r="CE317" s="56"/>
      <c r="CF317" s="56"/>
      <c r="CG317" s="56"/>
      <c r="CH317" s="56"/>
      <c r="CI317" s="56"/>
      <c r="CJ317" s="60"/>
      <c r="CK317" s="56"/>
      <c r="CL317" s="56"/>
      <c r="CM317" s="56"/>
      <c r="CN317" s="56"/>
      <c r="CO317" s="56"/>
      <c r="CP317" s="56"/>
      <c r="CQ317" s="56"/>
      <c r="CR317" s="56"/>
      <c r="CS317" s="56"/>
      <c r="CT317" s="56"/>
      <c r="CU317" s="56"/>
      <c r="CV317" s="56"/>
      <c r="CW317" s="56"/>
      <c r="CX317" s="60"/>
      <c r="CY317" s="56"/>
      <c r="CZ317" s="56"/>
      <c r="DA317" s="56"/>
      <c r="DB317" s="56"/>
      <c r="DC317" s="56"/>
      <c r="DD317" s="56"/>
      <c r="DE317" s="56"/>
      <c r="DF317" s="56"/>
      <c r="DG317" s="56"/>
      <c r="DH317" s="56"/>
      <c r="DI317" s="56"/>
      <c r="DJ317" s="56"/>
      <c r="DK317" s="60"/>
      <c r="DL317" s="60"/>
      <c r="DM317" s="56"/>
      <c r="DN317" s="56"/>
      <c r="DO317" s="56"/>
      <c r="DP317" s="56"/>
      <c r="DQ317" s="56"/>
      <c r="DR317" s="56"/>
      <c r="DS317" s="56"/>
      <c r="DT317" s="56"/>
      <c r="DU317" s="56"/>
      <c r="DV317" s="56"/>
      <c r="DW317" s="56"/>
      <c r="DX317" s="56"/>
      <c r="DY317" s="56"/>
      <c r="DZ317" s="56"/>
      <c r="EA317" s="56"/>
      <c r="EB317" s="56"/>
      <c r="EC317" s="56"/>
      <c r="ED317" s="56"/>
      <c r="EE317" s="56"/>
      <c r="EF317" s="56"/>
    </row>
    <row r="318" spans="44:136" s="80" customFormat="1">
      <c r="AR318" s="118"/>
      <c r="BD318" s="56"/>
      <c r="BE318" s="56"/>
      <c r="BF318" s="56"/>
      <c r="BG318" s="56"/>
      <c r="BH318" s="56"/>
      <c r="BI318" s="56"/>
      <c r="BJ318" s="56"/>
      <c r="BK318" s="56"/>
      <c r="BL318" s="56"/>
      <c r="BM318" s="56"/>
      <c r="BN318" s="56"/>
      <c r="BO318" s="56"/>
      <c r="BP318" s="56"/>
      <c r="BQ318" s="56"/>
      <c r="BR318" s="56"/>
      <c r="BS318" s="56"/>
      <c r="BT318" s="60"/>
      <c r="BU318" s="56"/>
      <c r="BV318" s="56"/>
      <c r="BW318" s="56"/>
      <c r="BX318" s="56"/>
      <c r="BY318" s="56"/>
      <c r="BZ318" s="56"/>
      <c r="CA318" s="56"/>
      <c r="CB318" s="56"/>
      <c r="CC318" s="56"/>
      <c r="CD318" s="56"/>
      <c r="CE318" s="56"/>
      <c r="CF318" s="56"/>
      <c r="CG318" s="56"/>
      <c r="CH318" s="56"/>
      <c r="CI318" s="56"/>
      <c r="CJ318" s="60"/>
      <c r="CK318" s="56"/>
      <c r="CL318" s="56"/>
      <c r="CM318" s="56"/>
      <c r="CN318" s="56"/>
      <c r="CO318" s="56"/>
      <c r="CP318" s="56"/>
      <c r="CQ318" s="56"/>
      <c r="CR318" s="56"/>
      <c r="CS318" s="56"/>
      <c r="CT318" s="56"/>
      <c r="CU318" s="56"/>
      <c r="CV318" s="56"/>
      <c r="CW318" s="56"/>
      <c r="CX318" s="60"/>
      <c r="CY318" s="56"/>
      <c r="CZ318" s="56"/>
      <c r="DA318" s="56"/>
      <c r="DB318" s="56"/>
      <c r="DC318" s="56"/>
      <c r="DD318" s="56"/>
      <c r="DE318" s="56"/>
      <c r="DF318" s="56"/>
      <c r="DG318" s="56"/>
      <c r="DH318" s="56"/>
      <c r="DI318" s="56"/>
      <c r="DJ318" s="56"/>
      <c r="DK318" s="60"/>
      <c r="DL318" s="60"/>
      <c r="DM318" s="56"/>
      <c r="DN318" s="56"/>
      <c r="DO318" s="56"/>
      <c r="DP318" s="56"/>
      <c r="DQ318" s="56"/>
      <c r="DR318" s="56"/>
      <c r="DS318" s="56"/>
      <c r="DT318" s="56"/>
      <c r="DU318" s="56"/>
      <c r="DV318" s="56"/>
      <c r="DW318" s="56"/>
      <c r="DX318" s="56"/>
      <c r="DY318" s="56"/>
      <c r="DZ318" s="56"/>
      <c r="EA318" s="56"/>
      <c r="EB318" s="56"/>
      <c r="EC318" s="56"/>
      <c r="ED318" s="56"/>
      <c r="EE318" s="56"/>
      <c r="EF318" s="56"/>
    </row>
    <row r="319" spans="44:136" s="80" customFormat="1">
      <c r="AR319" s="118"/>
      <c r="BD319" s="56"/>
      <c r="BE319" s="56"/>
      <c r="BF319" s="56"/>
      <c r="BG319" s="56"/>
      <c r="BH319" s="56"/>
      <c r="BI319" s="56"/>
      <c r="BJ319" s="56"/>
      <c r="BK319" s="56"/>
      <c r="BL319" s="56"/>
      <c r="BM319" s="56"/>
      <c r="BN319" s="56"/>
      <c r="BO319" s="56"/>
      <c r="BP319" s="56"/>
      <c r="BQ319" s="56"/>
      <c r="BR319" s="56"/>
      <c r="BS319" s="56"/>
      <c r="BT319" s="60"/>
      <c r="BU319" s="56"/>
      <c r="BV319" s="56"/>
      <c r="BW319" s="56"/>
      <c r="BX319" s="56"/>
      <c r="BY319" s="56"/>
      <c r="BZ319" s="56"/>
      <c r="CA319" s="56"/>
      <c r="CB319" s="56"/>
      <c r="CC319" s="56"/>
      <c r="CD319" s="56"/>
      <c r="CE319" s="56"/>
      <c r="CF319" s="56"/>
      <c r="CG319" s="56"/>
      <c r="CH319" s="56"/>
      <c r="CI319" s="56"/>
      <c r="CJ319" s="60"/>
      <c r="CK319" s="56"/>
      <c r="CL319" s="56"/>
      <c r="CM319" s="56"/>
      <c r="CN319" s="56"/>
      <c r="CO319" s="56"/>
      <c r="CP319" s="56"/>
      <c r="CQ319" s="56"/>
      <c r="CR319" s="56"/>
      <c r="CS319" s="56"/>
      <c r="CT319" s="56"/>
      <c r="CU319" s="56"/>
      <c r="CV319" s="56"/>
      <c r="CW319" s="56"/>
      <c r="CX319" s="60"/>
      <c r="CY319" s="56"/>
      <c r="CZ319" s="56"/>
      <c r="DA319" s="56"/>
      <c r="DB319" s="56"/>
      <c r="DC319" s="56"/>
      <c r="DD319" s="56"/>
      <c r="DE319" s="56"/>
      <c r="DF319" s="56"/>
      <c r="DG319" s="56"/>
      <c r="DH319" s="56"/>
      <c r="DI319" s="56"/>
      <c r="DJ319" s="56"/>
      <c r="DK319" s="60"/>
      <c r="DL319" s="60"/>
      <c r="DM319" s="56"/>
      <c r="DN319" s="56"/>
      <c r="DO319" s="56"/>
      <c r="DP319" s="56"/>
      <c r="DQ319" s="56"/>
      <c r="DR319" s="56"/>
      <c r="DS319" s="56"/>
      <c r="DT319" s="56"/>
      <c r="DU319" s="56"/>
      <c r="DV319" s="56"/>
      <c r="DW319" s="56"/>
      <c r="DX319" s="56"/>
      <c r="DY319" s="56"/>
      <c r="DZ319" s="56"/>
      <c r="EA319" s="56"/>
      <c r="EB319" s="56"/>
      <c r="EC319" s="56"/>
      <c r="ED319" s="56"/>
      <c r="EE319" s="56"/>
      <c r="EF319" s="56"/>
    </row>
    <row r="320" spans="44:136" s="80" customFormat="1">
      <c r="AR320" s="118"/>
      <c r="BD320" s="56"/>
      <c r="BE320" s="56"/>
      <c r="BF320" s="56"/>
      <c r="BG320" s="56"/>
      <c r="BH320" s="56"/>
      <c r="BI320" s="56"/>
      <c r="BJ320" s="56"/>
      <c r="BK320" s="56"/>
      <c r="BL320" s="56"/>
      <c r="BM320" s="56"/>
      <c r="BN320" s="56"/>
      <c r="BO320" s="56"/>
      <c r="BP320" s="56"/>
      <c r="BQ320" s="56"/>
      <c r="BR320" s="56"/>
      <c r="BS320" s="56"/>
      <c r="BT320" s="60"/>
      <c r="BU320" s="56"/>
      <c r="BV320" s="56"/>
      <c r="BW320" s="56"/>
      <c r="BX320" s="56"/>
      <c r="BY320" s="56"/>
      <c r="BZ320" s="56"/>
      <c r="CA320" s="56"/>
      <c r="CB320" s="56"/>
      <c r="CC320" s="56"/>
      <c r="CD320" s="56"/>
      <c r="CE320" s="56"/>
      <c r="CF320" s="56"/>
      <c r="CG320" s="56"/>
      <c r="CH320" s="56"/>
      <c r="CI320" s="56"/>
      <c r="CJ320" s="60"/>
      <c r="CK320" s="56"/>
      <c r="CL320" s="56"/>
      <c r="CM320" s="56"/>
      <c r="CN320" s="56"/>
      <c r="CO320" s="56"/>
      <c r="CP320" s="56"/>
      <c r="CQ320" s="56"/>
      <c r="CR320" s="56"/>
      <c r="CS320" s="56"/>
      <c r="CT320" s="56"/>
      <c r="CU320" s="56"/>
      <c r="CV320" s="56"/>
      <c r="CW320" s="56"/>
      <c r="CX320" s="60"/>
      <c r="CY320" s="56"/>
      <c r="CZ320" s="56"/>
      <c r="DA320" s="56"/>
      <c r="DB320" s="56"/>
      <c r="DC320" s="56"/>
      <c r="DD320" s="56"/>
      <c r="DE320" s="56"/>
      <c r="DF320" s="56"/>
      <c r="DG320" s="56"/>
      <c r="DH320" s="56"/>
      <c r="DI320" s="56"/>
      <c r="DJ320" s="56"/>
      <c r="DK320" s="60"/>
      <c r="DL320" s="60"/>
      <c r="DM320" s="56"/>
      <c r="DN320" s="56"/>
      <c r="DO320" s="56"/>
      <c r="DP320" s="56"/>
      <c r="DQ320" s="56"/>
      <c r="DR320" s="56"/>
      <c r="DS320" s="56"/>
      <c r="DT320" s="56"/>
      <c r="DU320" s="56"/>
      <c r="DV320" s="56"/>
      <c r="DW320" s="56"/>
      <c r="DX320" s="56"/>
      <c r="DY320" s="56"/>
      <c r="DZ320" s="56"/>
      <c r="EA320" s="56"/>
      <c r="EB320" s="56"/>
      <c r="EC320" s="56"/>
      <c r="ED320" s="56"/>
      <c r="EE320" s="56"/>
      <c r="EF320" s="56"/>
    </row>
    <row r="321" spans="44:136" s="80" customFormat="1">
      <c r="AR321" s="118"/>
      <c r="BD321" s="56"/>
      <c r="BE321" s="56"/>
      <c r="BF321" s="56"/>
      <c r="BG321" s="56"/>
      <c r="BH321" s="56"/>
      <c r="BI321" s="56"/>
      <c r="BJ321" s="56"/>
      <c r="BK321" s="56"/>
      <c r="BL321" s="56"/>
      <c r="BM321" s="56"/>
      <c r="BN321" s="56"/>
      <c r="BO321" s="56"/>
      <c r="BP321" s="56"/>
      <c r="BQ321" s="56"/>
      <c r="BR321" s="56"/>
      <c r="BS321" s="56"/>
      <c r="BT321" s="60"/>
      <c r="BU321" s="56"/>
      <c r="BV321" s="56"/>
      <c r="BW321" s="56"/>
      <c r="BX321" s="56"/>
      <c r="BY321" s="56"/>
      <c r="BZ321" s="56"/>
      <c r="CA321" s="56"/>
      <c r="CB321" s="56"/>
      <c r="CC321" s="56"/>
      <c r="CD321" s="56"/>
      <c r="CE321" s="56"/>
      <c r="CF321" s="56"/>
      <c r="CG321" s="56"/>
      <c r="CH321" s="56"/>
      <c r="CI321" s="56"/>
      <c r="CJ321" s="60"/>
      <c r="CK321" s="56"/>
      <c r="CL321" s="56"/>
      <c r="CM321" s="56"/>
      <c r="CN321" s="56"/>
      <c r="CO321" s="56"/>
      <c r="CP321" s="56"/>
      <c r="CQ321" s="56"/>
      <c r="CR321" s="56"/>
      <c r="CS321" s="56"/>
      <c r="CT321" s="56"/>
      <c r="CU321" s="56"/>
      <c r="CV321" s="56"/>
      <c r="CW321" s="56"/>
      <c r="CX321" s="60"/>
      <c r="CY321" s="56"/>
      <c r="CZ321" s="56"/>
      <c r="DA321" s="56"/>
      <c r="DB321" s="56"/>
      <c r="DC321" s="56"/>
      <c r="DD321" s="56"/>
      <c r="DE321" s="56"/>
      <c r="DF321" s="56"/>
      <c r="DG321" s="56"/>
      <c r="DH321" s="56"/>
      <c r="DI321" s="56"/>
      <c r="DJ321" s="56"/>
      <c r="DK321" s="60"/>
      <c r="DL321" s="60"/>
      <c r="DM321" s="56"/>
      <c r="DN321" s="56"/>
      <c r="DO321" s="56"/>
      <c r="DP321" s="56"/>
      <c r="DQ321" s="56"/>
      <c r="DR321" s="56"/>
      <c r="DS321" s="56"/>
      <c r="DT321" s="56"/>
      <c r="DU321" s="56"/>
      <c r="DV321" s="56"/>
      <c r="DW321" s="56"/>
      <c r="DX321" s="56"/>
      <c r="DY321" s="56"/>
      <c r="DZ321" s="56"/>
      <c r="EA321" s="56"/>
      <c r="EB321" s="56"/>
      <c r="EC321" s="56"/>
      <c r="ED321" s="56"/>
      <c r="EE321" s="56"/>
      <c r="EF321" s="56"/>
    </row>
    <row r="322" spans="44:136" s="80" customFormat="1">
      <c r="AR322" s="118"/>
      <c r="BD322" s="56"/>
      <c r="BE322" s="56"/>
      <c r="BF322" s="56"/>
      <c r="BG322" s="56"/>
      <c r="BH322" s="56"/>
      <c r="BI322" s="56"/>
      <c r="BJ322" s="56"/>
      <c r="BK322" s="56"/>
      <c r="BL322" s="56"/>
      <c r="BM322" s="56"/>
      <c r="BN322" s="56"/>
      <c r="BO322" s="56"/>
      <c r="BP322" s="56"/>
      <c r="BQ322" s="56"/>
      <c r="BR322" s="56"/>
      <c r="BS322" s="56"/>
      <c r="BT322" s="60"/>
      <c r="BU322" s="56"/>
      <c r="BV322" s="56"/>
      <c r="BW322" s="56"/>
      <c r="BX322" s="56"/>
      <c r="BY322" s="56"/>
      <c r="BZ322" s="56"/>
      <c r="CA322" s="56"/>
      <c r="CB322" s="56"/>
      <c r="CC322" s="56"/>
      <c r="CD322" s="56"/>
      <c r="CE322" s="56"/>
      <c r="CF322" s="56"/>
      <c r="CG322" s="56"/>
      <c r="CH322" s="56"/>
      <c r="CI322" s="56"/>
      <c r="CJ322" s="60"/>
      <c r="CK322" s="56"/>
      <c r="CL322" s="56"/>
      <c r="CM322" s="56"/>
      <c r="CN322" s="56"/>
      <c r="CO322" s="56"/>
      <c r="CP322" s="56"/>
      <c r="CQ322" s="56"/>
      <c r="CR322" s="56"/>
      <c r="CS322" s="56"/>
      <c r="CT322" s="56"/>
      <c r="CU322" s="56"/>
      <c r="CV322" s="56"/>
      <c r="CW322" s="56"/>
      <c r="CX322" s="60"/>
      <c r="CY322" s="56"/>
      <c r="CZ322" s="56"/>
      <c r="DA322" s="56"/>
      <c r="DB322" s="56"/>
      <c r="DC322" s="56"/>
      <c r="DD322" s="56"/>
      <c r="DE322" s="56"/>
      <c r="DF322" s="56"/>
      <c r="DG322" s="56"/>
      <c r="DH322" s="56"/>
      <c r="DI322" s="56"/>
      <c r="DJ322" s="56"/>
      <c r="DK322" s="60"/>
      <c r="DL322" s="60"/>
      <c r="DM322" s="56"/>
      <c r="DN322" s="56"/>
      <c r="DO322" s="56"/>
      <c r="DP322" s="56"/>
      <c r="DQ322" s="56"/>
      <c r="DR322" s="56"/>
      <c r="DS322" s="56"/>
      <c r="DT322" s="56"/>
      <c r="DU322" s="56"/>
      <c r="DV322" s="56"/>
      <c r="DW322" s="56"/>
      <c r="DX322" s="56"/>
      <c r="DY322" s="56"/>
      <c r="DZ322" s="56"/>
      <c r="EA322" s="56"/>
      <c r="EB322" s="56"/>
      <c r="EC322" s="56"/>
      <c r="ED322" s="56"/>
      <c r="EE322" s="56"/>
      <c r="EF322" s="56"/>
    </row>
    <row r="323" spans="44:136" s="80" customFormat="1">
      <c r="AR323" s="118"/>
      <c r="BD323" s="56"/>
      <c r="BE323" s="56"/>
      <c r="BF323" s="56"/>
      <c r="BG323" s="56"/>
      <c r="BH323" s="56"/>
      <c r="BI323" s="56"/>
      <c r="BJ323" s="56"/>
      <c r="BK323" s="56"/>
      <c r="BL323" s="56"/>
      <c r="BM323" s="56"/>
      <c r="BN323" s="56"/>
      <c r="BO323" s="56"/>
      <c r="BP323" s="56"/>
      <c r="BQ323" s="56"/>
      <c r="BR323" s="56"/>
      <c r="BS323" s="56"/>
      <c r="BT323" s="60"/>
      <c r="BU323" s="56"/>
      <c r="BV323" s="56"/>
      <c r="BW323" s="56"/>
      <c r="BX323" s="56"/>
      <c r="BY323" s="56"/>
      <c r="BZ323" s="56"/>
      <c r="CA323" s="56"/>
      <c r="CB323" s="56"/>
      <c r="CC323" s="56"/>
      <c r="CD323" s="56"/>
      <c r="CE323" s="56"/>
      <c r="CF323" s="56"/>
      <c r="CG323" s="56"/>
      <c r="CH323" s="56"/>
      <c r="CI323" s="56"/>
      <c r="CJ323" s="60"/>
      <c r="CK323" s="56"/>
      <c r="CL323" s="56"/>
      <c r="CM323" s="56"/>
      <c r="CN323" s="56"/>
      <c r="CO323" s="56"/>
      <c r="CP323" s="56"/>
      <c r="CQ323" s="56"/>
      <c r="CR323" s="56"/>
      <c r="CS323" s="56"/>
      <c r="CT323" s="56"/>
      <c r="CU323" s="56"/>
      <c r="CV323" s="56"/>
      <c r="CW323" s="56"/>
      <c r="CX323" s="60"/>
      <c r="CY323" s="56"/>
      <c r="CZ323" s="56"/>
      <c r="DA323" s="56"/>
      <c r="DB323" s="56"/>
      <c r="DC323" s="56"/>
      <c r="DD323" s="56"/>
      <c r="DE323" s="56"/>
      <c r="DF323" s="56"/>
      <c r="DG323" s="56"/>
      <c r="DH323" s="56"/>
      <c r="DI323" s="56"/>
      <c r="DJ323" s="56"/>
      <c r="DK323" s="60"/>
      <c r="DL323" s="60"/>
      <c r="DM323" s="56"/>
      <c r="DN323" s="56"/>
      <c r="DO323" s="56"/>
      <c r="DP323" s="56"/>
      <c r="DQ323" s="56"/>
      <c r="DR323" s="56"/>
      <c r="DS323" s="56"/>
      <c r="DT323" s="56"/>
      <c r="DU323" s="56"/>
      <c r="DV323" s="56"/>
      <c r="DW323" s="56"/>
      <c r="DX323" s="56"/>
      <c r="DY323" s="56"/>
      <c r="DZ323" s="56"/>
      <c r="EA323" s="56"/>
      <c r="EB323" s="56"/>
      <c r="EC323" s="56"/>
      <c r="ED323" s="56"/>
      <c r="EE323" s="56"/>
      <c r="EF323" s="56"/>
    </row>
    <row r="324" spans="44:136" s="80" customFormat="1">
      <c r="AR324" s="118"/>
      <c r="BD324" s="56"/>
      <c r="BE324" s="56"/>
      <c r="BF324" s="56"/>
      <c r="BG324" s="56"/>
      <c r="BH324" s="56"/>
      <c r="BI324" s="56"/>
      <c r="BJ324" s="56"/>
      <c r="BK324" s="56"/>
      <c r="BL324" s="56"/>
      <c r="BM324" s="56"/>
      <c r="BN324" s="56"/>
      <c r="BO324" s="56"/>
      <c r="BP324" s="56"/>
      <c r="BQ324" s="56"/>
      <c r="BR324" s="56"/>
      <c r="BS324" s="56"/>
      <c r="BT324" s="60"/>
      <c r="BU324" s="56"/>
      <c r="BV324" s="56"/>
      <c r="BW324" s="56"/>
      <c r="BX324" s="56"/>
      <c r="BY324" s="56"/>
      <c r="BZ324" s="56"/>
      <c r="CA324" s="56"/>
      <c r="CB324" s="56"/>
      <c r="CC324" s="56"/>
      <c r="CD324" s="56"/>
      <c r="CE324" s="56"/>
      <c r="CF324" s="56"/>
      <c r="CG324" s="56"/>
      <c r="CH324" s="56"/>
      <c r="CI324" s="56"/>
      <c r="CJ324" s="60"/>
      <c r="CK324" s="56"/>
      <c r="CL324" s="56"/>
      <c r="CM324" s="56"/>
      <c r="CN324" s="56"/>
      <c r="CO324" s="56"/>
      <c r="CP324" s="56"/>
      <c r="CQ324" s="56"/>
      <c r="CR324" s="56"/>
      <c r="CS324" s="56"/>
      <c r="CT324" s="56"/>
      <c r="CU324" s="56"/>
      <c r="CV324" s="56"/>
      <c r="CW324" s="56"/>
      <c r="CX324" s="60"/>
      <c r="CY324" s="56"/>
      <c r="CZ324" s="56"/>
      <c r="DA324" s="56"/>
      <c r="DB324" s="56"/>
      <c r="DC324" s="56"/>
      <c r="DD324" s="56"/>
      <c r="DE324" s="56"/>
      <c r="DF324" s="56"/>
      <c r="DG324" s="56"/>
      <c r="DH324" s="56"/>
      <c r="DI324" s="56"/>
      <c r="DJ324" s="56"/>
      <c r="DK324" s="60"/>
      <c r="DL324" s="60"/>
      <c r="DM324" s="56"/>
      <c r="DN324" s="56"/>
      <c r="DO324" s="56"/>
      <c r="DP324" s="56"/>
      <c r="DQ324" s="56"/>
      <c r="DR324" s="56"/>
      <c r="DS324" s="56"/>
      <c r="DT324" s="56"/>
      <c r="DU324" s="56"/>
      <c r="DV324" s="56"/>
      <c r="DW324" s="56"/>
      <c r="DX324" s="56"/>
      <c r="DY324" s="56"/>
      <c r="DZ324" s="56"/>
      <c r="EA324" s="56"/>
      <c r="EB324" s="56"/>
      <c r="EC324" s="56"/>
      <c r="ED324" s="56"/>
      <c r="EE324" s="56"/>
      <c r="EF324" s="56"/>
    </row>
    <row r="325" spans="44:136" s="80" customFormat="1">
      <c r="AR325" s="118"/>
      <c r="BD325" s="56"/>
      <c r="BE325" s="56"/>
      <c r="BF325" s="56"/>
      <c r="BG325" s="56"/>
      <c r="BH325" s="56"/>
      <c r="BI325" s="56"/>
      <c r="BJ325" s="56"/>
      <c r="BK325" s="56"/>
      <c r="BL325" s="56"/>
      <c r="BM325" s="56"/>
      <c r="BN325" s="56"/>
      <c r="BO325" s="56"/>
      <c r="BP325" s="56"/>
      <c r="BQ325" s="56"/>
      <c r="BR325" s="56"/>
      <c r="BS325" s="56"/>
      <c r="BT325" s="60"/>
      <c r="BU325" s="56"/>
      <c r="BV325" s="56"/>
      <c r="BW325" s="56"/>
      <c r="BX325" s="56"/>
      <c r="BY325" s="56"/>
      <c r="BZ325" s="56"/>
      <c r="CA325" s="56"/>
      <c r="CB325" s="56"/>
      <c r="CC325" s="56"/>
      <c r="CD325" s="56"/>
      <c r="CE325" s="56"/>
      <c r="CF325" s="56"/>
      <c r="CG325" s="56"/>
      <c r="CH325" s="56"/>
      <c r="CI325" s="56"/>
      <c r="CJ325" s="60"/>
      <c r="CK325" s="56"/>
      <c r="CL325" s="56"/>
      <c r="CM325" s="56"/>
      <c r="CN325" s="56"/>
      <c r="CO325" s="56"/>
      <c r="CP325" s="56"/>
      <c r="CQ325" s="56"/>
      <c r="CR325" s="56"/>
      <c r="CS325" s="56"/>
      <c r="CT325" s="56"/>
      <c r="CU325" s="56"/>
      <c r="CV325" s="56"/>
      <c r="CW325" s="56"/>
      <c r="CX325" s="60"/>
      <c r="CY325" s="56"/>
      <c r="CZ325" s="56"/>
      <c r="DA325" s="56"/>
      <c r="DB325" s="56"/>
      <c r="DC325" s="56"/>
      <c r="DD325" s="56"/>
      <c r="DE325" s="56"/>
      <c r="DF325" s="56"/>
      <c r="DG325" s="56"/>
      <c r="DH325" s="56"/>
      <c r="DI325" s="56"/>
      <c r="DJ325" s="56"/>
      <c r="DK325" s="60"/>
      <c r="DL325" s="60"/>
      <c r="DM325" s="56"/>
      <c r="DN325" s="56"/>
      <c r="DO325" s="56"/>
      <c r="DP325" s="56"/>
      <c r="DQ325" s="56"/>
      <c r="DR325" s="56"/>
      <c r="DS325" s="56"/>
      <c r="DT325" s="56"/>
      <c r="DU325" s="56"/>
      <c r="DV325" s="56"/>
      <c r="DW325" s="56"/>
      <c r="DX325" s="56"/>
      <c r="DY325" s="56"/>
      <c r="DZ325" s="56"/>
      <c r="EA325" s="56"/>
      <c r="EB325" s="56"/>
      <c r="EC325" s="56"/>
      <c r="ED325" s="56"/>
      <c r="EE325" s="56"/>
      <c r="EF325" s="56"/>
    </row>
    <row r="326" spans="44:136" s="80" customFormat="1">
      <c r="AR326" s="118"/>
      <c r="BD326" s="56"/>
      <c r="BE326" s="56"/>
      <c r="BF326" s="56"/>
      <c r="BG326" s="56"/>
      <c r="BH326" s="56"/>
      <c r="BI326" s="56"/>
      <c r="BJ326" s="56"/>
      <c r="BK326" s="56"/>
      <c r="BL326" s="56"/>
      <c r="BM326" s="56"/>
      <c r="BN326" s="56"/>
      <c r="BO326" s="56"/>
      <c r="BP326" s="56"/>
      <c r="BQ326" s="56"/>
      <c r="BR326" s="56"/>
      <c r="BS326" s="56"/>
      <c r="BT326" s="60"/>
      <c r="BU326" s="56"/>
      <c r="BV326" s="56"/>
      <c r="BW326" s="56"/>
      <c r="BX326" s="56"/>
      <c r="BY326" s="56"/>
      <c r="BZ326" s="56"/>
      <c r="CA326" s="56"/>
      <c r="CB326" s="56"/>
      <c r="CC326" s="56"/>
      <c r="CD326" s="56"/>
      <c r="CE326" s="56"/>
      <c r="CF326" s="56"/>
      <c r="CG326" s="56"/>
      <c r="CH326" s="56"/>
      <c r="CI326" s="56"/>
      <c r="CJ326" s="60"/>
      <c r="CK326" s="56"/>
      <c r="CL326" s="56"/>
      <c r="CM326" s="56"/>
      <c r="CN326" s="56"/>
      <c r="CO326" s="56"/>
      <c r="CP326" s="56"/>
      <c r="CQ326" s="56"/>
      <c r="CR326" s="56"/>
      <c r="CS326" s="56"/>
      <c r="CT326" s="56"/>
      <c r="CU326" s="56"/>
      <c r="CV326" s="56"/>
      <c r="CW326" s="56"/>
      <c r="CX326" s="60"/>
      <c r="CY326" s="56"/>
      <c r="CZ326" s="56"/>
      <c r="DA326" s="56"/>
      <c r="DB326" s="56"/>
      <c r="DC326" s="56"/>
      <c r="DD326" s="56"/>
      <c r="DE326" s="56"/>
      <c r="DF326" s="56"/>
      <c r="DG326" s="56"/>
      <c r="DH326" s="56"/>
      <c r="DI326" s="56"/>
      <c r="DJ326" s="56"/>
      <c r="DK326" s="60"/>
      <c r="DL326" s="60"/>
      <c r="DM326" s="56"/>
      <c r="DN326" s="56"/>
      <c r="DO326" s="56"/>
      <c r="DP326" s="56"/>
      <c r="DQ326" s="56"/>
      <c r="DR326" s="56"/>
      <c r="DS326" s="56"/>
      <c r="DT326" s="56"/>
      <c r="DU326" s="56"/>
      <c r="DV326" s="56"/>
      <c r="DW326" s="56"/>
      <c r="DX326" s="56"/>
      <c r="DY326" s="56"/>
      <c r="DZ326" s="56"/>
      <c r="EA326" s="56"/>
      <c r="EB326" s="56"/>
      <c r="EC326" s="56"/>
      <c r="ED326" s="56"/>
      <c r="EE326" s="56"/>
      <c r="EF326" s="56"/>
    </row>
    <row r="327" spans="44:136" s="80" customFormat="1">
      <c r="AR327" s="118"/>
      <c r="BD327" s="56"/>
      <c r="BE327" s="56"/>
      <c r="BF327" s="56"/>
      <c r="BG327" s="56"/>
      <c r="BH327" s="56"/>
      <c r="BI327" s="56"/>
      <c r="BJ327" s="56"/>
      <c r="BK327" s="56"/>
      <c r="BL327" s="56"/>
      <c r="BM327" s="56"/>
      <c r="BN327" s="56"/>
      <c r="BO327" s="56"/>
      <c r="BP327" s="56"/>
      <c r="BQ327" s="56"/>
      <c r="BR327" s="56"/>
      <c r="BS327" s="56"/>
      <c r="BT327" s="60"/>
      <c r="BU327" s="56"/>
      <c r="BV327" s="56"/>
      <c r="BW327" s="56"/>
      <c r="BX327" s="56"/>
      <c r="BY327" s="56"/>
      <c r="BZ327" s="56"/>
      <c r="CA327" s="56"/>
      <c r="CB327" s="56"/>
      <c r="CC327" s="56"/>
      <c r="CD327" s="56"/>
      <c r="CE327" s="56"/>
      <c r="CF327" s="56"/>
      <c r="CG327" s="56"/>
      <c r="CH327" s="56"/>
      <c r="CI327" s="56"/>
      <c r="CJ327" s="60"/>
      <c r="CK327" s="56"/>
      <c r="CL327" s="56"/>
      <c r="CM327" s="56"/>
      <c r="CN327" s="56"/>
      <c r="CO327" s="56"/>
      <c r="CP327" s="56"/>
      <c r="CQ327" s="56"/>
      <c r="CR327" s="56"/>
      <c r="CS327" s="56"/>
      <c r="CT327" s="56"/>
      <c r="CU327" s="56"/>
      <c r="CV327" s="56"/>
      <c r="CW327" s="56"/>
      <c r="CX327" s="60"/>
      <c r="CY327" s="56"/>
      <c r="CZ327" s="56"/>
      <c r="DA327" s="56"/>
      <c r="DB327" s="56"/>
      <c r="DC327" s="56"/>
      <c r="DD327" s="56"/>
      <c r="DE327" s="56"/>
      <c r="DF327" s="56"/>
      <c r="DG327" s="56"/>
      <c r="DH327" s="56"/>
      <c r="DI327" s="56"/>
      <c r="DJ327" s="56"/>
      <c r="DK327" s="60"/>
      <c r="DL327" s="60"/>
      <c r="DM327" s="56"/>
      <c r="DN327" s="56"/>
      <c r="DO327" s="56"/>
      <c r="DP327" s="56"/>
      <c r="DQ327" s="56"/>
      <c r="DR327" s="56"/>
      <c r="DS327" s="56"/>
      <c r="DT327" s="56"/>
      <c r="DU327" s="56"/>
      <c r="DV327" s="56"/>
      <c r="DW327" s="56"/>
      <c r="DX327" s="56"/>
      <c r="DY327" s="56"/>
      <c r="DZ327" s="56"/>
      <c r="EA327" s="56"/>
      <c r="EB327" s="56"/>
      <c r="EC327" s="56"/>
      <c r="ED327" s="56"/>
      <c r="EE327" s="56"/>
      <c r="EF327" s="56"/>
    </row>
    <row r="328" spans="44:136" s="80" customFormat="1">
      <c r="AR328" s="118"/>
      <c r="BD328" s="56"/>
      <c r="BE328" s="56"/>
      <c r="BF328" s="56"/>
      <c r="BG328" s="56"/>
      <c r="BH328" s="56"/>
      <c r="BI328" s="56"/>
      <c r="BJ328" s="56"/>
      <c r="BK328" s="56"/>
      <c r="BL328" s="56"/>
      <c r="BM328" s="56"/>
      <c r="BN328" s="56"/>
      <c r="BO328" s="56"/>
      <c r="BP328" s="56"/>
      <c r="BQ328" s="56"/>
      <c r="BR328" s="56"/>
      <c r="BS328" s="56"/>
      <c r="BT328" s="60"/>
      <c r="BU328" s="56"/>
      <c r="BV328" s="56"/>
      <c r="BW328" s="56"/>
      <c r="BX328" s="56"/>
      <c r="BY328" s="56"/>
      <c r="BZ328" s="56"/>
      <c r="CA328" s="56"/>
      <c r="CB328" s="56"/>
      <c r="CC328" s="56"/>
      <c r="CD328" s="56"/>
      <c r="CE328" s="56"/>
      <c r="CF328" s="56"/>
      <c r="CG328" s="56"/>
      <c r="CH328" s="56"/>
      <c r="CI328" s="56"/>
      <c r="CJ328" s="60"/>
      <c r="CK328" s="56"/>
      <c r="CL328" s="56"/>
      <c r="CM328" s="56"/>
      <c r="CN328" s="56"/>
      <c r="CO328" s="56"/>
      <c r="CP328" s="56"/>
      <c r="CQ328" s="56"/>
      <c r="CR328" s="56"/>
      <c r="CS328" s="56"/>
      <c r="CT328" s="56"/>
      <c r="CU328" s="56"/>
      <c r="CV328" s="56"/>
      <c r="CW328" s="56"/>
      <c r="CX328" s="60"/>
      <c r="CY328" s="56"/>
      <c r="CZ328" s="56"/>
      <c r="DA328" s="56"/>
      <c r="DB328" s="56"/>
      <c r="DC328" s="56"/>
      <c r="DD328" s="56"/>
      <c r="DE328" s="56"/>
      <c r="DF328" s="56"/>
      <c r="DG328" s="56"/>
      <c r="DH328" s="56"/>
      <c r="DI328" s="56"/>
      <c r="DJ328" s="56"/>
      <c r="DK328" s="60"/>
      <c r="DL328" s="60"/>
      <c r="DM328" s="56"/>
      <c r="DN328" s="56"/>
      <c r="DO328" s="56"/>
      <c r="DP328" s="56"/>
      <c r="DQ328" s="56"/>
      <c r="DR328" s="56"/>
      <c r="DS328" s="56"/>
      <c r="DT328" s="56"/>
      <c r="DU328" s="56"/>
      <c r="DV328" s="56"/>
      <c r="DW328" s="56"/>
      <c r="DX328" s="56"/>
      <c r="DY328" s="56"/>
      <c r="DZ328" s="56"/>
      <c r="EA328" s="56"/>
      <c r="EB328" s="56"/>
      <c r="EC328" s="56"/>
      <c r="ED328" s="56"/>
      <c r="EE328" s="56"/>
      <c r="EF328" s="56"/>
    </row>
    <row r="329" spans="44:136" s="80" customFormat="1">
      <c r="AR329" s="118"/>
      <c r="BD329" s="56"/>
      <c r="BE329" s="56"/>
      <c r="BF329" s="56"/>
      <c r="BG329" s="56"/>
      <c r="BH329" s="56"/>
      <c r="BI329" s="56"/>
      <c r="BJ329" s="56"/>
      <c r="BK329" s="56"/>
      <c r="BL329" s="56"/>
      <c r="BM329" s="56"/>
      <c r="BN329" s="56"/>
      <c r="BO329" s="56"/>
      <c r="BP329" s="56"/>
      <c r="BQ329" s="56"/>
      <c r="BR329" s="56"/>
      <c r="BS329" s="56"/>
      <c r="BT329" s="60"/>
      <c r="BU329" s="56"/>
      <c r="BV329" s="56"/>
      <c r="BW329" s="56"/>
      <c r="BX329" s="56"/>
      <c r="BY329" s="56"/>
      <c r="BZ329" s="56"/>
      <c r="CA329" s="56"/>
      <c r="CB329" s="56"/>
      <c r="CC329" s="56"/>
      <c r="CD329" s="56"/>
      <c r="CE329" s="56"/>
      <c r="CF329" s="56"/>
      <c r="CG329" s="56"/>
      <c r="CH329" s="56"/>
      <c r="CI329" s="56"/>
      <c r="CJ329" s="60"/>
      <c r="CK329" s="56"/>
      <c r="CL329" s="56"/>
      <c r="CM329" s="56"/>
      <c r="CN329" s="56"/>
      <c r="CO329" s="56"/>
      <c r="CP329" s="56"/>
      <c r="CQ329" s="56"/>
      <c r="CR329" s="56"/>
      <c r="CS329" s="56"/>
      <c r="CT329" s="56"/>
      <c r="CU329" s="56"/>
      <c r="CV329" s="56"/>
      <c r="CW329" s="56"/>
      <c r="CX329" s="60"/>
      <c r="CY329" s="56"/>
      <c r="CZ329" s="56"/>
      <c r="DA329" s="56"/>
      <c r="DB329" s="56"/>
      <c r="DC329" s="56"/>
      <c r="DD329" s="56"/>
      <c r="DE329" s="56"/>
      <c r="DF329" s="56"/>
      <c r="DG329" s="56"/>
      <c r="DH329" s="56"/>
      <c r="DI329" s="56"/>
      <c r="DJ329" s="56"/>
      <c r="DK329" s="60"/>
      <c r="DL329" s="60"/>
      <c r="DM329" s="56"/>
      <c r="DN329" s="56"/>
      <c r="DO329" s="56"/>
      <c r="DP329" s="56"/>
      <c r="DQ329" s="56"/>
      <c r="DR329" s="56"/>
      <c r="DS329" s="56"/>
      <c r="DT329" s="56"/>
      <c r="DU329" s="56"/>
      <c r="DV329" s="56"/>
      <c r="DW329" s="56"/>
      <c r="DX329" s="56"/>
      <c r="DY329" s="56"/>
      <c r="DZ329" s="56"/>
      <c r="EA329" s="56"/>
      <c r="EB329" s="56"/>
      <c r="EC329" s="56"/>
      <c r="ED329" s="56"/>
      <c r="EE329" s="56"/>
      <c r="EF329" s="56"/>
    </row>
    <row r="330" spans="44:136" s="80" customFormat="1">
      <c r="AR330" s="118"/>
      <c r="BD330" s="56"/>
      <c r="BE330" s="56"/>
      <c r="BF330" s="56"/>
      <c r="BG330" s="56"/>
      <c r="BH330" s="56"/>
      <c r="BI330" s="56"/>
      <c r="BJ330" s="56"/>
      <c r="BK330" s="56"/>
      <c r="BL330" s="56"/>
      <c r="BM330" s="56"/>
      <c r="BN330" s="56"/>
      <c r="BO330" s="56"/>
      <c r="BP330" s="56"/>
      <c r="BQ330" s="56"/>
      <c r="BR330" s="56"/>
      <c r="BS330" s="56"/>
      <c r="BT330" s="60"/>
      <c r="BU330" s="56"/>
      <c r="BV330" s="56"/>
      <c r="BW330" s="56"/>
      <c r="BX330" s="56"/>
      <c r="BY330" s="56"/>
      <c r="BZ330" s="56"/>
      <c r="CA330" s="56"/>
      <c r="CB330" s="56"/>
      <c r="CC330" s="56"/>
      <c r="CD330" s="56"/>
      <c r="CE330" s="56"/>
      <c r="CF330" s="56"/>
      <c r="CG330" s="56"/>
      <c r="CH330" s="56"/>
      <c r="CI330" s="56"/>
      <c r="CJ330" s="60"/>
      <c r="CK330" s="56"/>
      <c r="CL330" s="56"/>
      <c r="CM330" s="56"/>
      <c r="CN330" s="56"/>
      <c r="CO330" s="56"/>
      <c r="CP330" s="56"/>
      <c r="CQ330" s="56"/>
      <c r="CR330" s="56"/>
      <c r="CS330" s="56"/>
      <c r="CT330" s="56"/>
      <c r="CU330" s="56"/>
      <c r="CV330" s="56"/>
      <c r="CW330" s="56"/>
      <c r="CX330" s="60"/>
      <c r="CY330" s="56"/>
      <c r="CZ330" s="56"/>
      <c r="DA330" s="56"/>
      <c r="DB330" s="56"/>
      <c r="DC330" s="56"/>
      <c r="DD330" s="56"/>
      <c r="DE330" s="56"/>
      <c r="DF330" s="56"/>
      <c r="DG330" s="56"/>
      <c r="DH330" s="56"/>
      <c r="DI330" s="56"/>
      <c r="DJ330" s="56"/>
      <c r="DK330" s="60"/>
      <c r="DL330" s="60"/>
      <c r="DM330" s="56"/>
      <c r="DN330" s="56"/>
      <c r="DO330" s="56"/>
      <c r="DP330" s="56"/>
      <c r="DQ330" s="56"/>
      <c r="DR330" s="56"/>
      <c r="DS330" s="56"/>
      <c r="DT330" s="56"/>
      <c r="DU330" s="56"/>
      <c r="DV330" s="56"/>
      <c r="DW330" s="56"/>
      <c r="DX330" s="56"/>
      <c r="DY330" s="56"/>
      <c r="DZ330" s="56"/>
      <c r="EA330" s="56"/>
      <c r="EB330" s="56"/>
      <c r="EC330" s="56"/>
      <c r="ED330" s="56"/>
      <c r="EE330" s="56"/>
      <c r="EF330" s="56"/>
    </row>
    <row r="331" spans="44:136" s="80" customFormat="1">
      <c r="AR331" s="118"/>
      <c r="BD331" s="56"/>
      <c r="BE331" s="56"/>
      <c r="BF331" s="56"/>
      <c r="BG331" s="56"/>
      <c r="BH331" s="56"/>
      <c r="BI331" s="56"/>
      <c r="BJ331" s="56"/>
      <c r="BK331" s="56"/>
      <c r="BL331" s="56"/>
      <c r="BM331" s="56"/>
      <c r="BN331" s="56"/>
      <c r="BO331" s="56"/>
      <c r="BP331" s="56"/>
      <c r="BQ331" s="56"/>
      <c r="BR331" s="56"/>
      <c r="BS331" s="56"/>
      <c r="BT331" s="60"/>
      <c r="BU331" s="56"/>
      <c r="BV331" s="56"/>
      <c r="BW331" s="56"/>
      <c r="BX331" s="56"/>
      <c r="BY331" s="56"/>
      <c r="BZ331" s="56"/>
      <c r="CA331" s="56"/>
      <c r="CB331" s="56"/>
      <c r="CC331" s="56"/>
      <c r="CD331" s="56"/>
      <c r="CE331" s="56"/>
      <c r="CF331" s="56"/>
      <c r="CG331" s="56"/>
      <c r="CH331" s="56"/>
      <c r="CI331" s="56"/>
      <c r="CJ331" s="60"/>
      <c r="CK331" s="56"/>
      <c r="CL331" s="56"/>
      <c r="CM331" s="56"/>
      <c r="CN331" s="56"/>
      <c r="CO331" s="56"/>
      <c r="CP331" s="56"/>
      <c r="CQ331" s="56"/>
      <c r="CR331" s="56"/>
      <c r="CS331" s="56"/>
      <c r="CT331" s="56"/>
      <c r="CU331" s="56"/>
      <c r="CV331" s="56"/>
      <c r="CW331" s="56"/>
      <c r="CX331" s="60"/>
      <c r="CY331" s="56"/>
      <c r="CZ331" s="56"/>
      <c r="DA331" s="56"/>
      <c r="DB331" s="56"/>
      <c r="DC331" s="56"/>
      <c r="DD331" s="56"/>
      <c r="DE331" s="56"/>
      <c r="DF331" s="56"/>
      <c r="DG331" s="56"/>
      <c r="DH331" s="56"/>
      <c r="DI331" s="56"/>
      <c r="DJ331" s="56"/>
      <c r="DK331" s="60"/>
      <c r="DL331" s="60"/>
      <c r="DM331" s="56"/>
      <c r="DN331" s="56"/>
      <c r="DO331" s="56"/>
      <c r="DP331" s="56"/>
      <c r="DQ331" s="56"/>
      <c r="DR331" s="56"/>
      <c r="DS331" s="56"/>
      <c r="DT331" s="56"/>
      <c r="DU331" s="56"/>
      <c r="DV331" s="56"/>
      <c r="DW331" s="56"/>
      <c r="DX331" s="56"/>
      <c r="DY331" s="56"/>
      <c r="DZ331" s="56"/>
      <c r="EA331" s="56"/>
      <c r="EB331" s="56"/>
      <c r="EC331" s="56"/>
      <c r="ED331" s="56"/>
      <c r="EE331" s="56"/>
      <c r="EF331" s="56"/>
    </row>
    <row r="332" spans="44:136" s="80" customFormat="1">
      <c r="AR332" s="118"/>
      <c r="BD332" s="56"/>
      <c r="BE332" s="56"/>
      <c r="BF332" s="56"/>
      <c r="BG332" s="56"/>
      <c r="BH332" s="56"/>
      <c r="BI332" s="56"/>
      <c r="BJ332" s="56"/>
      <c r="BK332" s="56"/>
      <c r="BL332" s="56"/>
      <c r="BM332" s="56"/>
      <c r="BN332" s="56"/>
      <c r="BO332" s="56"/>
      <c r="BP332" s="56"/>
      <c r="BQ332" s="56"/>
      <c r="BR332" s="56"/>
      <c r="BS332" s="56"/>
      <c r="BT332" s="60"/>
      <c r="BU332" s="56"/>
      <c r="BV332" s="56"/>
      <c r="BW332" s="56"/>
      <c r="BX332" s="56"/>
      <c r="BY332" s="56"/>
      <c r="BZ332" s="56"/>
      <c r="CA332" s="56"/>
      <c r="CB332" s="56"/>
      <c r="CC332" s="56"/>
      <c r="CD332" s="56"/>
      <c r="CE332" s="56"/>
      <c r="CF332" s="56"/>
      <c r="CG332" s="56"/>
      <c r="CH332" s="56"/>
      <c r="CI332" s="56"/>
      <c r="CJ332" s="60"/>
      <c r="CK332" s="56"/>
      <c r="CL332" s="56"/>
      <c r="CM332" s="56"/>
      <c r="CN332" s="56"/>
      <c r="CO332" s="56"/>
      <c r="CP332" s="56"/>
      <c r="CQ332" s="56"/>
      <c r="CR332" s="56"/>
      <c r="CS332" s="56"/>
      <c r="CT332" s="56"/>
      <c r="CU332" s="56"/>
      <c r="CV332" s="56"/>
      <c r="CW332" s="56"/>
      <c r="CX332" s="60"/>
      <c r="CY332" s="56"/>
      <c r="CZ332" s="56"/>
      <c r="DA332" s="56"/>
      <c r="DB332" s="56"/>
      <c r="DC332" s="56"/>
      <c r="DD332" s="56"/>
      <c r="DE332" s="56"/>
      <c r="DF332" s="56"/>
      <c r="DG332" s="56"/>
      <c r="DH332" s="56"/>
      <c r="DI332" s="56"/>
      <c r="DJ332" s="56"/>
      <c r="DK332" s="60"/>
      <c r="DL332" s="60"/>
      <c r="DM332" s="56"/>
      <c r="DN332" s="56"/>
      <c r="DO332" s="56"/>
      <c r="DP332" s="56"/>
      <c r="DQ332" s="56"/>
      <c r="DR332" s="56"/>
      <c r="DS332" s="56"/>
      <c r="DT332" s="56"/>
      <c r="DU332" s="56"/>
      <c r="DV332" s="56"/>
      <c r="DW332" s="56"/>
      <c r="DX332" s="56"/>
      <c r="DY332" s="56"/>
      <c r="DZ332" s="56"/>
      <c r="EA332" s="56"/>
      <c r="EB332" s="56"/>
      <c r="EC332" s="56"/>
      <c r="ED332" s="56"/>
      <c r="EE332" s="56"/>
      <c r="EF332" s="56"/>
    </row>
    <row r="333" spans="44:136" s="80" customFormat="1">
      <c r="AR333" s="118"/>
      <c r="BD333" s="56"/>
      <c r="BE333" s="56"/>
      <c r="BF333" s="56"/>
      <c r="BG333" s="56"/>
      <c r="BH333" s="56"/>
      <c r="BI333" s="56"/>
      <c r="BJ333" s="56"/>
      <c r="BK333" s="56"/>
      <c r="BL333" s="56"/>
      <c r="BM333" s="56"/>
      <c r="BN333" s="56"/>
      <c r="BO333" s="56"/>
      <c r="BP333" s="56"/>
      <c r="BQ333" s="56"/>
      <c r="BR333" s="56"/>
      <c r="BS333" s="56"/>
      <c r="BT333" s="60"/>
      <c r="BU333" s="56"/>
      <c r="BV333" s="56"/>
      <c r="BW333" s="56"/>
      <c r="BX333" s="56"/>
      <c r="BY333" s="56"/>
      <c r="BZ333" s="56"/>
      <c r="CA333" s="56"/>
      <c r="CB333" s="56"/>
      <c r="CC333" s="56"/>
      <c r="CD333" s="56"/>
      <c r="CE333" s="56"/>
      <c r="CF333" s="56"/>
      <c r="CG333" s="56"/>
      <c r="CH333" s="56"/>
      <c r="CI333" s="56"/>
      <c r="CJ333" s="60"/>
      <c r="CK333" s="56"/>
      <c r="CL333" s="56"/>
      <c r="CM333" s="56"/>
      <c r="CN333" s="56"/>
      <c r="CO333" s="56"/>
      <c r="CP333" s="56"/>
      <c r="CQ333" s="56"/>
      <c r="CR333" s="56"/>
      <c r="CS333" s="56"/>
      <c r="CT333" s="56"/>
      <c r="CU333" s="56"/>
      <c r="CV333" s="56"/>
      <c r="CW333" s="56"/>
      <c r="CX333" s="60"/>
      <c r="CY333" s="56"/>
      <c r="CZ333" s="56"/>
      <c r="DA333" s="56"/>
      <c r="DB333" s="56"/>
      <c r="DC333" s="56"/>
      <c r="DD333" s="56"/>
      <c r="DE333" s="56"/>
      <c r="DF333" s="56"/>
      <c r="DG333" s="56"/>
      <c r="DH333" s="56"/>
      <c r="DI333" s="56"/>
      <c r="DJ333" s="56"/>
      <c r="DK333" s="60"/>
      <c r="DL333" s="60"/>
      <c r="DM333" s="56"/>
      <c r="DN333" s="56"/>
      <c r="DO333" s="56"/>
      <c r="DP333" s="56"/>
      <c r="DQ333" s="56"/>
      <c r="DR333" s="56"/>
      <c r="DS333" s="56"/>
      <c r="DT333" s="56"/>
      <c r="DU333" s="56"/>
      <c r="DV333" s="56"/>
      <c r="DW333" s="56"/>
      <c r="DX333" s="56"/>
      <c r="DY333" s="56"/>
      <c r="DZ333" s="56"/>
      <c r="EA333" s="56"/>
      <c r="EB333" s="56"/>
      <c r="EC333" s="56"/>
      <c r="ED333" s="56"/>
      <c r="EE333" s="56"/>
      <c r="EF333" s="56"/>
    </row>
    <row r="334" spans="44:136" s="80" customFormat="1">
      <c r="AR334" s="118"/>
      <c r="BD334" s="56"/>
      <c r="BE334" s="56"/>
      <c r="BF334" s="56"/>
      <c r="BG334" s="56"/>
      <c r="BH334" s="56"/>
      <c r="BI334" s="56"/>
      <c r="BJ334" s="56"/>
      <c r="BK334" s="56"/>
      <c r="BL334" s="56"/>
      <c r="BM334" s="56"/>
      <c r="BN334" s="56"/>
      <c r="BO334" s="56"/>
      <c r="BP334" s="56"/>
      <c r="BQ334" s="56"/>
      <c r="BR334" s="56"/>
      <c r="BS334" s="56"/>
      <c r="BT334" s="60"/>
      <c r="BU334" s="56"/>
      <c r="BV334" s="56"/>
      <c r="BW334" s="56"/>
      <c r="BX334" s="56"/>
      <c r="BY334" s="56"/>
      <c r="BZ334" s="56"/>
      <c r="CA334" s="56"/>
      <c r="CB334" s="56"/>
      <c r="CC334" s="56"/>
      <c r="CD334" s="56"/>
      <c r="CE334" s="56"/>
      <c r="CF334" s="56"/>
      <c r="CG334" s="56"/>
      <c r="CH334" s="56"/>
      <c r="CI334" s="56"/>
      <c r="CJ334" s="60"/>
      <c r="CK334" s="56"/>
      <c r="CL334" s="56"/>
      <c r="CM334" s="56"/>
      <c r="CN334" s="56"/>
      <c r="CO334" s="56"/>
      <c r="CP334" s="56"/>
      <c r="CQ334" s="56"/>
      <c r="CR334" s="56"/>
      <c r="CS334" s="56"/>
      <c r="CT334" s="56"/>
      <c r="CU334" s="56"/>
      <c r="CV334" s="56"/>
      <c r="CW334" s="56"/>
      <c r="CX334" s="60"/>
      <c r="CY334" s="56"/>
      <c r="CZ334" s="56"/>
      <c r="DA334" s="56"/>
      <c r="DB334" s="56"/>
      <c r="DC334" s="56"/>
      <c r="DD334" s="56"/>
      <c r="DE334" s="56"/>
      <c r="DF334" s="56"/>
      <c r="DG334" s="56"/>
      <c r="DH334" s="56"/>
      <c r="DI334" s="56"/>
      <c r="DJ334" s="56"/>
      <c r="DK334" s="60"/>
      <c r="DL334" s="60"/>
      <c r="DM334" s="56"/>
      <c r="DN334" s="56"/>
      <c r="DO334" s="56"/>
      <c r="DP334" s="56"/>
      <c r="DQ334" s="56"/>
      <c r="DR334" s="56"/>
      <c r="DS334" s="56"/>
      <c r="DT334" s="56"/>
      <c r="DU334" s="56"/>
      <c r="DV334" s="56"/>
      <c r="DW334" s="56"/>
      <c r="DX334" s="56"/>
      <c r="DY334" s="56"/>
      <c r="DZ334" s="56"/>
      <c r="EA334" s="56"/>
      <c r="EB334" s="56"/>
      <c r="EC334" s="56"/>
      <c r="ED334" s="56"/>
      <c r="EE334" s="56"/>
      <c r="EF334" s="56"/>
    </row>
    <row r="335" spans="44:136" s="80" customFormat="1">
      <c r="AR335" s="118"/>
      <c r="BD335" s="56"/>
      <c r="BE335" s="56"/>
      <c r="BF335" s="56"/>
      <c r="BG335" s="56"/>
      <c r="BH335" s="56"/>
      <c r="BI335" s="56"/>
      <c r="BJ335" s="56"/>
      <c r="BK335" s="56"/>
      <c r="BL335" s="56"/>
      <c r="BM335" s="56"/>
      <c r="BN335" s="56"/>
      <c r="BO335" s="56"/>
      <c r="BP335" s="56"/>
      <c r="BQ335" s="56"/>
      <c r="BR335" s="56"/>
      <c r="BS335" s="56"/>
      <c r="BT335" s="60"/>
      <c r="BU335" s="56"/>
      <c r="BV335" s="56"/>
      <c r="BW335" s="56"/>
      <c r="BX335" s="56"/>
      <c r="BY335" s="56"/>
      <c r="BZ335" s="56"/>
      <c r="CA335" s="56"/>
      <c r="CB335" s="56"/>
      <c r="CC335" s="56"/>
      <c r="CD335" s="56"/>
      <c r="CE335" s="56"/>
      <c r="CF335" s="56"/>
      <c r="CG335" s="56"/>
      <c r="CH335" s="56"/>
      <c r="CI335" s="56"/>
      <c r="CJ335" s="60"/>
      <c r="CK335" s="56"/>
      <c r="CL335" s="56"/>
      <c r="CM335" s="56"/>
      <c r="CN335" s="56"/>
      <c r="CO335" s="56"/>
      <c r="CP335" s="56"/>
      <c r="CQ335" s="56"/>
      <c r="CR335" s="56"/>
      <c r="CS335" s="56"/>
      <c r="CT335" s="56"/>
      <c r="CU335" s="56"/>
      <c r="CV335" s="56"/>
      <c r="CW335" s="56"/>
      <c r="CX335" s="60"/>
      <c r="CY335" s="56"/>
      <c r="CZ335" s="56"/>
      <c r="DA335" s="56"/>
      <c r="DB335" s="56"/>
      <c r="DC335" s="56"/>
      <c r="DD335" s="56"/>
      <c r="DE335" s="56"/>
      <c r="DF335" s="56"/>
      <c r="DG335" s="56"/>
      <c r="DH335" s="56"/>
      <c r="DI335" s="56"/>
      <c r="DJ335" s="56"/>
      <c r="DK335" s="60"/>
      <c r="DL335" s="60"/>
      <c r="DM335" s="56"/>
      <c r="DN335" s="56"/>
      <c r="DO335" s="56"/>
      <c r="DP335" s="56"/>
      <c r="DQ335" s="56"/>
      <c r="DR335" s="56"/>
      <c r="DS335" s="56"/>
      <c r="DT335" s="56"/>
      <c r="DU335" s="56"/>
      <c r="DV335" s="56"/>
      <c r="DW335" s="56"/>
      <c r="DX335" s="56"/>
      <c r="DY335" s="56"/>
      <c r="DZ335" s="56"/>
      <c r="EA335" s="56"/>
      <c r="EB335" s="56"/>
      <c r="EC335" s="56"/>
      <c r="ED335" s="56"/>
      <c r="EE335" s="56"/>
      <c r="EF335" s="56"/>
    </row>
    <row r="336" spans="44:136" s="80" customFormat="1">
      <c r="AR336" s="118"/>
      <c r="BD336" s="56"/>
      <c r="BE336" s="56"/>
      <c r="BF336" s="56"/>
      <c r="BG336" s="56"/>
      <c r="BH336" s="56"/>
      <c r="BI336" s="56"/>
      <c r="BJ336" s="56"/>
      <c r="BK336" s="56"/>
      <c r="BL336" s="56"/>
      <c r="BM336" s="56"/>
      <c r="BN336" s="56"/>
      <c r="BO336" s="56"/>
      <c r="BP336" s="56"/>
      <c r="BQ336" s="56"/>
      <c r="BR336" s="56"/>
      <c r="BS336" s="56"/>
      <c r="BT336" s="60"/>
      <c r="BU336" s="56"/>
      <c r="BV336" s="56"/>
      <c r="BW336" s="56"/>
      <c r="BX336" s="56"/>
      <c r="BY336" s="56"/>
      <c r="BZ336" s="56"/>
      <c r="CA336" s="56"/>
      <c r="CB336" s="56"/>
      <c r="CC336" s="56"/>
      <c r="CD336" s="56"/>
      <c r="CE336" s="56"/>
      <c r="CF336" s="56"/>
      <c r="CG336" s="56"/>
      <c r="CH336" s="56"/>
      <c r="CI336" s="56"/>
      <c r="CJ336" s="60"/>
      <c r="CK336" s="56"/>
      <c r="CL336" s="56"/>
      <c r="CM336" s="56"/>
      <c r="CN336" s="56"/>
      <c r="CO336" s="56"/>
      <c r="CP336" s="56"/>
      <c r="CQ336" s="56"/>
      <c r="CR336" s="56"/>
      <c r="CS336" s="56"/>
      <c r="CT336" s="56"/>
      <c r="CU336" s="56"/>
      <c r="CV336" s="56"/>
      <c r="CW336" s="56"/>
      <c r="CX336" s="60"/>
      <c r="CY336" s="56"/>
      <c r="CZ336" s="56"/>
      <c r="DA336" s="56"/>
      <c r="DB336" s="56"/>
      <c r="DC336" s="56"/>
      <c r="DD336" s="56"/>
      <c r="DE336" s="56"/>
      <c r="DF336" s="56"/>
      <c r="DG336" s="56"/>
      <c r="DH336" s="56"/>
      <c r="DI336" s="56"/>
      <c r="DJ336" s="56"/>
      <c r="DK336" s="60"/>
      <c r="DL336" s="60"/>
      <c r="DM336" s="56"/>
      <c r="DN336" s="56"/>
      <c r="DO336" s="56"/>
      <c r="DP336" s="56"/>
      <c r="DQ336" s="56"/>
      <c r="DR336" s="56"/>
      <c r="DS336" s="56"/>
      <c r="DT336" s="56"/>
      <c r="DU336" s="56"/>
      <c r="DV336" s="56"/>
      <c r="DW336" s="56"/>
      <c r="DX336" s="56"/>
      <c r="DY336" s="56"/>
      <c r="DZ336" s="56"/>
      <c r="EA336" s="56"/>
      <c r="EB336" s="56"/>
      <c r="EC336" s="56"/>
      <c r="ED336" s="56"/>
      <c r="EE336" s="56"/>
      <c r="EF336" s="56"/>
    </row>
    <row r="337" spans="44:136" s="80" customFormat="1">
      <c r="AR337" s="118"/>
      <c r="BD337" s="56"/>
      <c r="BE337" s="56"/>
      <c r="BF337" s="56"/>
      <c r="BG337" s="56"/>
      <c r="BH337" s="56"/>
      <c r="BI337" s="56"/>
      <c r="BJ337" s="56"/>
      <c r="BK337" s="56"/>
      <c r="BL337" s="56"/>
      <c r="BM337" s="56"/>
      <c r="BN337" s="56"/>
      <c r="BO337" s="56"/>
      <c r="BP337" s="56"/>
      <c r="BQ337" s="56"/>
      <c r="BR337" s="56"/>
      <c r="BS337" s="56"/>
      <c r="BT337" s="60"/>
      <c r="BU337" s="56"/>
      <c r="BV337" s="56"/>
      <c r="BW337" s="56"/>
      <c r="BX337" s="56"/>
      <c r="BY337" s="56"/>
      <c r="BZ337" s="56"/>
      <c r="CA337" s="56"/>
      <c r="CB337" s="56"/>
      <c r="CC337" s="56"/>
      <c r="CD337" s="56"/>
      <c r="CE337" s="56"/>
      <c r="CF337" s="56"/>
      <c r="CG337" s="56"/>
      <c r="CH337" s="56"/>
      <c r="CI337" s="56"/>
      <c r="CJ337" s="60"/>
      <c r="CK337" s="56"/>
      <c r="CL337" s="56"/>
      <c r="CM337" s="56"/>
      <c r="CN337" s="56"/>
      <c r="CO337" s="56"/>
      <c r="CP337" s="56"/>
      <c r="CQ337" s="56"/>
      <c r="CR337" s="56"/>
      <c r="CS337" s="56"/>
      <c r="CT337" s="56"/>
      <c r="CU337" s="56"/>
      <c r="CV337" s="56"/>
      <c r="CW337" s="56"/>
      <c r="CX337" s="60"/>
      <c r="CY337" s="56"/>
      <c r="CZ337" s="56"/>
      <c r="DA337" s="56"/>
      <c r="DB337" s="56"/>
      <c r="DC337" s="56"/>
      <c r="DD337" s="56"/>
      <c r="DE337" s="56"/>
      <c r="DF337" s="56"/>
      <c r="DG337" s="56"/>
      <c r="DH337" s="56"/>
      <c r="DI337" s="56"/>
      <c r="DJ337" s="56"/>
      <c r="DK337" s="60"/>
      <c r="DL337" s="60"/>
      <c r="DM337" s="56"/>
      <c r="DN337" s="56"/>
      <c r="DO337" s="56"/>
      <c r="DP337" s="56"/>
      <c r="DQ337" s="56"/>
      <c r="DR337" s="56"/>
      <c r="DS337" s="56"/>
      <c r="DT337" s="56"/>
      <c r="DU337" s="56"/>
      <c r="DV337" s="56"/>
      <c r="DW337" s="56"/>
      <c r="DX337" s="56"/>
      <c r="DY337" s="56"/>
      <c r="DZ337" s="56"/>
      <c r="EA337" s="56"/>
      <c r="EB337" s="56"/>
      <c r="EC337" s="56"/>
      <c r="ED337" s="56"/>
      <c r="EE337" s="56"/>
      <c r="EF337" s="56"/>
    </row>
    <row r="338" spans="44:136" s="80" customFormat="1">
      <c r="AR338" s="118"/>
      <c r="BD338" s="56"/>
      <c r="BE338" s="56"/>
      <c r="BF338" s="56"/>
      <c r="BG338" s="56"/>
      <c r="BH338" s="56"/>
      <c r="BI338" s="56"/>
      <c r="BJ338" s="56"/>
      <c r="BK338" s="56"/>
      <c r="BL338" s="56"/>
      <c r="BM338" s="56"/>
      <c r="BN338" s="56"/>
      <c r="BO338" s="56"/>
      <c r="BP338" s="56"/>
      <c r="BQ338" s="56"/>
      <c r="BR338" s="56"/>
      <c r="BS338" s="56"/>
      <c r="BT338" s="60"/>
      <c r="BU338" s="56"/>
      <c r="BV338" s="56"/>
      <c r="BW338" s="56"/>
      <c r="BX338" s="56"/>
      <c r="BY338" s="56"/>
      <c r="BZ338" s="56"/>
      <c r="CA338" s="56"/>
      <c r="CB338" s="56"/>
      <c r="CC338" s="56"/>
      <c r="CD338" s="56"/>
      <c r="CE338" s="56"/>
      <c r="CF338" s="56"/>
      <c r="CG338" s="56"/>
      <c r="CH338" s="56"/>
      <c r="CI338" s="56"/>
      <c r="CJ338" s="60"/>
      <c r="CK338" s="56"/>
      <c r="CL338" s="56"/>
      <c r="CM338" s="56"/>
      <c r="CN338" s="56"/>
      <c r="CO338" s="56"/>
      <c r="CP338" s="56"/>
      <c r="CQ338" s="56"/>
      <c r="CR338" s="56"/>
      <c r="CS338" s="56"/>
      <c r="CT338" s="56"/>
      <c r="CU338" s="56"/>
      <c r="CV338" s="56"/>
      <c r="CW338" s="56"/>
      <c r="CX338" s="60"/>
      <c r="CY338" s="56"/>
      <c r="CZ338" s="56"/>
      <c r="DA338" s="56"/>
      <c r="DB338" s="56"/>
      <c r="DC338" s="56"/>
      <c r="DD338" s="56"/>
      <c r="DE338" s="56"/>
      <c r="DF338" s="56"/>
      <c r="DG338" s="56"/>
      <c r="DH338" s="56"/>
      <c r="DI338" s="56"/>
      <c r="DJ338" s="56"/>
      <c r="DK338" s="60"/>
      <c r="DL338" s="60"/>
      <c r="DM338" s="56"/>
      <c r="DN338" s="56"/>
      <c r="DO338" s="56"/>
      <c r="DP338" s="56"/>
      <c r="DQ338" s="56"/>
      <c r="DR338" s="56"/>
      <c r="DS338" s="56"/>
      <c r="DT338" s="56"/>
      <c r="DU338" s="56"/>
      <c r="DV338" s="56"/>
      <c r="DW338" s="56"/>
      <c r="DX338" s="56"/>
      <c r="DY338" s="56"/>
      <c r="DZ338" s="56"/>
      <c r="EA338" s="56"/>
      <c r="EB338" s="56"/>
      <c r="EC338" s="56"/>
      <c r="ED338" s="56"/>
      <c r="EE338" s="56"/>
      <c r="EF338" s="56"/>
    </row>
    <row r="339" spans="44:136" s="80" customFormat="1">
      <c r="AR339" s="118"/>
      <c r="BD339" s="56"/>
      <c r="BE339" s="56"/>
      <c r="BF339" s="56"/>
      <c r="BG339" s="56"/>
      <c r="BH339" s="56"/>
      <c r="BI339" s="56"/>
      <c r="BJ339" s="56"/>
      <c r="BK339" s="56"/>
      <c r="BL339" s="56"/>
      <c r="BM339" s="56"/>
      <c r="BN339" s="56"/>
      <c r="BO339" s="56"/>
      <c r="BP339" s="56"/>
      <c r="BQ339" s="56"/>
      <c r="BR339" s="56"/>
      <c r="BS339" s="56"/>
      <c r="BT339" s="60"/>
      <c r="BU339" s="56"/>
      <c r="BV339" s="56"/>
      <c r="BW339" s="56"/>
      <c r="BX339" s="56"/>
      <c r="BY339" s="56"/>
      <c r="BZ339" s="56"/>
      <c r="CA339" s="56"/>
      <c r="CB339" s="56"/>
      <c r="CC339" s="56"/>
      <c r="CD339" s="56"/>
      <c r="CE339" s="56"/>
      <c r="CF339" s="56"/>
      <c r="CG339" s="56"/>
      <c r="CH339" s="56"/>
      <c r="CI339" s="56"/>
      <c r="CJ339" s="60"/>
      <c r="CK339" s="56"/>
      <c r="CL339" s="56"/>
      <c r="CM339" s="56"/>
      <c r="CN339" s="56"/>
      <c r="CO339" s="56"/>
      <c r="CP339" s="56"/>
      <c r="CQ339" s="56"/>
      <c r="CR339" s="56"/>
      <c r="CS339" s="56"/>
      <c r="CT339" s="56"/>
      <c r="CU339" s="56"/>
      <c r="CV339" s="56"/>
      <c r="CW339" s="56"/>
      <c r="CX339" s="60"/>
      <c r="CY339" s="56"/>
      <c r="CZ339" s="56"/>
      <c r="DA339" s="56"/>
      <c r="DB339" s="56"/>
      <c r="DC339" s="56"/>
      <c r="DD339" s="56"/>
      <c r="DE339" s="56"/>
      <c r="DF339" s="56"/>
      <c r="DG339" s="56"/>
      <c r="DH339" s="56"/>
      <c r="DI339" s="56"/>
      <c r="DJ339" s="56"/>
      <c r="DK339" s="60"/>
      <c r="DL339" s="60"/>
      <c r="DM339" s="56"/>
      <c r="DN339" s="56"/>
      <c r="DO339" s="56"/>
      <c r="DP339" s="56"/>
      <c r="DQ339" s="56"/>
      <c r="DR339" s="56"/>
      <c r="DS339" s="56"/>
      <c r="DT339" s="56"/>
      <c r="DU339" s="56"/>
      <c r="DV339" s="56"/>
      <c r="DW339" s="56"/>
      <c r="DX339" s="56"/>
      <c r="DY339" s="56"/>
      <c r="DZ339" s="56"/>
      <c r="EA339" s="56"/>
      <c r="EB339" s="56"/>
      <c r="EC339" s="56"/>
      <c r="ED339" s="56"/>
      <c r="EE339" s="56"/>
      <c r="EF339" s="56"/>
    </row>
    <row r="340" spans="44:136" s="80" customFormat="1">
      <c r="AR340" s="118"/>
      <c r="BD340" s="56"/>
      <c r="BE340" s="56"/>
      <c r="BF340" s="56"/>
      <c r="BG340" s="56"/>
      <c r="BH340" s="56"/>
      <c r="BI340" s="56"/>
      <c r="BJ340" s="56"/>
      <c r="BK340" s="56"/>
      <c r="BL340" s="56"/>
      <c r="BM340" s="56"/>
      <c r="BN340" s="56"/>
      <c r="BO340" s="56"/>
      <c r="BP340" s="56"/>
      <c r="BQ340" s="56"/>
      <c r="BR340" s="56"/>
      <c r="BS340" s="56"/>
      <c r="BT340" s="60"/>
      <c r="BU340" s="56"/>
      <c r="BV340" s="56"/>
      <c r="BW340" s="56"/>
      <c r="BX340" s="56"/>
      <c r="BY340" s="56"/>
      <c r="BZ340" s="56"/>
      <c r="CA340" s="56"/>
      <c r="CB340" s="56"/>
      <c r="CC340" s="56"/>
      <c r="CD340" s="56"/>
      <c r="CE340" s="56"/>
      <c r="CF340" s="56"/>
      <c r="CG340" s="56"/>
      <c r="CH340" s="56"/>
      <c r="CI340" s="56"/>
      <c r="CJ340" s="60"/>
      <c r="CK340" s="56"/>
      <c r="CL340" s="56"/>
      <c r="CM340" s="56"/>
      <c r="CN340" s="56"/>
      <c r="CO340" s="56"/>
      <c r="CP340" s="56"/>
      <c r="CQ340" s="56"/>
      <c r="CR340" s="56"/>
      <c r="CS340" s="56"/>
      <c r="CT340" s="56"/>
      <c r="CU340" s="56"/>
      <c r="CV340" s="56"/>
      <c r="CW340" s="56"/>
      <c r="CX340" s="60"/>
      <c r="CY340" s="56"/>
      <c r="CZ340" s="56"/>
      <c r="DA340" s="56"/>
      <c r="DB340" s="56"/>
      <c r="DC340" s="56"/>
      <c r="DD340" s="56"/>
      <c r="DE340" s="56"/>
      <c r="DF340" s="56"/>
      <c r="DG340" s="56"/>
      <c r="DH340" s="56"/>
      <c r="DI340" s="56"/>
      <c r="DJ340" s="56"/>
      <c r="DK340" s="60"/>
      <c r="DL340" s="60"/>
      <c r="DM340" s="56"/>
      <c r="DN340" s="56"/>
      <c r="DO340" s="56"/>
      <c r="DP340" s="56"/>
      <c r="DQ340" s="56"/>
      <c r="DR340" s="56"/>
      <c r="DS340" s="56"/>
      <c r="DT340" s="56"/>
      <c r="DU340" s="56"/>
      <c r="DV340" s="56"/>
      <c r="DW340" s="56"/>
      <c r="DX340" s="56"/>
      <c r="DY340" s="56"/>
      <c r="DZ340" s="56"/>
      <c r="EA340" s="56"/>
      <c r="EB340" s="56"/>
      <c r="EC340" s="56"/>
      <c r="ED340" s="56"/>
      <c r="EE340" s="56"/>
      <c r="EF340" s="56"/>
    </row>
    <row r="341" spans="44:136" s="80" customFormat="1">
      <c r="AR341" s="118"/>
      <c r="BD341" s="56"/>
      <c r="BE341" s="56"/>
      <c r="BF341" s="56"/>
      <c r="BG341" s="56"/>
      <c r="BH341" s="56"/>
      <c r="BI341" s="56"/>
      <c r="BJ341" s="56"/>
      <c r="BK341" s="56"/>
      <c r="BL341" s="56"/>
      <c r="BM341" s="56"/>
      <c r="BN341" s="56"/>
      <c r="BO341" s="56"/>
      <c r="BP341" s="56"/>
      <c r="BQ341" s="56"/>
      <c r="BR341" s="56"/>
      <c r="BS341" s="56"/>
      <c r="BT341" s="60"/>
      <c r="BU341" s="56"/>
      <c r="BV341" s="56"/>
      <c r="BW341" s="56"/>
      <c r="BX341" s="56"/>
      <c r="BY341" s="56"/>
      <c r="BZ341" s="56"/>
      <c r="CA341" s="56"/>
      <c r="CB341" s="56"/>
      <c r="CC341" s="56"/>
      <c r="CD341" s="56"/>
      <c r="CE341" s="56"/>
      <c r="CF341" s="56"/>
      <c r="CG341" s="56"/>
      <c r="CH341" s="56"/>
      <c r="CI341" s="56"/>
      <c r="CJ341" s="60"/>
      <c r="CK341" s="56"/>
      <c r="CL341" s="56"/>
      <c r="CM341" s="56"/>
      <c r="CN341" s="56"/>
      <c r="CO341" s="56"/>
      <c r="CP341" s="56"/>
      <c r="CQ341" s="56"/>
      <c r="CR341" s="56"/>
      <c r="CS341" s="56"/>
      <c r="CT341" s="56"/>
      <c r="CU341" s="56"/>
      <c r="CV341" s="56"/>
      <c r="CW341" s="56"/>
      <c r="CX341" s="60"/>
      <c r="CY341" s="56"/>
      <c r="CZ341" s="56"/>
      <c r="DA341" s="56"/>
      <c r="DB341" s="56"/>
      <c r="DC341" s="56"/>
      <c r="DD341" s="56"/>
      <c r="DE341" s="56"/>
      <c r="DF341" s="56"/>
      <c r="DG341" s="56"/>
      <c r="DH341" s="56"/>
      <c r="DI341" s="56"/>
      <c r="DJ341" s="56"/>
      <c r="DK341" s="60"/>
      <c r="DL341" s="60"/>
      <c r="DM341" s="56"/>
      <c r="DN341" s="56"/>
      <c r="DO341" s="56"/>
      <c r="DP341" s="56"/>
      <c r="DQ341" s="56"/>
      <c r="DR341" s="56"/>
      <c r="DS341" s="56"/>
      <c r="DT341" s="56"/>
      <c r="DU341" s="56"/>
      <c r="DV341" s="56"/>
      <c r="DW341" s="56"/>
      <c r="DX341" s="56"/>
      <c r="DY341" s="56"/>
      <c r="DZ341" s="56"/>
      <c r="EA341" s="56"/>
      <c r="EB341" s="56"/>
      <c r="EC341" s="56"/>
      <c r="ED341" s="56"/>
      <c r="EE341" s="56"/>
      <c r="EF341" s="56"/>
    </row>
    <row r="342" spans="44:136" s="80" customFormat="1">
      <c r="AR342" s="118"/>
      <c r="BD342" s="56"/>
      <c r="BE342" s="56"/>
      <c r="BF342" s="56"/>
      <c r="BG342" s="56"/>
      <c r="BH342" s="56"/>
      <c r="BI342" s="56"/>
      <c r="BJ342" s="56"/>
      <c r="BK342" s="56"/>
      <c r="BL342" s="56"/>
      <c r="BM342" s="56"/>
      <c r="BN342" s="56"/>
      <c r="BO342" s="56"/>
      <c r="BP342" s="56"/>
      <c r="BQ342" s="56"/>
      <c r="BR342" s="56"/>
      <c r="BS342" s="56"/>
      <c r="BT342" s="60"/>
      <c r="BU342" s="56"/>
      <c r="BV342" s="56"/>
      <c r="BW342" s="56"/>
      <c r="BX342" s="56"/>
      <c r="BY342" s="56"/>
      <c r="BZ342" s="56"/>
      <c r="CA342" s="56"/>
      <c r="CB342" s="56"/>
      <c r="CC342" s="56"/>
      <c r="CD342" s="56"/>
      <c r="CE342" s="56"/>
      <c r="CF342" s="56"/>
      <c r="CG342" s="56"/>
      <c r="CH342" s="56"/>
      <c r="CI342" s="56"/>
      <c r="CJ342" s="60"/>
      <c r="CK342" s="56"/>
      <c r="CL342" s="56"/>
      <c r="CM342" s="56"/>
      <c r="CN342" s="56"/>
      <c r="CO342" s="56"/>
      <c r="CP342" s="56"/>
      <c r="CQ342" s="56"/>
      <c r="CR342" s="56"/>
      <c r="CS342" s="56"/>
      <c r="CT342" s="56"/>
      <c r="CU342" s="56"/>
      <c r="CV342" s="56"/>
      <c r="CW342" s="56"/>
      <c r="CX342" s="60"/>
      <c r="CY342" s="56"/>
      <c r="CZ342" s="56"/>
      <c r="DA342" s="56"/>
      <c r="DB342" s="56"/>
      <c r="DC342" s="56"/>
      <c r="DD342" s="56"/>
      <c r="DE342" s="56"/>
      <c r="DF342" s="56"/>
      <c r="DG342" s="56"/>
      <c r="DH342" s="56"/>
      <c r="DI342" s="56"/>
      <c r="DJ342" s="56"/>
      <c r="DK342" s="60"/>
      <c r="DL342" s="60"/>
      <c r="DM342" s="56"/>
      <c r="DN342" s="56"/>
      <c r="DO342" s="56"/>
      <c r="DP342" s="56"/>
      <c r="DQ342" s="56"/>
      <c r="DR342" s="56"/>
      <c r="DS342" s="56"/>
      <c r="DT342" s="56"/>
      <c r="DU342" s="56"/>
      <c r="DV342" s="56"/>
      <c r="DW342" s="56"/>
      <c r="DX342" s="56"/>
      <c r="DY342" s="56"/>
      <c r="DZ342" s="56"/>
      <c r="EA342" s="56"/>
      <c r="EB342" s="56"/>
      <c r="EC342" s="56"/>
      <c r="ED342" s="56"/>
      <c r="EE342" s="56"/>
      <c r="EF342" s="56"/>
    </row>
    <row r="343" spans="44:136" s="80" customFormat="1">
      <c r="AR343" s="118"/>
      <c r="BD343" s="56"/>
      <c r="BE343" s="56"/>
      <c r="BF343" s="56"/>
      <c r="BG343" s="56"/>
      <c r="BH343" s="56"/>
      <c r="BI343" s="56"/>
      <c r="BJ343" s="56"/>
      <c r="BK343" s="56"/>
      <c r="BL343" s="56"/>
      <c r="BM343" s="56"/>
      <c r="BN343" s="56"/>
      <c r="BO343" s="56"/>
      <c r="BP343" s="56"/>
      <c r="BQ343" s="56"/>
      <c r="BR343" s="56"/>
      <c r="BS343" s="56"/>
      <c r="BT343" s="60"/>
      <c r="BU343" s="56"/>
      <c r="BV343" s="56"/>
      <c r="BW343" s="56"/>
      <c r="BX343" s="56"/>
      <c r="BY343" s="56"/>
      <c r="BZ343" s="56"/>
      <c r="CA343" s="56"/>
      <c r="CB343" s="56"/>
      <c r="CC343" s="56"/>
      <c r="CD343" s="56"/>
      <c r="CE343" s="56"/>
      <c r="CF343" s="56"/>
      <c r="CG343" s="56"/>
      <c r="CH343" s="56"/>
      <c r="CI343" s="56"/>
      <c r="CJ343" s="60"/>
      <c r="CK343" s="56"/>
      <c r="CL343" s="56"/>
      <c r="CM343" s="56"/>
      <c r="CN343" s="56"/>
      <c r="CO343" s="56"/>
      <c r="CP343" s="56"/>
      <c r="CQ343" s="56"/>
      <c r="CR343" s="56"/>
      <c r="CS343" s="56"/>
      <c r="CT343" s="56"/>
      <c r="CU343" s="56"/>
      <c r="CV343" s="56"/>
      <c r="CW343" s="56"/>
      <c r="CX343" s="60"/>
      <c r="CY343" s="56"/>
      <c r="CZ343" s="56"/>
      <c r="DA343" s="56"/>
      <c r="DB343" s="56"/>
      <c r="DC343" s="56"/>
      <c r="DD343" s="56"/>
      <c r="DE343" s="56"/>
      <c r="DF343" s="56"/>
      <c r="DG343" s="56"/>
      <c r="DH343" s="56"/>
      <c r="DI343" s="56"/>
      <c r="DJ343" s="56"/>
      <c r="DK343" s="60"/>
      <c r="DL343" s="60"/>
      <c r="DM343" s="56"/>
      <c r="DN343" s="56"/>
      <c r="DO343" s="56"/>
      <c r="DP343" s="56"/>
      <c r="DQ343" s="56"/>
      <c r="DR343" s="56"/>
      <c r="DS343" s="56"/>
      <c r="DT343" s="56"/>
      <c r="DU343" s="56"/>
      <c r="DV343" s="56"/>
      <c r="DW343" s="56"/>
      <c r="DX343" s="56"/>
      <c r="DY343" s="56"/>
      <c r="DZ343" s="56"/>
      <c r="EA343" s="56"/>
      <c r="EB343" s="56"/>
      <c r="EC343" s="56"/>
      <c r="ED343" s="56"/>
      <c r="EE343" s="56"/>
      <c r="EF343" s="56"/>
    </row>
    <row r="344" spans="44:136" s="80" customFormat="1">
      <c r="AR344" s="118"/>
      <c r="BD344" s="56"/>
      <c r="BE344" s="56"/>
      <c r="BF344" s="56"/>
      <c r="BG344" s="56"/>
      <c r="BH344" s="56"/>
      <c r="BI344" s="56"/>
      <c r="BJ344" s="56"/>
      <c r="BK344" s="56"/>
      <c r="BL344" s="56"/>
      <c r="BM344" s="56"/>
      <c r="BN344" s="56"/>
      <c r="BO344" s="56"/>
      <c r="BP344" s="56"/>
      <c r="BQ344" s="56"/>
      <c r="BR344" s="56"/>
      <c r="BS344" s="56"/>
      <c r="BT344" s="60"/>
      <c r="BU344" s="56"/>
      <c r="BV344" s="56"/>
      <c r="BW344" s="56"/>
      <c r="BX344" s="56"/>
      <c r="BY344" s="56"/>
      <c r="BZ344" s="56"/>
      <c r="CA344" s="56"/>
      <c r="CB344" s="56"/>
      <c r="CC344" s="56"/>
      <c r="CD344" s="56"/>
      <c r="CE344" s="56"/>
      <c r="CF344" s="56"/>
      <c r="CG344" s="56"/>
      <c r="CH344" s="56"/>
      <c r="CI344" s="56"/>
      <c r="CJ344" s="60"/>
      <c r="CK344" s="56"/>
      <c r="CL344" s="56"/>
      <c r="CM344" s="56"/>
      <c r="CN344" s="56"/>
      <c r="CO344" s="56"/>
      <c r="CP344" s="56"/>
      <c r="CQ344" s="56"/>
      <c r="CR344" s="56"/>
      <c r="CS344" s="56"/>
      <c r="CT344" s="56"/>
      <c r="CU344" s="56"/>
      <c r="CV344" s="56"/>
      <c r="CW344" s="56"/>
      <c r="CX344" s="60"/>
      <c r="CY344" s="56"/>
      <c r="CZ344" s="56"/>
      <c r="DA344" s="56"/>
      <c r="DB344" s="56"/>
      <c r="DC344" s="56"/>
      <c r="DD344" s="56"/>
      <c r="DE344" s="56"/>
      <c r="DF344" s="56"/>
      <c r="DG344" s="56"/>
      <c r="DH344" s="56"/>
      <c r="DI344" s="56"/>
      <c r="DJ344" s="56"/>
      <c r="DK344" s="60"/>
      <c r="DL344" s="60"/>
      <c r="DM344" s="56"/>
      <c r="DN344" s="56"/>
      <c r="DO344" s="56"/>
      <c r="DP344" s="56"/>
      <c r="DQ344" s="56"/>
      <c r="DR344" s="56"/>
      <c r="DS344" s="56"/>
      <c r="DT344" s="56"/>
      <c r="DU344" s="56"/>
      <c r="DV344" s="56"/>
      <c r="DW344" s="56"/>
      <c r="DX344" s="56"/>
      <c r="DY344" s="56"/>
      <c r="DZ344" s="56"/>
      <c r="EA344" s="56"/>
      <c r="EB344" s="56"/>
      <c r="EC344" s="56"/>
      <c r="ED344" s="56"/>
      <c r="EE344" s="56"/>
      <c r="EF344" s="56"/>
    </row>
    <row r="345" spans="44:136" s="80" customFormat="1">
      <c r="AR345" s="118"/>
      <c r="BD345" s="56"/>
      <c r="BE345" s="56"/>
      <c r="BF345" s="56"/>
      <c r="BG345" s="56"/>
      <c r="BH345" s="56"/>
      <c r="BI345" s="56"/>
      <c r="BJ345" s="56"/>
      <c r="BK345" s="56"/>
      <c r="BL345" s="56"/>
      <c r="BM345" s="56"/>
      <c r="BN345" s="56"/>
      <c r="BO345" s="56"/>
      <c r="BP345" s="56"/>
      <c r="BQ345" s="56"/>
      <c r="BR345" s="56"/>
      <c r="BS345" s="56"/>
      <c r="BT345" s="60"/>
      <c r="BU345" s="56"/>
      <c r="BV345" s="56"/>
      <c r="BW345" s="56"/>
      <c r="BX345" s="56"/>
      <c r="BY345" s="56"/>
      <c r="BZ345" s="56"/>
      <c r="CA345" s="56"/>
      <c r="CB345" s="56"/>
      <c r="CC345" s="56"/>
      <c r="CD345" s="56"/>
      <c r="CE345" s="56"/>
      <c r="CF345" s="56"/>
      <c r="CG345" s="56"/>
      <c r="CH345" s="56"/>
      <c r="CI345" s="56"/>
      <c r="CJ345" s="60"/>
      <c r="CK345" s="56"/>
      <c r="CL345" s="56"/>
      <c r="CM345" s="56"/>
      <c r="CN345" s="56"/>
      <c r="CO345" s="56"/>
      <c r="CP345" s="56"/>
      <c r="CQ345" s="56"/>
      <c r="CR345" s="56"/>
      <c r="CS345" s="56"/>
      <c r="CT345" s="56"/>
      <c r="CU345" s="56"/>
      <c r="CV345" s="56"/>
      <c r="CW345" s="56"/>
      <c r="CX345" s="60"/>
      <c r="CY345" s="56"/>
      <c r="CZ345" s="56"/>
      <c r="DA345" s="56"/>
      <c r="DB345" s="56"/>
      <c r="DC345" s="56"/>
      <c r="DD345" s="56"/>
      <c r="DE345" s="56"/>
      <c r="DF345" s="56"/>
      <c r="DG345" s="56"/>
      <c r="DH345" s="56"/>
      <c r="DI345" s="56"/>
      <c r="DJ345" s="56"/>
      <c r="DK345" s="60"/>
      <c r="DL345" s="60"/>
      <c r="DM345" s="56"/>
      <c r="DN345" s="56"/>
      <c r="DO345" s="56"/>
      <c r="DP345" s="56"/>
      <c r="DQ345" s="56"/>
      <c r="DR345" s="56"/>
      <c r="DS345" s="56"/>
      <c r="DT345" s="56"/>
      <c r="DU345" s="56"/>
      <c r="DV345" s="56"/>
      <c r="DW345" s="56"/>
      <c r="DX345" s="56"/>
      <c r="DY345" s="56"/>
      <c r="DZ345" s="56"/>
      <c r="EA345" s="56"/>
      <c r="EB345" s="56"/>
      <c r="EC345" s="56"/>
      <c r="ED345" s="56"/>
      <c r="EE345" s="56"/>
      <c r="EF345" s="56"/>
    </row>
    <row r="346" spans="44:136" s="80" customFormat="1">
      <c r="AR346" s="118"/>
      <c r="BD346" s="56"/>
      <c r="BE346" s="56"/>
      <c r="BF346" s="56"/>
      <c r="BG346" s="56"/>
      <c r="BH346" s="56"/>
      <c r="BI346" s="56"/>
      <c r="BJ346" s="56"/>
      <c r="BK346" s="56"/>
      <c r="BL346" s="56"/>
      <c r="BM346" s="56"/>
      <c r="BN346" s="56"/>
      <c r="BO346" s="56"/>
      <c r="BP346" s="56"/>
      <c r="BQ346" s="56"/>
      <c r="BR346" s="56"/>
      <c r="BS346" s="56"/>
      <c r="BT346" s="60"/>
      <c r="BU346" s="56"/>
      <c r="BV346" s="56"/>
      <c r="BW346" s="56"/>
      <c r="BX346" s="56"/>
      <c r="BY346" s="56"/>
      <c r="BZ346" s="56"/>
      <c r="CA346" s="56"/>
      <c r="CB346" s="56"/>
      <c r="CC346" s="56"/>
      <c r="CD346" s="56"/>
      <c r="CE346" s="56"/>
      <c r="CF346" s="56"/>
      <c r="CG346" s="56"/>
      <c r="CH346" s="56"/>
      <c r="CI346" s="56"/>
      <c r="CJ346" s="60"/>
      <c r="CK346" s="56"/>
      <c r="CL346" s="56"/>
      <c r="CM346" s="56"/>
      <c r="CN346" s="56"/>
      <c r="CO346" s="56"/>
      <c r="CP346" s="56"/>
      <c r="CQ346" s="56"/>
      <c r="CR346" s="56"/>
      <c r="CS346" s="56"/>
      <c r="CT346" s="56"/>
      <c r="CU346" s="56"/>
      <c r="CV346" s="56"/>
      <c r="CW346" s="56"/>
      <c r="CX346" s="60"/>
      <c r="CY346" s="56"/>
      <c r="CZ346" s="56"/>
      <c r="DA346" s="56"/>
      <c r="DB346" s="56"/>
      <c r="DC346" s="56"/>
      <c r="DD346" s="56"/>
      <c r="DE346" s="56"/>
      <c r="DF346" s="56"/>
      <c r="DG346" s="56"/>
      <c r="DH346" s="56"/>
      <c r="DI346" s="56"/>
      <c r="DJ346" s="56"/>
      <c r="DK346" s="60"/>
      <c r="DL346" s="60"/>
      <c r="DM346" s="56"/>
      <c r="DN346" s="56"/>
      <c r="DO346" s="56"/>
      <c r="DP346" s="56"/>
      <c r="DQ346" s="56"/>
      <c r="DR346" s="56"/>
      <c r="DS346" s="56"/>
      <c r="DT346" s="56"/>
      <c r="DU346" s="56"/>
      <c r="DV346" s="56"/>
      <c r="DW346" s="56"/>
      <c r="DX346" s="56"/>
      <c r="DY346" s="56"/>
      <c r="DZ346" s="56"/>
      <c r="EA346" s="56"/>
      <c r="EB346" s="56"/>
      <c r="EC346" s="56"/>
      <c r="ED346" s="56"/>
      <c r="EE346" s="56"/>
      <c r="EF346" s="56"/>
    </row>
    <row r="347" spans="44:136" s="80" customFormat="1">
      <c r="AR347" s="118"/>
      <c r="BD347" s="56"/>
      <c r="BE347" s="56"/>
      <c r="BF347" s="56"/>
      <c r="BG347" s="56"/>
      <c r="BH347" s="56"/>
      <c r="BI347" s="56"/>
      <c r="BJ347" s="56"/>
      <c r="BK347" s="56"/>
      <c r="BL347" s="56"/>
      <c r="BM347" s="56"/>
      <c r="BN347" s="56"/>
      <c r="BO347" s="56"/>
      <c r="BP347" s="56"/>
      <c r="BQ347" s="56"/>
      <c r="BR347" s="56"/>
      <c r="BS347" s="56"/>
      <c r="BT347" s="60"/>
      <c r="BU347" s="56"/>
      <c r="BV347" s="56"/>
      <c r="BW347" s="56"/>
      <c r="BX347" s="56"/>
      <c r="BY347" s="56"/>
      <c r="BZ347" s="56"/>
      <c r="CA347" s="56"/>
      <c r="CB347" s="56"/>
      <c r="CC347" s="56"/>
      <c r="CD347" s="56"/>
      <c r="CE347" s="56"/>
      <c r="CF347" s="56"/>
      <c r="CG347" s="56"/>
      <c r="CH347" s="56"/>
      <c r="CI347" s="56"/>
      <c r="CJ347" s="60"/>
      <c r="CK347" s="56"/>
      <c r="CL347" s="56"/>
      <c r="CM347" s="56"/>
      <c r="CN347" s="56"/>
      <c r="CO347" s="56"/>
      <c r="CP347" s="56"/>
      <c r="CQ347" s="56"/>
      <c r="CR347" s="56"/>
      <c r="CS347" s="56"/>
      <c r="CT347" s="56"/>
      <c r="CU347" s="56"/>
      <c r="CV347" s="56"/>
      <c r="CW347" s="56"/>
      <c r="CX347" s="60"/>
      <c r="CY347" s="56"/>
      <c r="CZ347" s="56"/>
      <c r="DA347" s="56"/>
      <c r="DB347" s="56"/>
      <c r="DC347" s="56"/>
      <c r="DD347" s="56"/>
      <c r="DE347" s="56"/>
      <c r="DF347" s="56"/>
      <c r="DG347" s="56"/>
      <c r="DH347" s="56"/>
      <c r="DI347" s="56"/>
      <c r="DJ347" s="56"/>
      <c r="DK347" s="60"/>
      <c r="DL347" s="60"/>
      <c r="DM347" s="56"/>
      <c r="DN347" s="56"/>
      <c r="DO347" s="56"/>
      <c r="DP347" s="56"/>
      <c r="DQ347" s="56"/>
      <c r="DR347" s="56"/>
      <c r="DS347" s="56"/>
      <c r="DT347" s="56"/>
      <c r="DU347" s="56"/>
      <c r="DV347" s="56"/>
      <c r="DW347" s="56"/>
      <c r="DX347" s="56"/>
      <c r="DY347" s="56"/>
      <c r="DZ347" s="56"/>
      <c r="EA347" s="56"/>
      <c r="EB347" s="56"/>
      <c r="EC347" s="56"/>
      <c r="ED347" s="56"/>
      <c r="EE347" s="56"/>
      <c r="EF347" s="56"/>
    </row>
    <row r="348" spans="44:136" s="80" customFormat="1">
      <c r="AR348" s="118"/>
      <c r="BD348" s="56"/>
      <c r="BE348" s="56"/>
      <c r="BF348" s="56"/>
      <c r="BG348" s="56"/>
      <c r="BH348" s="56"/>
      <c r="BI348" s="56"/>
      <c r="BJ348" s="56"/>
      <c r="BK348" s="56"/>
      <c r="BL348" s="56"/>
      <c r="BM348" s="56"/>
      <c r="BN348" s="56"/>
      <c r="BO348" s="56"/>
      <c r="BP348" s="56"/>
      <c r="BQ348" s="56"/>
      <c r="BR348" s="56"/>
      <c r="BS348" s="56"/>
      <c r="BT348" s="60"/>
      <c r="BU348" s="56"/>
      <c r="BV348" s="56"/>
      <c r="BW348" s="56"/>
      <c r="BX348" s="56"/>
      <c r="BY348" s="56"/>
      <c r="BZ348" s="56"/>
      <c r="CA348" s="56"/>
      <c r="CB348" s="56"/>
      <c r="CC348" s="56"/>
      <c r="CD348" s="56"/>
      <c r="CE348" s="56"/>
      <c r="CF348" s="56"/>
      <c r="CG348" s="56"/>
      <c r="CH348" s="56"/>
      <c r="CI348" s="56"/>
      <c r="CJ348" s="60"/>
      <c r="CK348" s="56"/>
      <c r="CL348" s="56"/>
      <c r="CM348" s="56"/>
      <c r="CN348" s="56"/>
      <c r="CO348" s="56"/>
      <c r="CP348" s="56"/>
      <c r="CQ348" s="56"/>
      <c r="CR348" s="56"/>
      <c r="CS348" s="56"/>
      <c r="CT348" s="56"/>
      <c r="CU348" s="56"/>
      <c r="CV348" s="56"/>
      <c r="CW348" s="56"/>
      <c r="CX348" s="60"/>
      <c r="CY348" s="56"/>
      <c r="CZ348" s="56"/>
      <c r="DA348" s="56"/>
      <c r="DB348" s="56"/>
      <c r="DC348" s="56"/>
      <c r="DD348" s="56"/>
      <c r="DE348" s="56"/>
      <c r="DF348" s="56"/>
      <c r="DG348" s="56"/>
      <c r="DH348" s="56"/>
      <c r="DI348" s="56"/>
      <c r="DJ348" s="56"/>
      <c r="DK348" s="60"/>
      <c r="DL348" s="60"/>
      <c r="DM348" s="56"/>
      <c r="DN348" s="56"/>
      <c r="DO348" s="56"/>
      <c r="DP348" s="56"/>
      <c r="DQ348" s="56"/>
      <c r="DR348" s="56"/>
      <c r="DS348" s="56"/>
      <c r="DT348" s="56"/>
      <c r="DU348" s="56"/>
      <c r="DV348" s="56"/>
      <c r="DW348" s="56"/>
      <c r="DX348" s="56"/>
      <c r="DY348" s="56"/>
      <c r="DZ348" s="56"/>
      <c r="EA348" s="56"/>
      <c r="EB348" s="56"/>
      <c r="EC348" s="56"/>
      <c r="ED348" s="56"/>
      <c r="EE348" s="56"/>
      <c r="EF348" s="56"/>
    </row>
    <row r="349" spans="44:136" s="80" customFormat="1">
      <c r="AR349" s="118"/>
      <c r="BD349" s="56"/>
      <c r="BE349" s="56"/>
      <c r="BF349" s="56"/>
      <c r="BG349" s="56"/>
      <c r="BH349" s="56"/>
      <c r="BI349" s="56"/>
      <c r="BJ349" s="56"/>
      <c r="BK349" s="56"/>
      <c r="BL349" s="56"/>
      <c r="BM349" s="56"/>
      <c r="BN349" s="56"/>
      <c r="BO349" s="56"/>
      <c r="BP349" s="56"/>
      <c r="BQ349" s="56"/>
      <c r="BR349" s="56"/>
      <c r="BS349" s="56"/>
      <c r="BT349" s="60"/>
      <c r="BU349" s="56"/>
      <c r="BV349" s="56"/>
      <c r="BW349" s="56"/>
      <c r="BX349" s="56"/>
      <c r="BY349" s="56"/>
      <c r="BZ349" s="56"/>
      <c r="CA349" s="56"/>
      <c r="CB349" s="56"/>
      <c r="CC349" s="56"/>
      <c r="CD349" s="56"/>
      <c r="CE349" s="56"/>
      <c r="CF349" s="56"/>
      <c r="CG349" s="56"/>
      <c r="CH349" s="56"/>
      <c r="CI349" s="56"/>
      <c r="CJ349" s="60"/>
      <c r="CK349" s="56"/>
      <c r="CL349" s="56"/>
      <c r="CM349" s="56"/>
      <c r="CN349" s="56"/>
      <c r="CO349" s="56"/>
      <c r="CP349" s="56"/>
      <c r="CQ349" s="56"/>
      <c r="CR349" s="56"/>
      <c r="CS349" s="56"/>
      <c r="CT349" s="56"/>
      <c r="CU349" s="56"/>
      <c r="CV349" s="56"/>
      <c r="CW349" s="56"/>
      <c r="CX349" s="60"/>
      <c r="CY349" s="56"/>
      <c r="CZ349" s="56"/>
      <c r="DA349" s="56"/>
      <c r="DB349" s="56"/>
      <c r="DC349" s="56"/>
      <c r="DD349" s="56"/>
      <c r="DE349" s="56"/>
      <c r="DF349" s="56"/>
      <c r="DG349" s="56"/>
      <c r="DH349" s="56"/>
      <c r="DI349" s="56"/>
      <c r="DJ349" s="56"/>
      <c r="DK349" s="60"/>
      <c r="DL349" s="60"/>
      <c r="DM349" s="56"/>
      <c r="DN349" s="56"/>
      <c r="DO349" s="56"/>
      <c r="DP349" s="56"/>
      <c r="DQ349" s="56"/>
      <c r="DR349" s="56"/>
      <c r="DS349" s="56"/>
      <c r="DT349" s="56"/>
      <c r="DU349" s="56"/>
      <c r="DV349" s="56"/>
      <c r="DW349" s="56"/>
      <c r="DX349" s="56"/>
      <c r="DY349" s="56"/>
      <c r="DZ349" s="56"/>
      <c r="EA349" s="56"/>
      <c r="EB349" s="56"/>
      <c r="EC349" s="56"/>
      <c r="ED349" s="56"/>
      <c r="EE349" s="56"/>
      <c r="EF349" s="56"/>
    </row>
    <row r="350" spans="44:136" s="80" customFormat="1">
      <c r="AR350" s="118"/>
      <c r="BD350" s="56"/>
      <c r="BE350" s="56"/>
      <c r="BF350" s="56"/>
      <c r="BG350" s="56"/>
      <c r="BH350" s="56"/>
      <c r="BI350" s="56"/>
      <c r="BJ350" s="56"/>
      <c r="BK350" s="56"/>
      <c r="BL350" s="56"/>
      <c r="BM350" s="56"/>
      <c r="BN350" s="56"/>
      <c r="BO350" s="56"/>
      <c r="BP350" s="56"/>
      <c r="BQ350" s="56"/>
      <c r="BR350" s="56"/>
      <c r="BS350" s="56"/>
      <c r="BT350" s="60"/>
      <c r="BU350" s="56"/>
      <c r="BV350" s="56"/>
      <c r="BW350" s="56"/>
      <c r="BX350" s="56"/>
      <c r="BY350" s="56"/>
      <c r="BZ350" s="56"/>
      <c r="CA350" s="56"/>
      <c r="CB350" s="56"/>
      <c r="CC350" s="56"/>
      <c r="CD350" s="56"/>
      <c r="CE350" s="56"/>
      <c r="CF350" s="56"/>
      <c r="CG350" s="56"/>
      <c r="CH350" s="56"/>
      <c r="CI350" s="56"/>
      <c r="CJ350" s="60"/>
      <c r="CK350" s="56"/>
      <c r="CL350" s="56"/>
      <c r="CM350" s="56"/>
      <c r="CN350" s="56"/>
      <c r="CO350" s="56"/>
      <c r="CP350" s="56"/>
      <c r="CQ350" s="56"/>
      <c r="CR350" s="56"/>
      <c r="CS350" s="56"/>
      <c r="CT350" s="56"/>
      <c r="CU350" s="56"/>
      <c r="CV350" s="56"/>
      <c r="CW350" s="56"/>
      <c r="CX350" s="60"/>
      <c r="CY350" s="56"/>
      <c r="CZ350" s="56"/>
      <c r="DA350" s="56"/>
      <c r="DB350" s="56"/>
      <c r="DC350" s="56"/>
      <c r="DD350" s="56"/>
      <c r="DE350" s="56"/>
      <c r="DF350" s="56"/>
      <c r="DG350" s="56"/>
      <c r="DH350" s="56"/>
      <c r="DI350" s="56"/>
      <c r="DJ350" s="56"/>
      <c r="DK350" s="60"/>
      <c r="DL350" s="60"/>
      <c r="DM350" s="56"/>
      <c r="DN350" s="56"/>
      <c r="DO350" s="56"/>
      <c r="DP350" s="56"/>
      <c r="DQ350" s="56"/>
      <c r="DR350" s="56"/>
      <c r="DS350" s="56"/>
      <c r="DT350" s="56"/>
      <c r="DU350" s="56"/>
      <c r="DV350" s="56"/>
      <c r="DW350" s="56"/>
      <c r="DX350" s="56"/>
      <c r="DY350" s="56"/>
      <c r="DZ350" s="56"/>
      <c r="EA350" s="56"/>
      <c r="EB350" s="56"/>
      <c r="EC350" s="56"/>
      <c r="ED350" s="56"/>
      <c r="EE350" s="56"/>
      <c r="EF350" s="56"/>
    </row>
    <row r="351" spans="44:136" s="80" customFormat="1">
      <c r="AR351" s="118"/>
      <c r="BD351" s="56"/>
      <c r="BE351" s="56"/>
      <c r="BF351" s="56"/>
      <c r="BG351" s="56"/>
      <c r="BH351" s="56"/>
      <c r="BI351" s="56"/>
      <c r="BJ351" s="56"/>
      <c r="BK351" s="56"/>
      <c r="BL351" s="56"/>
      <c r="BM351" s="56"/>
      <c r="BN351" s="56"/>
      <c r="BO351" s="56"/>
      <c r="BP351" s="56"/>
      <c r="BQ351" s="56"/>
      <c r="BR351" s="56"/>
      <c r="BS351" s="56"/>
      <c r="BT351" s="60"/>
      <c r="BU351" s="56"/>
      <c r="BV351" s="56"/>
      <c r="BW351" s="56"/>
      <c r="BX351" s="56"/>
      <c r="BY351" s="56"/>
      <c r="BZ351" s="56"/>
      <c r="CA351" s="56"/>
      <c r="CB351" s="56"/>
      <c r="CC351" s="56"/>
      <c r="CD351" s="56"/>
      <c r="CE351" s="56"/>
      <c r="CF351" s="56"/>
      <c r="CG351" s="56"/>
      <c r="CH351" s="56"/>
      <c r="CI351" s="56"/>
      <c r="CJ351" s="60"/>
      <c r="CK351" s="56"/>
      <c r="CL351" s="56"/>
      <c r="CM351" s="56"/>
      <c r="CN351" s="56"/>
      <c r="CO351" s="56"/>
      <c r="CP351" s="56"/>
      <c r="CQ351" s="56"/>
      <c r="CR351" s="56"/>
      <c r="CS351" s="56"/>
      <c r="CT351" s="56"/>
      <c r="CU351" s="56"/>
      <c r="CV351" s="56"/>
      <c r="CW351" s="56"/>
      <c r="CX351" s="60"/>
      <c r="CY351" s="56"/>
      <c r="CZ351" s="56"/>
      <c r="DA351" s="56"/>
      <c r="DB351" s="56"/>
      <c r="DC351" s="56"/>
      <c r="DD351" s="56"/>
      <c r="DE351" s="56"/>
      <c r="DF351" s="56"/>
      <c r="DG351" s="56"/>
      <c r="DH351" s="56"/>
      <c r="DI351" s="56"/>
      <c r="DJ351" s="56"/>
      <c r="DK351" s="60"/>
      <c r="DL351" s="60"/>
      <c r="DM351" s="56"/>
      <c r="DN351" s="56"/>
      <c r="DO351" s="56"/>
      <c r="DP351" s="56"/>
      <c r="DQ351" s="56"/>
      <c r="DR351" s="56"/>
      <c r="DS351" s="56"/>
      <c r="DT351" s="56"/>
      <c r="DU351" s="56"/>
      <c r="DV351" s="56"/>
      <c r="DW351" s="56"/>
      <c r="DX351" s="56"/>
      <c r="DY351" s="56"/>
      <c r="DZ351" s="56"/>
      <c r="EA351" s="56"/>
      <c r="EB351" s="56"/>
      <c r="EC351" s="56"/>
      <c r="ED351" s="56"/>
      <c r="EE351" s="56"/>
      <c r="EF351" s="56"/>
    </row>
    <row r="352" spans="44:136" s="80" customFormat="1">
      <c r="AR352" s="118"/>
      <c r="BD352" s="56"/>
      <c r="BE352" s="56"/>
      <c r="BF352" s="56"/>
      <c r="BG352" s="56"/>
      <c r="BH352" s="56"/>
      <c r="BI352" s="56"/>
      <c r="BJ352" s="56"/>
      <c r="BK352" s="56"/>
      <c r="BL352" s="56"/>
      <c r="BM352" s="56"/>
      <c r="BN352" s="56"/>
      <c r="BO352" s="56"/>
      <c r="BP352" s="56"/>
      <c r="BQ352" s="56"/>
      <c r="BR352" s="56"/>
      <c r="BS352" s="56"/>
      <c r="BT352" s="60"/>
      <c r="BU352" s="56"/>
      <c r="BV352" s="56"/>
      <c r="BW352" s="56"/>
      <c r="BX352" s="56"/>
      <c r="BY352" s="56"/>
      <c r="BZ352" s="56"/>
      <c r="CA352" s="56"/>
      <c r="CB352" s="56"/>
      <c r="CC352" s="56"/>
      <c r="CD352" s="56"/>
      <c r="CE352" s="56"/>
      <c r="CF352" s="56"/>
      <c r="CG352" s="56"/>
      <c r="CH352" s="56"/>
      <c r="CI352" s="56"/>
      <c r="CJ352" s="60"/>
      <c r="CK352" s="56"/>
      <c r="CL352" s="56"/>
      <c r="CM352" s="56"/>
      <c r="CN352" s="56"/>
      <c r="CO352" s="56"/>
      <c r="CP352" s="56"/>
      <c r="CQ352" s="56"/>
      <c r="CR352" s="56"/>
      <c r="CS352" s="56"/>
      <c r="CT352" s="56"/>
      <c r="CU352" s="56"/>
      <c r="CV352" s="56"/>
      <c r="CW352" s="56"/>
      <c r="CX352" s="60"/>
      <c r="CY352" s="56"/>
      <c r="CZ352" s="56"/>
      <c r="DA352" s="56"/>
      <c r="DB352" s="56"/>
      <c r="DC352" s="56"/>
      <c r="DD352" s="56"/>
      <c r="DE352" s="56"/>
      <c r="DF352" s="56"/>
      <c r="DG352" s="56"/>
      <c r="DH352" s="56"/>
      <c r="DI352" s="56"/>
      <c r="DJ352" s="56"/>
      <c r="DK352" s="60"/>
      <c r="DL352" s="60"/>
      <c r="DM352" s="56"/>
      <c r="DN352" s="56"/>
      <c r="DO352" s="56"/>
      <c r="DP352" s="56"/>
      <c r="DQ352" s="56"/>
      <c r="DR352" s="56"/>
      <c r="DS352" s="56"/>
      <c r="DT352" s="56"/>
      <c r="DU352" s="56"/>
      <c r="DV352" s="56"/>
      <c r="DW352" s="56"/>
      <c r="DX352" s="56"/>
      <c r="DY352" s="56"/>
      <c r="DZ352" s="56"/>
      <c r="EA352" s="56"/>
      <c r="EB352" s="56"/>
      <c r="EC352" s="56"/>
      <c r="ED352" s="56"/>
      <c r="EE352" s="56"/>
      <c r="EF352" s="56"/>
    </row>
    <row r="353" spans="44:136" s="80" customFormat="1">
      <c r="AR353" s="118"/>
      <c r="BD353" s="56"/>
      <c r="BE353" s="56"/>
      <c r="BF353" s="56"/>
      <c r="BG353" s="56"/>
      <c r="BH353" s="56"/>
      <c r="BI353" s="56"/>
      <c r="BJ353" s="56"/>
      <c r="BK353" s="56"/>
      <c r="BL353" s="56"/>
      <c r="BM353" s="56"/>
      <c r="BN353" s="56"/>
      <c r="BO353" s="56"/>
      <c r="BP353" s="56"/>
      <c r="BQ353" s="56"/>
      <c r="BR353" s="56"/>
      <c r="BS353" s="56"/>
      <c r="BT353" s="60"/>
      <c r="BU353" s="56"/>
      <c r="BV353" s="56"/>
      <c r="BW353" s="56"/>
      <c r="BX353" s="56"/>
      <c r="BY353" s="56"/>
      <c r="BZ353" s="56"/>
      <c r="CA353" s="56"/>
      <c r="CB353" s="56"/>
      <c r="CC353" s="56"/>
      <c r="CD353" s="56"/>
      <c r="CE353" s="56"/>
      <c r="CF353" s="56"/>
      <c r="CG353" s="56"/>
      <c r="CH353" s="56"/>
      <c r="CI353" s="56"/>
      <c r="CJ353" s="60"/>
      <c r="CK353" s="56"/>
      <c r="CL353" s="56"/>
      <c r="CM353" s="56"/>
      <c r="CN353" s="56"/>
      <c r="CO353" s="56"/>
      <c r="CP353" s="56"/>
      <c r="CQ353" s="56"/>
      <c r="CR353" s="56"/>
      <c r="CS353" s="56"/>
      <c r="CT353" s="56"/>
      <c r="CU353" s="56"/>
      <c r="CV353" s="56"/>
      <c r="CW353" s="56"/>
      <c r="CX353" s="60"/>
      <c r="CY353" s="56"/>
      <c r="CZ353" s="56"/>
      <c r="DA353" s="56"/>
      <c r="DB353" s="56"/>
      <c r="DC353" s="56"/>
      <c r="DD353" s="56"/>
      <c r="DE353" s="56"/>
      <c r="DF353" s="56"/>
      <c r="DG353" s="56"/>
      <c r="DH353" s="56"/>
      <c r="DI353" s="56"/>
      <c r="DJ353" s="56"/>
      <c r="DK353" s="60"/>
      <c r="DL353" s="60"/>
      <c r="DM353" s="56"/>
      <c r="DN353" s="56"/>
      <c r="DO353" s="56"/>
      <c r="DP353" s="56"/>
      <c r="DQ353" s="56"/>
      <c r="DR353" s="56"/>
      <c r="DS353" s="56"/>
      <c r="DT353" s="56"/>
      <c r="DU353" s="56"/>
      <c r="DV353" s="56"/>
      <c r="DW353" s="56"/>
      <c r="DX353" s="56"/>
      <c r="DY353" s="56"/>
      <c r="DZ353" s="56"/>
      <c r="EA353" s="56"/>
      <c r="EB353" s="56"/>
      <c r="EC353" s="56"/>
      <c r="ED353" s="56"/>
      <c r="EE353" s="56"/>
      <c r="EF353" s="56"/>
    </row>
    <row r="354" spans="44:136" s="80" customFormat="1">
      <c r="AR354" s="118"/>
      <c r="BD354" s="56"/>
      <c r="BE354" s="56"/>
      <c r="BF354" s="56"/>
      <c r="BG354" s="56"/>
      <c r="BH354" s="56"/>
      <c r="BI354" s="56"/>
      <c r="BJ354" s="56"/>
      <c r="BK354" s="56"/>
      <c r="BL354" s="56"/>
      <c r="BM354" s="56"/>
      <c r="BN354" s="56"/>
      <c r="BO354" s="56"/>
      <c r="BP354" s="56"/>
      <c r="BQ354" s="56"/>
      <c r="BR354" s="56"/>
      <c r="BS354" s="56"/>
      <c r="BT354" s="60"/>
      <c r="BU354" s="56"/>
      <c r="BV354" s="56"/>
      <c r="BW354" s="56"/>
      <c r="BX354" s="56"/>
      <c r="BY354" s="56"/>
      <c r="BZ354" s="56"/>
      <c r="CA354" s="56"/>
      <c r="CB354" s="56"/>
      <c r="CC354" s="56"/>
      <c r="CD354" s="56"/>
      <c r="CE354" s="56"/>
      <c r="CF354" s="56"/>
      <c r="CG354" s="56"/>
      <c r="CH354" s="56"/>
      <c r="CI354" s="56"/>
      <c r="CJ354" s="60"/>
      <c r="CK354" s="56"/>
      <c r="CL354" s="56"/>
      <c r="CM354" s="56"/>
      <c r="CN354" s="56"/>
      <c r="CO354" s="56"/>
      <c r="CP354" s="56"/>
      <c r="CQ354" s="56"/>
      <c r="CR354" s="56"/>
      <c r="CS354" s="56"/>
      <c r="CT354" s="56"/>
      <c r="CU354" s="56"/>
      <c r="CV354" s="56"/>
      <c r="CW354" s="56"/>
      <c r="CX354" s="60"/>
      <c r="CY354" s="56"/>
      <c r="CZ354" s="56"/>
      <c r="DA354" s="56"/>
      <c r="DB354" s="56"/>
      <c r="DC354" s="56"/>
      <c r="DD354" s="56"/>
      <c r="DE354" s="56"/>
      <c r="DF354" s="56"/>
      <c r="DG354" s="56"/>
      <c r="DH354" s="56"/>
      <c r="DI354" s="56"/>
      <c r="DJ354" s="56"/>
      <c r="DK354" s="60"/>
      <c r="DL354" s="60"/>
      <c r="DM354" s="56"/>
      <c r="DN354" s="56"/>
      <c r="DO354" s="56"/>
      <c r="DP354" s="56"/>
      <c r="DQ354" s="56"/>
      <c r="DR354" s="56"/>
      <c r="DS354" s="56"/>
      <c r="DT354" s="56"/>
      <c r="DU354" s="56"/>
      <c r="DV354" s="56"/>
      <c r="DW354" s="56"/>
      <c r="DX354" s="56"/>
      <c r="DY354" s="56"/>
      <c r="DZ354" s="56"/>
      <c r="EA354" s="56"/>
      <c r="EB354" s="56"/>
      <c r="EC354" s="56"/>
      <c r="ED354" s="56"/>
      <c r="EE354" s="56"/>
      <c r="EF354" s="56"/>
    </row>
    <row r="355" spans="44:136" s="80" customFormat="1">
      <c r="AR355" s="118"/>
      <c r="BD355" s="56"/>
      <c r="BE355" s="56"/>
      <c r="BF355" s="56"/>
      <c r="BG355" s="56"/>
      <c r="BH355" s="56"/>
      <c r="BI355" s="56"/>
      <c r="BJ355" s="56"/>
      <c r="BK355" s="56"/>
      <c r="BL355" s="56"/>
      <c r="BM355" s="56"/>
      <c r="BN355" s="56"/>
      <c r="BO355" s="56"/>
      <c r="BP355" s="56"/>
      <c r="BQ355" s="56"/>
      <c r="BR355" s="56"/>
      <c r="BS355" s="56"/>
      <c r="BT355" s="60"/>
      <c r="BU355" s="56"/>
      <c r="BV355" s="56"/>
      <c r="BW355" s="56"/>
      <c r="BX355" s="56"/>
      <c r="BY355" s="56"/>
      <c r="BZ355" s="56"/>
      <c r="CA355" s="56"/>
      <c r="CB355" s="56"/>
      <c r="CC355" s="56"/>
      <c r="CD355" s="56"/>
      <c r="CE355" s="56"/>
      <c r="CF355" s="56"/>
      <c r="CG355" s="56"/>
      <c r="CH355" s="56"/>
      <c r="CI355" s="56"/>
      <c r="CJ355" s="60"/>
      <c r="CK355" s="56"/>
      <c r="CL355" s="56"/>
      <c r="CM355" s="56"/>
      <c r="CN355" s="56"/>
      <c r="CO355" s="56"/>
      <c r="CP355" s="56"/>
      <c r="CQ355" s="56"/>
      <c r="CR355" s="56"/>
      <c r="CS355" s="56"/>
      <c r="CT355" s="56"/>
      <c r="CU355" s="56"/>
      <c r="CV355" s="56"/>
      <c r="CW355" s="56"/>
      <c r="CX355" s="60"/>
      <c r="CY355" s="56"/>
      <c r="CZ355" s="56"/>
      <c r="DA355" s="56"/>
      <c r="DB355" s="56"/>
      <c r="DC355" s="56"/>
      <c r="DD355" s="56"/>
      <c r="DE355" s="56"/>
      <c r="DF355" s="56"/>
      <c r="DG355" s="56"/>
      <c r="DH355" s="56"/>
      <c r="DI355" s="56"/>
      <c r="DJ355" s="56"/>
      <c r="DK355" s="60"/>
      <c r="DL355" s="60"/>
      <c r="DM355" s="56"/>
      <c r="DN355" s="56"/>
      <c r="DO355" s="56"/>
      <c r="DP355" s="56"/>
      <c r="DQ355" s="56"/>
      <c r="DR355" s="56"/>
      <c r="DS355" s="56"/>
      <c r="DT355" s="56"/>
      <c r="DU355" s="56"/>
      <c r="DV355" s="56"/>
      <c r="DW355" s="56"/>
      <c r="DX355" s="56"/>
      <c r="DY355" s="56"/>
      <c r="DZ355" s="56"/>
      <c r="EA355" s="56"/>
      <c r="EB355" s="56"/>
      <c r="EC355" s="56"/>
      <c r="ED355" s="56"/>
      <c r="EE355" s="56"/>
      <c r="EF355" s="56"/>
    </row>
    <row r="356" spans="44:136" s="80" customFormat="1">
      <c r="AR356" s="118"/>
      <c r="BD356" s="56"/>
      <c r="BE356" s="56"/>
      <c r="BF356" s="56"/>
      <c r="BG356" s="56"/>
      <c r="BH356" s="56"/>
      <c r="BI356" s="56"/>
      <c r="BJ356" s="56"/>
      <c r="BK356" s="56"/>
      <c r="BL356" s="56"/>
      <c r="BM356" s="56"/>
      <c r="BN356" s="56"/>
      <c r="BO356" s="56"/>
      <c r="BP356" s="56"/>
      <c r="BQ356" s="56"/>
      <c r="BR356" s="56"/>
      <c r="BS356" s="56"/>
      <c r="BT356" s="60"/>
      <c r="BU356" s="56"/>
      <c r="BV356" s="56"/>
      <c r="BW356" s="56"/>
      <c r="BX356" s="56"/>
      <c r="BY356" s="56"/>
      <c r="BZ356" s="56"/>
      <c r="CA356" s="56"/>
      <c r="CB356" s="56"/>
      <c r="CC356" s="56"/>
      <c r="CD356" s="56"/>
      <c r="CE356" s="56"/>
      <c r="CF356" s="56"/>
      <c r="CG356" s="56"/>
      <c r="CH356" s="56"/>
      <c r="CI356" s="56"/>
      <c r="CJ356" s="60"/>
      <c r="CK356" s="56"/>
      <c r="CL356" s="56"/>
      <c r="CM356" s="56"/>
      <c r="CN356" s="56"/>
      <c r="CO356" s="56"/>
      <c r="CP356" s="56"/>
      <c r="CQ356" s="56"/>
      <c r="CR356" s="56"/>
      <c r="CS356" s="56"/>
      <c r="CT356" s="56"/>
      <c r="CU356" s="56"/>
      <c r="CV356" s="56"/>
      <c r="CW356" s="56"/>
      <c r="CX356" s="60"/>
      <c r="CY356" s="56"/>
      <c r="CZ356" s="56"/>
      <c r="DA356" s="56"/>
      <c r="DB356" s="56"/>
      <c r="DC356" s="56"/>
      <c r="DD356" s="56"/>
      <c r="DE356" s="56"/>
      <c r="DF356" s="56"/>
      <c r="DG356" s="56"/>
      <c r="DH356" s="56"/>
      <c r="DI356" s="56"/>
      <c r="DJ356" s="56"/>
      <c r="DK356" s="60"/>
      <c r="DL356" s="60"/>
      <c r="DM356" s="56"/>
      <c r="DN356" s="56"/>
      <c r="DO356" s="56"/>
      <c r="DP356" s="56"/>
      <c r="DQ356" s="56"/>
      <c r="DR356" s="56"/>
      <c r="DS356" s="56"/>
      <c r="DT356" s="56"/>
      <c r="DU356" s="56"/>
      <c r="DV356" s="56"/>
      <c r="DW356" s="56"/>
      <c r="DX356" s="56"/>
      <c r="DY356" s="56"/>
      <c r="DZ356" s="56"/>
      <c r="EA356" s="56"/>
      <c r="EB356" s="56"/>
      <c r="EC356" s="56"/>
      <c r="ED356" s="56"/>
      <c r="EE356" s="56"/>
      <c r="EF356" s="56"/>
    </row>
    <row r="357" spans="44:136" s="80" customFormat="1">
      <c r="AR357" s="118"/>
      <c r="BD357" s="56"/>
      <c r="BE357" s="56"/>
      <c r="BF357" s="56"/>
      <c r="BG357" s="56"/>
      <c r="BH357" s="56"/>
      <c r="BI357" s="56"/>
      <c r="BJ357" s="56"/>
      <c r="BK357" s="56"/>
      <c r="BL357" s="56"/>
      <c r="BM357" s="56"/>
      <c r="BN357" s="56"/>
      <c r="BO357" s="56"/>
      <c r="BP357" s="56"/>
      <c r="BQ357" s="56"/>
      <c r="BR357" s="56"/>
      <c r="BS357" s="56"/>
      <c r="BT357" s="60"/>
      <c r="BU357" s="56"/>
      <c r="BV357" s="56"/>
      <c r="BW357" s="56"/>
      <c r="BX357" s="56"/>
      <c r="BY357" s="56"/>
      <c r="BZ357" s="56"/>
      <c r="CA357" s="56"/>
      <c r="CB357" s="56"/>
      <c r="CC357" s="56"/>
      <c r="CD357" s="56"/>
      <c r="CE357" s="56"/>
      <c r="CF357" s="56"/>
      <c r="CG357" s="56"/>
      <c r="CH357" s="56"/>
      <c r="CI357" s="56"/>
      <c r="CJ357" s="60"/>
      <c r="CK357" s="56"/>
      <c r="CL357" s="56"/>
      <c r="CM357" s="56"/>
      <c r="CN357" s="56"/>
      <c r="CO357" s="56"/>
      <c r="CP357" s="56"/>
      <c r="CQ357" s="56"/>
      <c r="CR357" s="56"/>
      <c r="CS357" s="56"/>
      <c r="CT357" s="56"/>
      <c r="CU357" s="56"/>
      <c r="CV357" s="56"/>
      <c r="CW357" s="56"/>
      <c r="CX357" s="60"/>
      <c r="CY357" s="56"/>
      <c r="CZ357" s="56"/>
      <c r="DA357" s="56"/>
      <c r="DB357" s="56"/>
      <c r="DC357" s="56"/>
      <c r="DD357" s="56"/>
      <c r="DE357" s="56"/>
      <c r="DF357" s="56"/>
      <c r="DG357" s="56"/>
      <c r="DH357" s="56"/>
      <c r="DI357" s="56"/>
      <c r="DJ357" s="56"/>
      <c r="DK357" s="60"/>
      <c r="DL357" s="60"/>
      <c r="DM357" s="56"/>
      <c r="DN357" s="56"/>
      <c r="DO357" s="56"/>
      <c r="DP357" s="56"/>
      <c r="DQ357" s="56"/>
      <c r="DR357" s="56"/>
      <c r="DS357" s="56"/>
      <c r="DT357" s="56"/>
      <c r="DU357" s="56"/>
      <c r="DV357" s="56"/>
      <c r="DW357" s="56"/>
      <c r="DX357" s="56"/>
      <c r="DY357" s="56"/>
      <c r="DZ357" s="56"/>
      <c r="EA357" s="56"/>
      <c r="EB357" s="56"/>
      <c r="EC357" s="56"/>
      <c r="ED357" s="56"/>
      <c r="EE357" s="56"/>
      <c r="EF357" s="56"/>
    </row>
    <row r="358" spans="44:136" s="80" customFormat="1">
      <c r="AR358" s="118"/>
      <c r="BD358" s="56"/>
      <c r="BE358" s="56"/>
      <c r="BF358" s="56"/>
      <c r="BG358" s="56"/>
      <c r="BH358" s="56"/>
      <c r="BI358" s="56"/>
      <c r="BJ358" s="56"/>
      <c r="BK358" s="56"/>
      <c r="BL358" s="56"/>
      <c r="BM358" s="56"/>
      <c r="BN358" s="56"/>
      <c r="BO358" s="56"/>
      <c r="BP358" s="56"/>
      <c r="BQ358" s="56"/>
      <c r="BR358" s="56"/>
      <c r="BS358" s="56"/>
      <c r="BT358" s="60"/>
      <c r="BU358" s="56"/>
      <c r="BV358" s="56"/>
      <c r="BW358" s="56"/>
      <c r="BX358" s="56"/>
      <c r="BY358" s="56"/>
      <c r="BZ358" s="56"/>
      <c r="CA358" s="56"/>
      <c r="CB358" s="56"/>
      <c r="CC358" s="56"/>
      <c r="CD358" s="56"/>
      <c r="CE358" s="56"/>
      <c r="CF358" s="56"/>
      <c r="CG358" s="56"/>
      <c r="CH358" s="56"/>
      <c r="CI358" s="56"/>
      <c r="CJ358" s="60"/>
      <c r="CK358" s="56"/>
      <c r="CL358" s="56"/>
      <c r="CM358" s="56"/>
      <c r="CN358" s="56"/>
      <c r="CO358" s="56"/>
      <c r="CP358" s="56"/>
      <c r="CQ358" s="56"/>
      <c r="CR358" s="56"/>
      <c r="CS358" s="56"/>
      <c r="CT358" s="56"/>
      <c r="CU358" s="56"/>
      <c r="CV358" s="56"/>
      <c r="CW358" s="56"/>
      <c r="CX358" s="60"/>
      <c r="CY358" s="56"/>
      <c r="CZ358" s="56"/>
      <c r="DA358" s="56"/>
      <c r="DB358" s="56"/>
      <c r="DC358" s="56"/>
      <c r="DD358" s="56"/>
      <c r="DE358" s="56"/>
      <c r="DF358" s="56"/>
      <c r="DG358" s="56"/>
      <c r="DH358" s="56"/>
      <c r="DI358" s="56"/>
      <c r="DJ358" s="56"/>
      <c r="DK358" s="60"/>
      <c r="DL358" s="60"/>
      <c r="DM358" s="56"/>
      <c r="DN358" s="56"/>
      <c r="DO358" s="56"/>
      <c r="DP358" s="56"/>
      <c r="DQ358" s="56"/>
      <c r="DR358" s="56"/>
      <c r="DS358" s="56"/>
      <c r="DT358" s="56"/>
      <c r="DU358" s="56"/>
      <c r="DV358" s="56"/>
      <c r="DW358" s="56"/>
      <c r="DX358" s="56"/>
      <c r="DY358" s="56"/>
      <c r="DZ358" s="56"/>
      <c r="EA358" s="56"/>
      <c r="EB358" s="56"/>
      <c r="EC358" s="56"/>
      <c r="ED358" s="56"/>
      <c r="EE358" s="56"/>
      <c r="EF358" s="56"/>
    </row>
    <row r="359" spans="44:136" s="80" customFormat="1">
      <c r="AR359" s="118"/>
      <c r="BD359" s="56"/>
      <c r="BE359" s="56"/>
      <c r="BF359" s="56"/>
      <c r="BG359" s="56"/>
      <c r="BH359" s="56"/>
      <c r="BI359" s="56"/>
      <c r="BJ359" s="56"/>
      <c r="BK359" s="56"/>
      <c r="BL359" s="56"/>
      <c r="BM359" s="56"/>
      <c r="BN359" s="56"/>
      <c r="BO359" s="56"/>
      <c r="BP359" s="56"/>
      <c r="BQ359" s="56"/>
      <c r="BR359" s="56"/>
      <c r="BS359" s="56"/>
      <c r="BT359" s="60"/>
      <c r="BU359" s="56"/>
      <c r="BV359" s="56"/>
      <c r="BW359" s="56"/>
      <c r="BX359" s="56"/>
      <c r="BY359" s="56"/>
      <c r="BZ359" s="56"/>
      <c r="CA359" s="56"/>
      <c r="CB359" s="56"/>
      <c r="CC359" s="56"/>
      <c r="CD359" s="56"/>
      <c r="CE359" s="56"/>
      <c r="CF359" s="56"/>
      <c r="CG359" s="56"/>
      <c r="CH359" s="56"/>
      <c r="CI359" s="56"/>
      <c r="CJ359" s="60"/>
      <c r="CK359" s="56"/>
      <c r="CL359" s="56"/>
      <c r="CM359" s="56"/>
      <c r="CN359" s="56"/>
      <c r="CO359" s="56"/>
      <c r="CP359" s="56"/>
      <c r="CQ359" s="56"/>
      <c r="CR359" s="56"/>
      <c r="CS359" s="56"/>
      <c r="CT359" s="56"/>
      <c r="CU359" s="56"/>
      <c r="CV359" s="56"/>
      <c r="CW359" s="56"/>
      <c r="CX359" s="60"/>
      <c r="CY359" s="56"/>
      <c r="CZ359" s="56"/>
      <c r="DA359" s="56"/>
      <c r="DB359" s="56"/>
      <c r="DC359" s="56"/>
      <c r="DD359" s="56"/>
      <c r="DE359" s="56"/>
      <c r="DF359" s="56"/>
      <c r="DG359" s="56"/>
      <c r="DH359" s="56"/>
      <c r="DI359" s="56"/>
      <c r="DJ359" s="56"/>
      <c r="DK359" s="60"/>
      <c r="DL359" s="60"/>
      <c r="DM359" s="56"/>
      <c r="DN359" s="56"/>
      <c r="DO359" s="56"/>
      <c r="DP359" s="56"/>
      <c r="DQ359" s="56"/>
      <c r="DR359" s="56"/>
      <c r="DS359" s="56"/>
      <c r="DT359" s="56"/>
      <c r="DU359" s="56"/>
      <c r="DV359" s="56"/>
      <c r="DW359" s="56"/>
      <c r="DX359" s="56"/>
      <c r="DY359" s="56"/>
      <c r="DZ359" s="56"/>
      <c r="EA359" s="56"/>
      <c r="EB359" s="56"/>
      <c r="EC359" s="56"/>
      <c r="ED359" s="56"/>
      <c r="EE359" s="56"/>
      <c r="EF359" s="56"/>
    </row>
    <row r="360" spans="44:136" s="80" customFormat="1">
      <c r="AR360" s="118"/>
      <c r="BD360" s="56"/>
      <c r="BE360" s="56"/>
      <c r="BF360" s="56"/>
      <c r="BG360" s="56"/>
      <c r="BH360" s="56"/>
      <c r="BI360" s="56"/>
      <c r="BJ360" s="56"/>
      <c r="BK360" s="56"/>
      <c r="BL360" s="56"/>
      <c r="BM360" s="56"/>
      <c r="BN360" s="56"/>
      <c r="BO360" s="56"/>
      <c r="BP360" s="56"/>
      <c r="BQ360" s="56"/>
      <c r="BR360" s="56"/>
      <c r="BS360" s="56"/>
      <c r="BT360" s="60"/>
      <c r="BU360" s="56"/>
      <c r="BV360" s="56"/>
      <c r="BW360" s="56"/>
      <c r="BX360" s="56"/>
      <c r="BY360" s="56"/>
      <c r="BZ360" s="56"/>
      <c r="CA360" s="56"/>
      <c r="CB360" s="56"/>
      <c r="CC360" s="56"/>
      <c r="CD360" s="56"/>
      <c r="CE360" s="56"/>
      <c r="CF360" s="56"/>
      <c r="CG360" s="56"/>
      <c r="CH360" s="56"/>
      <c r="CI360" s="56"/>
      <c r="CJ360" s="60"/>
      <c r="CK360" s="56"/>
      <c r="CL360" s="56"/>
      <c r="CM360" s="56"/>
      <c r="CN360" s="56"/>
      <c r="CO360" s="56"/>
      <c r="CP360" s="56"/>
      <c r="CQ360" s="56"/>
      <c r="CR360" s="56"/>
      <c r="CS360" s="56"/>
      <c r="CT360" s="56"/>
      <c r="CU360" s="56"/>
      <c r="CV360" s="56"/>
      <c r="CW360" s="56"/>
      <c r="CX360" s="60"/>
      <c r="CY360" s="56"/>
      <c r="CZ360" s="56"/>
      <c r="DA360" s="56"/>
      <c r="DB360" s="56"/>
      <c r="DC360" s="56"/>
      <c r="DD360" s="56"/>
      <c r="DE360" s="56"/>
      <c r="DF360" s="56"/>
      <c r="DG360" s="56"/>
      <c r="DH360" s="56"/>
      <c r="DI360" s="56"/>
      <c r="DJ360" s="56"/>
      <c r="DK360" s="60"/>
      <c r="DL360" s="60"/>
      <c r="DM360" s="56"/>
      <c r="DN360" s="56"/>
      <c r="DO360" s="56"/>
      <c r="DP360" s="56"/>
      <c r="DQ360" s="56"/>
      <c r="DR360" s="56"/>
      <c r="DS360" s="56"/>
      <c r="DT360" s="56"/>
      <c r="DU360" s="56"/>
      <c r="DV360" s="56"/>
      <c r="DW360" s="56"/>
      <c r="DX360" s="56"/>
      <c r="DY360" s="56"/>
      <c r="DZ360" s="56"/>
      <c r="EA360" s="56"/>
      <c r="EB360" s="56"/>
      <c r="EC360" s="56"/>
      <c r="ED360" s="56"/>
      <c r="EE360" s="56"/>
      <c r="EF360" s="56"/>
    </row>
    <row r="361" spans="44:136" s="80" customFormat="1">
      <c r="AR361" s="118"/>
      <c r="BD361" s="56"/>
      <c r="BE361" s="56"/>
      <c r="BF361" s="56"/>
      <c r="BG361" s="56"/>
      <c r="BH361" s="56"/>
      <c r="BI361" s="56"/>
      <c r="BJ361" s="56"/>
      <c r="BK361" s="56"/>
      <c r="BL361" s="56"/>
      <c r="BM361" s="56"/>
      <c r="BN361" s="56"/>
      <c r="BO361" s="56"/>
      <c r="BP361" s="56"/>
      <c r="BQ361" s="56"/>
      <c r="BR361" s="56"/>
      <c r="BS361" s="56"/>
      <c r="BT361" s="60"/>
      <c r="BU361" s="56"/>
      <c r="BV361" s="56"/>
      <c r="BW361" s="56"/>
      <c r="BX361" s="56"/>
      <c r="BY361" s="56"/>
      <c r="BZ361" s="56"/>
      <c r="CA361" s="56"/>
      <c r="CB361" s="56"/>
      <c r="CC361" s="56"/>
      <c r="CD361" s="56"/>
      <c r="CE361" s="56"/>
      <c r="CF361" s="56"/>
      <c r="CG361" s="56"/>
      <c r="CH361" s="56"/>
      <c r="CI361" s="56"/>
      <c r="CJ361" s="60"/>
      <c r="CK361" s="56"/>
      <c r="CL361" s="56"/>
      <c r="CM361" s="56"/>
      <c r="CN361" s="56"/>
      <c r="CO361" s="56"/>
      <c r="CP361" s="56"/>
      <c r="CQ361" s="56"/>
      <c r="CR361" s="56"/>
      <c r="CS361" s="56"/>
      <c r="CT361" s="56"/>
      <c r="CU361" s="56"/>
      <c r="CV361" s="56"/>
      <c r="CW361" s="56"/>
      <c r="CX361" s="60"/>
      <c r="CY361" s="56"/>
      <c r="CZ361" s="56"/>
      <c r="DA361" s="56"/>
      <c r="DB361" s="56"/>
      <c r="DC361" s="56"/>
      <c r="DD361" s="56"/>
      <c r="DE361" s="56"/>
      <c r="DF361" s="56"/>
      <c r="DG361" s="56"/>
      <c r="DH361" s="56"/>
      <c r="DI361" s="56"/>
      <c r="DJ361" s="56"/>
      <c r="DK361" s="60"/>
      <c r="DL361" s="60"/>
      <c r="DM361" s="56"/>
      <c r="DN361" s="56"/>
      <c r="DO361" s="56"/>
      <c r="DP361" s="56"/>
      <c r="DQ361" s="56"/>
      <c r="DR361" s="56"/>
      <c r="DS361" s="56"/>
      <c r="DT361" s="56"/>
      <c r="DU361" s="56"/>
      <c r="DV361" s="56"/>
      <c r="DW361" s="56"/>
      <c r="DX361" s="56"/>
      <c r="DY361" s="56"/>
      <c r="DZ361" s="56"/>
      <c r="EA361" s="56"/>
      <c r="EB361" s="56"/>
      <c r="EC361" s="56"/>
      <c r="ED361" s="56"/>
      <c r="EE361" s="56"/>
      <c r="EF361" s="56"/>
    </row>
    <row r="362" spans="44:136" s="80" customFormat="1">
      <c r="AR362" s="118"/>
      <c r="BD362" s="56"/>
      <c r="BE362" s="56"/>
      <c r="BF362" s="56"/>
      <c r="BG362" s="56"/>
      <c r="BH362" s="56"/>
      <c r="BI362" s="56"/>
      <c r="BJ362" s="56"/>
      <c r="BK362" s="56"/>
      <c r="BL362" s="56"/>
      <c r="BM362" s="56"/>
      <c r="BN362" s="56"/>
      <c r="BO362" s="56"/>
      <c r="BP362" s="56"/>
      <c r="BQ362" s="56"/>
      <c r="BR362" s="56"/>
      <c r="BS362" s="56"/>
      <c r="BT362" s="60"/>
      <c r="BU362" s="56"/>
      <c r="BV362" s="56"/>
      <c r="BW362" s="56"/>
      <c r="BX362" s="56"/>
      <c r="BY362" s="56"/>
      <c r="BZ362" s="56"/>
      <c r="CA362" s="56"/>
      <c r="CB362" s="56"/>
      <c r="CC362" s="56"/>
      <c r="CD362" s="56"/>
      <c r="CE362" s="56"/>
      <c r="CF362" s="56"/>
      <c r="CG362" s="56"/>
      <c r="CH362" s="56"/>
      <c r="CI362" s="56"/>
      <c r="CJ362" s="60"/>
      <c r="CK362" s="56"/>
      <c r="CL362" s="56"/>
      <c r="CM362" s="56"/>
      <c r="CN362" s="56"/>
      <c r="CO362" s="56"/>
      <c r="CP362" s="56"/>
      <c r="CQ362" s="56"/>
      <c r="CR362" s="56"/>
      <c r="CS362" s="56"/>
      <c r="CT362" s="56"/>
      <c r="CU362" s="56"/>
      <c r="CV362" s="56"/>
      <c r="CW362" s="56"/>
      <c r="CX362" s="60"/>
      <c r="CY362" s="56"/>
      <c r="CZ362" s="56"/>
      <c r="DA362" s="56"/>
      <c r="DB362" s="56"/>
      <c r="DC362" s="56"/>
      <c r="DD362" s="56"/>
      <c r="DE362" s="56"/>
      <c r="DF362" s="56"/>
      <c r="DG362" s="56"/>
      <c r="DH362" s="56"/>
      <c r="DI362" s="56"/>
      <c r="DJ362" s="56"/>
      <c r="DK362" s="60"/>
      <c r="DL362" s="60"/>
      <c r="DM362" s="56"/>
      <c r="DN362" s="56"/>
      <c r="DO362" s="56"/>
      <c r="DP362" s="56"/>
      <c r="DQ362" s="56"/>
      <c r="DR362" s="56"/>
      <c r="DS362" s="56"/>
      <c r="DT362" s="56"/>
      <c r="DU362" s="56"/>
      <c r="DV362" s="56"/>
      <c r="DW362" s="56"/>
      <c r="DX362" s="56"/>
      <c r="DY362" s="56"/>
      <c r="DZ362" s="56"/>
      <c r="EA362" s="56"/>
      <c r="EB362" s="56"/>
      <c r="EC362" s="56"/>
      <c r="ED362" s="56"/>
      <c r="EE362" s="56"/>
      <c r="EF362" s="56"/>
    </row>
    <row r="363" spans="44:136" s="80" customFormat="1">
      <c r="AR363" s="118"/>
      <c r="BD363" s="56"/>
      <c r="BE363" s="56"/>
      <c r="BF363" s="56"/>
      <c r="BG363" s="56"/>
      <c r="BH363" s="56"/>
      <c r="BI363" s="56"/>
      <c r="BJ363" s="56"/>
      <c r="BK363" s="56"/>
      <c r="BL363" s="56"/>
      <c r="BM363" s="56"/>
      <c r="BN363" s="56"/>
      <c r="BO363" s="56"/>
      <c r="BP363" s="56"/>
      <c r="BQ363" s="56"/>
      <c r="BR363" s="56"/>
      <c r="BS363" s="56"/>
      <c r="BT363" s="60"/>
      <c r="BU363" s="56"/>
      <c r="BV363" s="56"/>
      <c r="BW363" s="56"/>
      <c r="BX363" s="56"/>
      <c r="BY363" s="56"/>
      <c r="BZ363" s="56"/>
      <c r="CA363" s="56"/>
      <c r="CB363" s="56"/>
      <c r="CC363" s="56"/>
      <c r="CD363" s="56"/>
      <c r="CE363" s="56"/>
      <c r="CF363" s="56"/>
      <c r="CG363" s="56"/>
      <c r="CH363" s="56"/>
      <c r="CI363" s="56"/>
      <c r="CJ363" s="60"/>
      <c r="CK363" s="56"/>
      <c r="CL363" s="56"/>
      <c r="CM363" s="56"/>
      <c r="CN363" s="56"/>
      <c r="CO363" s="56"/>
      <c r="CP363" s="56"/>
      <c r="CQ363" s="56"/>
      <c r="CR363" s="56"/>
      <c r="CS363" s="56"/>
      <c r="CT363" s="56"/>
      <c r="CU363" s="56"/>
      <c r="CV363" s="56"/>
      <c r="CW363" s="56"/>
      <c r="CX363" s="60"/>
      <c r="CY363" s="56"/>
      <c r="CZ363" s="56"/>
      <c r="DA363" s="56"/>
      <c r="DB363" s="56"/>
      <c r="DC363" s="56"/>
      <c r="DD363" s="56"/>
      <c r="DE363" s="56"/>
      <c r="DF363" s="56"/>
      <c r="DG363" s="56"/>
      <c r="DH363" s="56"/>
      <c r="DI363" s="56"/>
      <c r="DJ363" s="56"/>
      <c r="DK363" s="60"/>
      <c r="DL363" s="60"/>
      <c r="DM363" s="56"/>
      <c r="DN363" s="56"/>
      <c r="DO363" s="56"/>
      <c r="DP363" s="56"/>
      <c r="DQ363" s="56"/>
      <c r="DR363" s="56"/>
      <c r="DS363" s="56"/>
      <c r="DT363" s="56"/>
      <c r="DU363" s="56"/>
      <c r="DV363" s="56"/>
      <c r="DW363" s="56"/>
      <c r="DX363" s="56"/>
      <c r="DY363" s="56"/>
      <c r="DZ363" s="56"/>
      <c r="EA363" s="56"/>
      <c r="EB363" s="56"/>
      <c r="EC363" s="56"/>
      <c r="ED363" s="56"/>
      <c r="EE363" s="56"/>
      <c r="EF363" s="56"/>
    </row>
    <row r="364" spans="44:136" s="80" customFormat="1">
      <c r="AR364" s="118"/>
      <c r="BD364" s="56"/>
      <c r="BE364" s="56"/>
      <c r="BF364" s="56"/>
      <c r="BG364" s="56"/>
      <c r="BH364" s="56"/>
      <c r="BI364" s="56"/>
      <c r="BJ364" s="56"/>
      <c r="BK364" s="56"/>
      <c r="BL364" s="56"/>
      <c r="BM364" s="56"/>
      <c r="BN364" s="56"/>
      <c r="BO364" s="56"/>
      <c r="BP364" s="56"/>
      <c r="BQ364" s="56"/>
      <c r="BR364" s="56"/>
      <c r="BS364" s="56"/>
      <c r="BT364" s="60"/>
      <c r="BU364" s="56"/>
      <c r="BV364" s="56"/>
      <c r="BW364" s="56"/>
      <c r="BX364" s="56"/>
      <c r="BY364" s="56"/>
      <c r="BZ364" s="56"/>
      <c r="CA364" s="56"/>
      <c r="CB364" s="56"/>
      <c r="CC364" s="56"/>
      <c r="CD364" s="56"/>
      <c r="CE364" s="56"/>
      <c r="CF364" s="56"/>
      <c r="CG364" s="56"/>
      <c r="CH364" s="56"/>
      <c r="CI364" s="56"/>
      <c r="CJ364" s="60"/>
      <c r="CK364" s="56"/>
      <c r="CL364" s="56"/>
      <c r="CM364" s="56"/>
      <c r="CN364" s="56"/>
      <c r="CO364" s="56"/>
      <c r="CP364" s="56"/>
      <c r="CQ364" s="56"/>
      <c r="CR364" s="56"/>
      <c r="CS364" s="56"/>
      <c r="CT364" s="56"/>
      <c r="CU364" s="56"/>
      <c r="CV364" s="56"/>
      <c r="CW364" s="56"/>
      <c r="CX364" s="60"/>
      <c r="CY364" s="56"/>
      <c r="CZ364" s="56"/>
      <c r="DA364" s="56"/>
      <c r="DB364" s="56"/>
      <c r="DC364" s="56"/>
      <c r="DD364" s="56"/>
      <c r="DE364" s="56"/>
      <c r="DF364" s="56"/>
      <c r="DG364" s="56"/>
      <c r="DH364" s="56"/>
      <c r="DI364" s="56"/>
      <c r="DJ364" s="56"/>
      <c r="DK364" s="60"/>
      <c r="DL364" s="60"/>
      <c r="DM364" s="56"/>
      <c r="DN364" s="56"/>
      <c r="DO364" s="56"/>
      <c r="DP364" s="56"/>
      <c r="DQ364" s="56"/>
      <c r="DR364" s="56"/>
      <c r="DS364" s="56"/>
      <c r="DT364" s="56"/>
      <c r="DU364" s="56"/>
      <c r="DV364" s="56"/>
      <c r="DW364" s="56"/>
      <c r="DX364" s="56"/>
      <c r="DY364" s="56"/>
      <c r="DZ364" s="56"/>
      <c r="EA364" s="56"/>
      <c r="EB364" s="56"/>
      <c r="EC364" s="56"/>
      <c r="ED364" s="56"/>
      <c r="EE364" s="56"/>
      <c r="EF364" s="56"/>
    </row>
    <row r="365" spans="44:136" s="80" customFormat="1">
      <c r="AR365" s="118"/>
      <c r="BD365" s="56"/>
      <c r="BE365" s="56"/>
      <c r="BF365" s="56"/>
      <c r="BG365" s="56"/>
      <c r="BH365" s="56"/>
      <c r="BI365" s="56"/>
      <c r="BJ365" s="56"/>
      <c r="BK365" s="56"/>
      <c r="BL365" s="56"/>
      <c r="BM365" s="56"/>
      <c r="BN365" s="56"/>
      <c r="BO365" s="56"/>
      <c r="BP365" s="56"/>
      <c r="BQ365" s="56"/>
      <c r="BR365" s="56"/>
      <c r="BS365" s="56"/>
      <c r="BT365" s="60"/>
      <c r="BU365" s="56"/>
      <c r="BV365" s="56"/>
      <c r="BW365" s="56"/>
      <c r="BX365" s="56"/>
      <c r="BY365" s="56"/>
      <c r="BZ365" s="56"/>
      <c r="CA365" s="56"/>
      <c r="CB365" s="56"/>
      <c r="CC365" s="56"/>
      <c r="CD365" s="56"/>
      <c r="CE365" s="56"/>
      <c r="CF365" s="56"/>
      <c r="CG365" s="56"/>
      <c r="CH365" s="56"/>
      <c r="CI365" s="56"/>
      <c r="CJ365" s="60"/>
      <c r="CK365" s="56"/>
      <c r="CL365" s="56"/>
      <c r="CM365" s="56"/>
      <c r="CN365" s="56"/>
      <c r="CO365" s="56"/>
      <c r="CP365" s="56"/>
      <c r="CQ365" s="56"/>
      <c r="CR365" s="56"/>
      <c r="CS365" s="56"/>
      <c r="CT365" s="56"/>
      <c r="CU365" s="56"/>
      <c r="CV365" s="56"/>
      <c r="CW365" s="56"/>
      <c r="CX365" s="60"/>
      <c r="CY365" s="56"/>
      <c r="CZ365" s="56"/>
      <c r="DA365" s="56"/>
      <c r="DB365" s="56"/>
      <c r="DC365" s="56"/>
      <c r="DD365" s="56"/>
      <c r="DE365" s="56"/>
      <c r="DF365" s="56"/>
      <c r="DG365" s="56"/>
      <c r="DH365" s="56"/>
      <c r="DI365" s="56"/>
      <c r="DJ365" s="56"/>
      <c r="DK365" s="60"/>
      <c r="DL365" s="60"/>
      <c r="DM365" s="56"/>
      <c r="DN365" s="56"/>
      <c r="DO365" s="56"/>
      <c r="DP365" s="56"/>
      <c r="DQ365" s="56"/>
      <c r="DR365" s="56"/>
      <c r="DS365" s="56"/>
      <c r="DT365" s="56"/>
      <c r="DU365" s="56"/>
      <c r="DV365" s="56"/>
      <c r="DW365" s="56"/>
      <c r="DX365" s="56"/>
      <c r="DY365" s="56"/>
      <c r="DZ365" s="56"/>
      <c r="EA365" s="56"/>
      <c r="EB365" s="56"/>
      <c r="EC365" s="56"/>
      <c r="ED365" s="56"/>
      <c r="EE365" s="56"/>
      <c r="EF365" s="56"/>
    </row>
    <row r="366" spans="44:136" s="80" customFormat="1">
      <c r="AR366" s="118"/>
      <c r="BD366" s="56"/>
      <c r="BE366" s="56"/>
      <c r="BF366" s="56"/>
      <c r="BG366" s="56"/>
      <c r="BH366" s="56"/>
      <c r="BI366" s="56"/>
      <c r="BJ366" s="56"/>
      <c r="BK366" s="56"/>
      <c r="BL366" s="56"/>
      <c r="BM366" s="56"/>
      <c r="BN366" s="56"/>
      <c r="BO366" s="56"/>
      <c r="BP366" s="56"/>
      <c r="BQ366" s="56"/>
      <c r="BR366" s="56"/>
      <c r="BS366" s="56"/>
      <c r="BT366" s="60"/>
      <c r="BU366" s="56"/>
      <c r="BV366" s="56"/>
      <c r="BW366" s="56"/>
      <c r="BX366" s="56"/>
      <c r="BY366" s="56"/>
      <c r="BZ366" s="56"/>
      <c r="CA366" s="56"/>
      <c r="CB366" s="56"/>
      <c r="CC366" s="56"/>
      <c r="CD366" s="56"/>
      <c r="CE366" s="56"/>
      <c r="CF366" s="56"/>
      <c r="CG366" s="56"/>
      <c r="CH366" s="56"/>
      <c r="CI366" s="56"/>
      <c r="CJ366" s="60"/>
      <c r="CK366" s="56"/>
      <c r="CL366" s="56"/>
      <c r="CM366" s="56"/>
      <c r="CN366" s="56"/>
      <c r="CO366" s="56"/>
      <c r="CP366" s="56"/>
      <c r="CQ366" s="56"/>
      <c r="CR366" s="56"/>
      <c r="CS366" s="56"/>
      <c r="CT366" s="56"/>
      <c r="CU366" s="56"/>
      <c r="CV366" s="56"/>
      <c r="CW366" s="56"/>
      <c r="CX366" s="60"/>
      <c r="CY366" s="56"/>
      <c r="CZ366" s="56"/>
      <c r="DA366" s="56"/>
      <c r="DB366" s="56"/>
      <c r="DC366" s="56"/>
      <c r="DD366" s="56"/>
      <c r="DE366" s="56"/>
      <c r="DF366" s="56"/>
      <c r="DG366" s="56"/>
      <c r="DH366" s="56"/>
      <c r="DI366" s="56"/>
      <c r="DJ366" s="56"/>
      <c r="DK366" s="60"/>
      <c r="DL366" s="60"/>
      <c r="DM366" s="56"/>
      <c r="DN366" s="56"/>
      <c r="DO366" s="56"/>
      <c r="DP366" s="56"/>
      <c r="DQ366" s="56"/>
      <c r="DR366" s="56"/>
      <c r="DS366" s="56"/>
      <c r="DT366" s="56"/>
      <c r="DU366" s="56"/>
      <c r="DV366" s="56"/>
      <c r="DW366" s="56"/>
      <c r="DX366" s="56"/>
      <c r="DY366" s="56"/>
      <c r="DZ366" s="56"/>
      <c r="EA366" s="56"/>
      <c r="EB366" s="56"/>
      <c r="EC366" s="56"/>
      <c r="ED366" s="56"/>
      <c r="EE366" s="56"/>
      <c r="EF366" s="56"/>
    </row>
    <row r="367" spans="44:136" s="80" customFormat="1">
      <c r="AR367" s="118"/>
      <c r="BD367" s="56"/>
      <c r="BE367" s="56"/>
      <c r="BF367" s="56"/>
      <c r="BG367" s="56"/>
      <c r="BH367" s="56"/>
      <c r="BI367" s="56"/>
      <c r="BJ367" s="56"/>
      <c r="BK367" s="56"/>
      <c r="BL367" s="56"/>
      <c r="BM367" s="56"/>
      <c r="BN367" s="56"/>
      <c r="BO367" s="56"/>
      <c r="BP367" s="56"/>
      <c r="BQ367" s="56"/>
      <c r="BR367" s="56"/>
      <c r="BS367" s="56"/>
      <c r="BT367" s="60"/>
      <c r="BU367" s="56"/>
      <c r="BV367" s="56"/>
      <c r="BW367" s="56"/>
      <c r="BX367" s="56"/>
      <c r="BY367" s="56"/>
      <c r="BZ367" s="56"/>
      <c r="CA367" s="56"/>
      <c r="CB367" s="56"/>
      <c r="CC367" s="56"/>
      <c r="CD367" s="56"/>
      <c r="CE367" s="56"/>
      <c r="CF367" s="56"/>
      <c r="CG367" s="56"/>
      <c r="CH367" s="56"/>
      <c r="CI367" s="56"/>
      <c r="CJ367" s="60"/>
      <c r="CK367" s="56"/>
      <c r="CL367" s="56"/>
      <c r="CM367" s="56"/>
      <c r="CN367" s="56"/>
      <c r="CO367" s="56"/>
      <c r="CP367" s="56"/>
      <c r="CQ367" s="56"/>
      <c r="CR367" s="56"/>
      <c r="CS367" s="56"/>
      <c r="CT367" s="56"/>
      <c r="CU367" s="56"/>
      <c r="CV367" s="56"/>
      <c r="CW367" s="56"/>
      <c r="CX367" s="60"/>
      <c r="CY367" s="56"/>
      <c r="CZ367" s="56"/>
      <c r="DA367" s="56"/>
      <c r="DB367" s="56"/>
      <c r="DC367" s="56"/>
      <c r="DD367" s="56"/>
      <c r="DE367" s="56"/>
      <c r="DF367" s="56"/>
      <c r="DG367" s="56"/>
      <c r="DH367" s="56"/>
      <c r="DI367" s="56"/>
      <c r="DJ367" s="56"/>
      <c r="DK367" s="60"/>
      <c r="DL367" s="60"/>
      <c r="DM367" s="56"/>
      <c r="DN367" s="56"/>
      <c r="DO367" s="56"/>
      <c r="DP367" s="56"/>
      <c r="DQ367" s="56"/>
      <c r="DR367" s="56"/>
      <c r="DS367" s="56"/>
      <c r="DT367" s="56"/>
      <c r="DU367" s="56"/>
      <c r="DV367" s="56"/>
      <c r="DW367" s="56"/>
      <c r="DX367" s="56"/>
      <c r="DY367" s="56"/>
      <c r="DZ367" s="56"/>
      <c r="EA367" s="56"/>
      <c r="EB367" s="56"/>
      <c r="EC367" s="56"/>
      <c r="ED367" s="56"/>
      <c r="EE367" s="56"/>
      <c r="EF367" s="56"/>
    </row>
    <row r="368" spans="44:136" s="80" customFormat="1">
      <c r="AR368" s="118"/>
      <c r="BD368" s="56"/>
      <c r="BE368" s="56"/>
      <c r="BF368" s="56"/>
      <c r="BG368" s="56"/>
      <c r="BH368" s="56"/>
      <c r="BI368" s="56"/>
      <c r="BJ368" s="56"/>
      <c r="BK368" s="56"/>
      <c r="BL368" s="56"/>
      <c r="BM368" s="56"/>
      <c r="BN368" s="56"/>
      <c r="BO368" s="56"/>
      <c r="BP368" s="56"/>
      <c r="BQ368" s="56"/>
      <c r="BR368" s="56"/>
      <c r="BS368" s="56"/>
      <c r="BT368" s="60"/>
      <c r="BU368" s="56"/>
      <c r="BV368" s="56"/>
      <c r="BW368" s="56"/>
      <c r="BX368" s="56"/>
      <c r="BY368" s="56"/>
      <c r="BZ368" s="56"/>
      <c r="CA368" s="56"/>
      <c r="CB368" s="56"/>
      <c r="CC368" s="56"/>
      <c r="CD368" s="56"/>
      <c r="CE368" s="56"/>
      <c r="CF368" s="56"/>
      <c r="CG368" s="56"/>
      <c r="CH368" s="56"/>
      <c r="CI368" s="56"/>
      <c r="CJ368" s="60"/>
      <c r="CK368" s="56"/>
      <c r="CL368" s="56"/>
      <c r="CM368" s="56"/>
      <c r="CN368" s="56"/>
      <c r="CO368" s="56"/>
      <c r="CP368" s="56"/>
      <c r="CQ368" s="56"/>
      <c r="CR368" s="56"/>
      <c r="CS368" s="56"/>
      <c r="CT368" s="56"/>
      <c r="CU368" s="56"/>
      <c r="CV368" s="56"/>
      <c r="CW368" s="56"/>
      <c r="CX368" s="60"/>
      <c r="CY368" s="56"/>
      <c r="CZ368" s="56"/>
      <c r="DA368" s="56"/>
      <c r="DB368" s="56"/>
      <c r="DC368" s="56"/>
      <c r="DD368" s="56"/>
      <c r="DE368" s="56"/>
      <c r="DF368" s="56"/>
      <c r="DG368" s="56"/>
      <c r="DH368" s="56"/>
      <c r="DI368" s="56"/>
      <c r="DJ368" s="56"/>
      <c r="DK368" s="60"/>
      <c r="DL368" s="60"/>
      <c r="DM368" s="56"/>
      <c r="DN368" s="56"/>
      <c r="DO368" s="56"/>
      <c r="DP368" s="56"/>
      <c r="DQ368" s="56"/>
      <c r="DR368" s="56"/>
      <c r="DS368" s="56"/>
      <c r="DT368" s="56"/>
      <c r="DU368" s="56"/>
      <c r="DV368" s="56"/>
      <c r="DW368" s="56"/>
      <c r="DX368" s="56"/>
      <c r="DY368" s="56"/>
      <c r="DZ368" s="56"/>
      <c r="EA368" s="56"/>
      <c r="EB368" s="56"/>
      <c r="EC368" s="56"/>
      <c r="ED368" s="56"/>
      <c r="EE368" s="56"/>
      <c r="EF368" s="56"/>
    </row>
    <row r="369" spans="44:136" s="80" customFormat="1">
      <c r="AR369" s="118"/>
      <c r="BD369" s="56"/>
      <c r="BE369" s="56"/>
      <c r="BF369" s="56"/>
      <c r="BG369" s="56"/>
      <c r="BH369" s="56"/>
      <c r="BI369" s="56"/>
      <c r="BJ369" s="56"/>
      <c r="BK369" s="56"/>
      <c r="BL369" s="56"/>
      <c r="BM369" s="56"/>
      <c r="BN369" s="56"/>
      <c r="BO369" s="56"/>
      <c r="BP369" s="56"/>
      <c r="BQ369" s="56"/>
      <c r="BR369" s="56"/>
      <c r="BS369" s="56"/>
      <c r="BT369" s="60"/>
      <c r="BU369" s="56"/>
      <c r="BV369" s="56"/>
      <c r="BW369" s="56"/>
      <c r="BX369" s="56"/>
      <c r="BY369" s="56"/>
      <c r="BZ369" s="56"/>
      <c r="CA369" s="56"/>
      <c r="CB369" s="56"/>
      <c r="CC369" s="56"/>
      <c r="CD369" s="56"/>
      <c r="CE369" s="56"/>
      <c r="CF369" s="56"/>
      <c r="CG369" s="56"/>
      <c r="CH369" s="56"/>
      <c r="CI369" s="56"/>
      <c r="CJ369" s="60"/>
      <c r="CK369" s="56"/>
      <c r="CL369" s="56"/>
      <c r="CM369" s="56"/>
      <c r="CN369" s="56"/>
      <c r="CO369" s="56"/>
      <c r="CP369" s="56"/>
      <c r="CQ369" s="56"/>
      <c r="CR369" s="56"/>
      <c r="CS369" s="56"/>
      <c r="CT369" s="56"/>
      <c r="CU369" s="56"/>
      <c r="CV369" s="56"/>
      <c r="CW369" s="56"/>
      <c r="CX369" s="60"/>
      <c r="CY369" s="56"/>
      <c r="CZ369" s="56"/>
      <c r="DA369" s="56"/>
      <c r="DB369" s="56"/>
      <c r="DC369" s="56"/>
      <c r="DD369" s="56"/>
      <c r="DE369" s="56"/>
      <c r="DF369" s="56"/>
      <c r="DG369" s="56"/>
      <c r="DH369" s="56"/>
      <c r="DI369" s="56"/>
      <c r="DJ369" s="56"/>
      <c r="DK369" s="60"/>
      <c r="DL369" s="60"/>
      <c r="DM369" s="56"/>
      <c r="DN369" s="56"/>
      <c r="DO369" s="56"/>
      <c r="DP369" s="56"/>
      <c r="DQ369" s="56"/>
      <c r="DR369" s="56"/>
      <c r="DS369" s="56"/>
      <c r="DT369" s="56"/>
      <c r="DU369" s="56"/>
      <c r="DV369" s="56"/>
      <c r="DW369" s="56"/>
      <c r="DX369" s="56"/>
      <c r="DY369" s="56"/>
      <c r="DZ369" s="56"/>
      <c r="EA369" s="56"/>
      <c r="EB369" s="56"/>
      <c r="EC369" s="56"/>
      <c r="ED369" s="56"/>
      <c r="EE369" s="56"/>
      <c r="EF369" s="56"/>
    </row>
    <row r="370" spans="44:136" s="80" customFormat="1">
      <c r="AR370" s="118"/>
      <c r="BD370" s="56"/>
      <c r="BE370" s="56"/>
      <c r="BF370" s="56"/>
      <c r="BG370" s="56"/>
      <c r="BH370" s="56"/>
      <c r="BI370" s="56"/>
      <c r="BJ370" s="56"/>
      <c r="BK370" s="56"/>
      <c r="BL370" s="56"/>
      <c r="BM370" s="56"/>
      <c r="BN370" s="56"/>
      <c r="BO370" s="56"/>
      <c r="BP370" s="56"/>
      <c r="BQ370" s="56"/>
      <c r="BR370" s="56"/>
      <c r="BS370" s="56"/>
      <c r="BT370" s="60"/>
      <c r="BU370" s="56"/>
      <c r="BV370" s="56"/>
      <c r="BW370" s="56"/>
      <c r="BX370" s="56"/>
      <c r="BY370" s="56"/>
      <c r="BZ370" s="56"/>
      <c r="CA370" s="56"/>
      <c r="CB370" s="56"/>
      <c r="CC370" s="56"/>
      <c r="CD370" s="56"/>
      <c r="CE370" s="56"/>
      <c r="CF370" s="56"/>
      <c r="CG370" s="56"/>
      <c r="CH370" s="56"/>
      <c r="CI370" s="56"/>
      <c r="CJ370" s="60"/>
      <c r="CK370" s="56"/>
      <c r="CL370" s="56"/>
      <c r="CM370" s="56"/>
      <c r="CN370" s="56"/>
      <c r="CO370" s="56"/>
      <c r="CP370" s="56"/>
      <c r="CQ370" s="56"/>
      <c r="CR370" s="56"/>
      <c r="CS370" s="56"/>
      <c r="CT370" s="56"/>
      <c r="CU370" s="56"/>
      <c r="CV370" s="56"/>
      <c r="CW370" s="56"/>
      <c r="CX370" s="60"/>
      <c r="CY370" s="56"/>
      <c r="CZ370" s="56"/>
      <c r="DA370" s="56"/>
      <c r="DB370" s="56"/>
      <c r="DC370" s="56"/>
      <c r="DD370" s="56"/>
      <c r="DE370" s="56"/>
      <c r="DF370" s="56"/>
      <c r="DG370" s="56"/>
      <c r="DH370" s="56"/>
      <c r="DI370" s="56"/>
      <c r="DJ370" s="56"/>
      <c r="DK370" s="60"/>
      <c r="DL370" s="60"/>
      <c r="DM370" s="56"/>
      <c r="DN370" s="56"/>
      <c r="DO370" s="56"/>
      <c r="DP370" s="56"/>
      <c r="DQ370" s="56"/>
      <c r="DR370" s="56"/>
      <c r="DS370" s="56"/>
      <c r="DT370" s="56"/>
      <c r="DU370" s="56"/>
      <c r="DV370" s="56"/>
      <c r="DW370" s="56"/>
      <c r="DX370" s="56"/>
      <c r="DY370" s="56"/>
      <c r="DZ370" s="56"/>
      <c r="EA370" s="56"/>
      <c r="EB370" s="56"/>
      <c r="EC370" s="56"/>
      <c r="ED370" s="56"/>
      <c r="EE370" s="56"/>
      <c r="EF370" s="56"/>
    </row>
    <row r="371" spans="44:136" s="80" customFormat="1">
      <c r="AR371" s="118"/>
      <c r="BD371" s="56"/>
      <c r="BE371" s="56"/>
      <c r="BF371" s="56"/>
      <c r="BG371" s="56"/>
      <c r="BH371" s="56"/>
      <c r="BI371" s="56"/>
      <c r="BJ371" s="56"/>
      <c r="BK371" s="56"/>
      <c r="BL371" s="56"/>
      <c r="BM371" s="56"/>
      <c r="BN371" s="56"/>
      <c r="BO371" s="56"/>
      <c r="BP371" s="56"/>
      <c r="BQ371" s="56"/>
      <c r="BR371" s="56"/>
      <c r="BS371" s="56"/>
      <c r="BT371" s="60"/>
      <c r="BU371" s="56"/>
      <c r="BV371" s="56"/>
      <c r="BW371" s="56"/>
      <c r="BX371" s="56"/>
      <c r="BY371" s="56"/>
      <c r="BZ371" s="56"/>
      <c r="CA371" s="56"/>
      <c r="CB371" s="56"/>
      <c r="CC371" s="56"/>
      <c r="CD371" s="56"/>
      <c r="CE371" s="56"/>
      <c r="CF371" s="56"/>
      <c r="CG371" s="56"/>
      <c r="CH371" s="56"/>
      <c r="CI371" s="56"/>
      <c r="CJ371" s="60"/>
      <c r="CK371" s="56"/>
      <c r="CL371" s="56"/>
      <c r="CM371" s="56"/>
      <c r="CN371" s="56"/>
      <c r="CO371" s="56"/>
      <c r="CP371" s="56"/>
      <c r="CQ371" s="56"/>
      <c r="CR371" s="56"/>
      <c r="CS371" s="56"/>
      <c r="CT371" s="56"/>
      <c r="CU371" s="56"/>
      <c r="CV371" s="56"/>
      <c r="CW371" s="56"/>
      <c r="CX371" s="60"/>
      <c r="CY371" s="56"/>
      <c r="CZ371" s="56"/>
      <c r="DA371" s="56"/>
      <c r="DB371" s="56"/>
      <c r="DC371" s="56"/>
      <c r="DD371" s="56"/>
      <c r="DE371" s="56"/>
      <c r="DF371" s="56"/>
      <c r="DG371" s="56"/>
      <c r="DH371" s="56"/>
      <c r="DI371" s="56"/>
      <c r="DJ371" s="56"/>
      <c r="DK371" s="60"/>
      <c r="DL371" s="60"/>
      <c r="DM371" s="56"/>
      <c r="DN371" s="56"/>
      <c r="DO371" s="56"/>
      <c r="DP371" s="56"/>
      <c r="DQ371" s="56"/>
      <c r="DR371" s="56"/>
      <c r="DS371" s="56"/>
      <c r="DT371" s="56"/>
      <c r="DU371" s="56"/>
      <c r="DV371" s="56"/>
      <c r="DW371" s="56"/>
      <c r="DX371" s="56"/>
      <c r="DY371" s="56"/>
      <c r="DZ371" s="56"/>
      <c r="EA371" s="56"/>
      <c r="EB371" s="56"/>
      <c r="EC371" s="56"/>
      <c r="ED371" s="56"/>
      <c r="EE371" s="56"/>
      <c r="EF371" s="56"/>
    </row>
    <row r="372" spans="44:136" s="80" customFormat="1">
      <c r="AR372" s="118"/>
      <c r="BD372" s="56"/>
      <c r="BE372" s="56"/>
      <c r="BF372" s="56"/>
      <c r="BG372" s="56"/>
      <c r="BH372" s="56"/>
      <c r="BI372" s="56"/>
      <c r="BJ372" s="56"/>
      <c r="BK372" s="56"/>
      <c r="BL372" s="56"/>
      <c r="BM372" s="56"/>
      <c r="BN372" s="56"/>
      <c r="BO372" s="56"/>
      <c r="BP372" s="56"/>
      <c r="BQ372" s="56"/>
      <c r="BR372" s="56"/>
      <c r="BS372" s="56"/>
      <c r="BT372" s="60"/>
      <c r="BU372" s="56"/>
      <c r="BV372" s="56"/>
      <c r="BW372" s="56"/>
      <c r="BX372" s="56"/>
      <c r="BY372" s="56"/>
      <c r="BZ372" s="56"/>
      <c r="CA372" s="56"/>
      <c r="CB372" s="56"/>
      <c r="CC372" s="56"/>
      <c r="CD372" s="56"/>
      <c r="CE372" s="56"/>
      <c r="CF372" s="56"/>
      <c r="CG372" s="56"/>
      <c r="CH372" s="56"/>
      <c r="CI372" s="56"/>
      <c r="CJ372" s="60"/>
      <c r="CK372" s="56"/>
      <c r="CL372" s="56"/>
      <c r="CM372" s="56"/>
      <c r="CN372" s="56"/>
      <c r="CO372" s="56"/>
      <c r="CP372" s="56"/>
      <c r="CQ372" s="56"/>
      <c r="CR372" s="56"/>
      <c r="CS372" s="56"/>
      <c r="CT372" s="56"/>
      <c r="CU372" s="56"/>
      <c r="CV372" s="56"/>
      <c r="CW372" s="56"/>
      <c r="CX372" s="60"/>
      <c r="CY372" s="56"/>
      <c r="CZ372" s="56"/>
      <c r="DA372" s="56"/>
      <c r="DB372" s="56"/>
      <c r="DC372" s="56"/>
      <c r="DD372" s="56"/>
      <c r="DE372" s="56"/>
      <c r="DF372" s="56"/>
      <c r="DG372" s="56"/>
      <c r="DH372" s="56"/>
      <c r="DI372" s="56"/>
      <c r="DJ372" s="56"/>
      <c r="DK372" s="60"/>
      <c r="DL372" s="60"/>
      <c r="DM372" s="56"/>
      <c r="DN372" s="56"/>
      <c r="DO372" s="56"/>
      <c r="DP372" s="56"/>
      <c r="DQ372" s="56"/>
      <c r="DR372" s="56"/>
      <c r="DS372" s="56"/>
      <c r="DT372" s="56"/>
      <c r="DU372" s="56"/>
      <c r="DV372" s="56"/>
      <c r="DW372" s="56"/>
      <c r="DX372" s="56"/>
      <c r="DY372" s="56"/>
      <c r="DZ372" s="56"/>
      <c r="EA372" s="56"/>
      <c r="EB372" s="56"/>
      <c r="EC372" s="56"/>
      <c r="ED372" s="56"/>
      <c r="EE372" s="56"/>
      <c r="EF372" s="56"/>
    </row>
    <row r="373" spans="44:136" s="80" customFormat="1">
      <c r="AR373" s="118"/>
      <c r="BD373" s="56"/>
      <c r="BE373" s="56"/>
      <c r="BF373" s="56"/>
      <c r="BG373" s="56"/>
      <c r="BH373" s="56"/>
      <c r="BI373" s="56"/>
      <c r="BJ373" s="56"/>
      <c r="BK373" s="56"/>
      <c r="BL373" s="56"/>
      <c r="BM373" s="56"/>
      <c r="BN373" s="56"/>
      <c r="BO373" s="56"/>
      <c r="BP373" s="56"/>
      <c r="BQ373" s="56"/>
      <c r="BR373" s="56"/>
      <c r="BS373" s="56"/>
      <c r="BT373" s="60"/>
      <c r="BU373" s="56"/>
      <c r="BV373" s="56"/>
      <c r="BW373" s="56"/>
      <c r="BX373" s="56"/>
      <c r="BY373" s="56"/>
      <c r="BZ373" s="56"/>
      <c r="CA373" s="56"/>
      <c r="CB373" s="56"/>
      <c r="CC373" s="56"/>
      <c r="CD373" s="56"/>
      <c r="CE373" s="56"/>
      <c r="CF373" s="56"/>
      <c r="CG373" s="56"/>
      <c r="CH373" s="56"/>
      <c r="CI373" s="56"/>
      <c r="CJ373" s="60"/>
      <c r="CK373" s="56"/>
      <c r="CL373" s="56"/>
      <c r="CM373" s="56"/>
      <c r="CN373" s="56"/>
      <c r="CO373" s="56"/>
      <c r="CP373" s="56"/>
      <c r="CQ373" s="56"/>
      <c r="CR373" s="56"/>
      <c r="CS373" s="56"/>
      <c r="CT373" s="56"/>
      <c r="CU373" s="56"/>
      <c r="CV373" s="56"/>
      <c r="CW373" s="56"/>
      <c r="CX373" s="60"/>
      <c r="CY373" s="56"/>
      <c r="CZ373" s="56"/>
      <c r="DA373" s="56"/>
      <c r="DB373" s="56"/>
      <c r="DC373" s="56"/>
      <c r="DD373" s="56"/>
      <c r="DE373" s="56"/>
      <c r="DF373" s="56"/>
      <c r="DG373" s="56"/>
      <c r="DH373" s="56"/>
      <c r="DI373" s="56"/>
      <c r="DJ373" s="56"/>
      <c r="DK373" s="60"/>
      <c r="DL373" s="60"/>
      <c r="DM373" s="56"/>
      <c r="DN373" s="56"/>
      <c r="DO373" s="56"/>
      <c r="DP373" s="56"/>
      <c r="DQ373" s="56"/>
      <c r="DR373" s="56"/>
      <c r="DS373" s="56"/>
      <c r="DT373" s="56"/>
      <c r="DU373" s="56"/>
      <c r="DV373" s="56"/>
      <c r="DW373" s="56"/>
      <c r="DX373" s="56"/>
      <c r="DY373" s="56"/>
      <c r="DZ373" s="56"/>
      <c r="EA373" s="56"/>
      <c r="EB373" s="56"/>
      <c r="EC373" s="56"/>
      <c r="ED373" s="56"/>
      <c r="EE373" s="56"/>
      <c r="EF373" s="56"/>
    </row>
    <row r="374" spans="44:136" s="80" customFormat="1">
      <c r="AR374" s="118"/>
      <c r="BD374" s="56"/>
      <c r="BE374" s="56"/>
      <c r="BF374" s="56"/>
      <c r="BG374" s="56"/>
      <c r="BH374" s="56"/>
      <c r="BI374" s="56"/>
      <c r="BJ374" s="56"/>
      <c r="BK374" s="56"/>
      <c r="BL374" s="56"/>
      <c r="BM374" s="56"/>
      <c r="BN374" s="56"/>
      <c r="BO374" s="56"/>
      <c r="BP374" s="56"/>
      <c r="BQ374" s="56"/>
      <c r="BR374" s="56"/>
      <c r="BS374" s="56"/>
      <c r="BT374" s="60"/>
      <c r="BU374" s="56"/>
      <c r="BV374" s="56"/>
      <c r="BW374" s="56"/>
      <c r="BX374" s="56"/>
      <c r="BY374" s="56"/>
      <c r="BZ374" s="56"/>
      <c r="CA374" s="56"/>
      <c r="CB374" s="56"/>
      <c r="CC374" s="56"/>
      <c r="CD374" s="56"/>
      <c r="CE374" s="56"/>
      <c r="CF374" s="56"/>
      <c r="CG374" s="56"/>
      <c r="CH374" s="56"/>
      <c r="CI374" s="56"/>
      <c r="CJ374" s="60"/>
      <c r="CK374" s="56"/>
      <c r="CL374" s="56"/>
      <c r="CM374" s="56"/>
      <c r="CN374" s="56"/>
      <c r="CO374" s="56"/>
      <c r="CP374" s="56"/>
      <c r="CQ374" s="56"/>
      <c r="CR374" s="56"/>
      <c r="CS374" s="56"/>
      <c r="CT374" s="56"/>
      <c r="CU374" s="56"/>
      <c r="CV374" s="56"/>
      <c r="CW374" s="56"/>
      <c r="CX374" s="60"/>
      <c r="CY374" s="56"/>
      <c r="CZ374" s="56"/>
      <c r="DA374" s="56"/>
      <c r="DB374" s="56"/>
      <c r="DC374" s="56"/>
      <c r="DD374" s="56"/>
      <c r="DE374" s="56"/>
      <c r="DF374" s="56"/>
      <c r="DG374" s="56"/>
      <c r="DH374" s="56"/>
      <c r="DI374" s="56"/>
      <c r="DJ374" s="56"/>
      <c r="DK374" s="60"/>
      <c r="DL374" s="60"/>
      <c r="DM374" s="56"/>
      <c r="DN374" s="56"/>
      <c r="DO374" s="56"/>
      <c r="DP374" s="56"/>
      <c r="DQ374" s="56"/>
      <c r="DR374" s="56"/>
      <c r="DS374" s="56"/>
      <c r="DT374" s="56"/>
      <c r="DU374" s="56"/>
      <c r="DV374" s="56"/>
      <c r="DW374" s="56"/>
      <c r="DX374" s="56"/>
      <c r="DY374" s="56"/>
      <c r="DZ374" s="56"/>
      <c r="EA374" s="56"/>
      <c r="EB374" s="56"/>
      <c r="EC374" s="56"/>
      <c r="ED374" s="56"/>
      <c r="EE374" s="56"/>
      <c r="EF374" s="56"/>
    </row>
    <row r="375" spans="44:136" s="80" customFormat="1">
      <c r="AR375" s="118"/>
      <c r="BD375" s="56"/>
      <c r="BE375" s="56"/>
      <c r="BF375" s="56"/>
      <c r="BG375" s="56"/>
      <c r="BH375" s="56"/>
      <c r="BI375" s="56"/>
      <c r="BJ375" s="56"/>
      <c r="BK375" s="56"/>
      <c r="BL375" s="56"/>
      <c r="BM375" s="56"/>
      <c r="BN375" s="56"/>
      <c r="BO375" s="56"/>
      <c r="BP375" s="56"/>
      <c r="BQ375" s="56"/>
      <c r="BR375" s="56"/>
      <c r="BS375" s="56"/>
      <c r="BT375" s="60"/>
      <c r="BU375" s="56"/>
      <c r="BV375" s="56"/>
      <c r="BW375" s="56"/>
      <c r="BX375" s="56"/>
      <c r="BY375" s="56"/>
      <c r="BZ375" s="56"/>
      <c r="CA375" s="56"/>
      <c r="CB375" s="56"/>
      <c r="CC375" s="56"/>
      <c r="CD375" s="56"/>
      <c r="CE375" s="56"/>
      <c r="CF375" s="56"/>
      <c r="CG375" s="56"/>
      <c r="CH375" s="56"/>
      <c r="CI375" s="56"/>
      <c r="CJ375" s="60"/>
      <c r="CK375" s="56"/>
      <c r="CL375" s="56"/>
      <c r="CM375" s="56"/>
      <c r="CN375" s="56"/>
      <c r="CO375" s="56"/>
      <c r="CP375" s="56"/>
      <c r="CQ375" s="56"/>
      <c r="CR375" s="56"/>
      <c r="CS375" s="56"/>
      <c r="CT375" s="56"/>
      <c r="CU375" s="56"/>
      <c r="CV375" s="56"/>
      <c r="CW375" s="56"/>
      <c r="CX375" s="60"/>
      <c r="CY375" s="56"/>
      <c r="CZ375" s="56"/>
      <c r="DA375" s="56"/>
      <c r="DB375" s="56"/>
      <c r="DC375" s="56"/>
      <c r="DD375" s="56"/>
      <c r="DE375" s="56"/>
      <c r="DF375" s="56"/>
      <c r="DG375" s="56"/>
      <c r="DH375" s="56"/>
      <c r="DI375" s="56"/>
      <c r="DJ375" s="56"/>
      <c r="DK375" s="60"/>
      <c r="DL375" s="60"/>
      <c r="DM375" s="56"/>
      <c r="DN375" s="56"/>
      <c r="DO375" s="56"/>
      <c r="DP375" s="56"/>
      <c r="DQ375" s="56"/>
      <c r="DR375" s="56"/>
      <c r="DS375" s="56"/>
      <c r="DT375" s="56"/>
      <c r="DU375" s="56"/>
      <c r="DV375" s="56"/>
      <c r="DW375" s="56"/>
      <c r="DX375" s="56"/>
      <c r="DY375" s="56"/>
      <c r="DZ375" s="56"/>
      <c r="EA375" s="56"/>
      <c r="EB375" s="56"/>
      <c r="EC375" s="56"/>
      <c r="ED375" s="56"/>
      <c r="EE375" s="56"/>
      <c r="EF375" s="56"/>
    </row>
    <row r="376" spans="44:136" s="80" customFormat="1">
      <c r="AR376" s="118"/>
      <c r="BD376" s="56"/>
      <c r="BE376" s="56"/>
      <c r="BF376" s="56"/>
      <c r="BG376" s="56"/>
      <c r="BH376" s="56"/>
      <c r="BI376" s="56"/>
      <c r="BJ376" s="56"/>
      <c r="BK376" s="56"/>
      <c r="BL376" s="56"/>
      <c r="BM376" s="56"/>
      <c r="BN376" s="56"/>
      <c r="BO376" s="56"/>
      <c r="BP376" s="56"/>
      <c r="BQ376" s="56"/>
      <c r="BR376" s="56"/>
      <c r="BS376" s="56"/>
      <c r="BT376" s="60"/>
      <c r="BU376" s="56"/>
      <c r="BV376" s="56"/>
      <c r="BW376" s="56"/>
      <c r="BX376" s="56"/>
      <c r="BY376" s="56"/>
      <c r="BZ376" s="56"/>
      <c r="CA376" s="56"/>
      <c r="CB376" s="56"/>
      <c r="CC376" s="56"/>
      <c r="CD376" s="56"/>
      <c r="CE376" s="56"/>
      <c r="CF376" s="56"/>
      <c r="CG376" s="56"/>
      <c r="CH376" s="56"/>
      <c r="CI376" s="56"/>
      <c r="CJ376" s="60"/>
      <c r="CK376" s="56"/>
      <c r="CL376" s="56"/>
      <c r="CM376" s="56"/>
      <c r="CN376" s="56"/>
      <c r="CO376" s="56"/>
      <c r="CP376" s="56"/>
      <c r="CQ376" s="56"/>
      <c r="CR376" s="56"/>
      <c r="CS376" s="56"/>
      <c r="CT376" s="56"/>
      <c r="CU376" s="56"/>
      <c r="CV376" s="56"/>
      <c r="CW376" s="56"/>
      <c r="CX376" s="60"/>
      <c r="CY376" s="56"/>
      <c r="CZ376" s="56"/>
      <c r="DA376" s="56"/>
      <c r="DB376" s="56"/>
      <c r="DC376" s="56"/>
      <c r="DD376" s="56"/>
      <c r="DE376" s="56"/>
      <c r="DF376" s="56"/>
      <c r="DG376" s="56"/>
      <c r="DH376" s="56"/>
      <c r="DI376" s="56"/>
      <c r="DJ376" s="56"/>
      <c r="DK376" s="60"/>
      <c r="DL376" s="60"/>
      <c r="DM376" s="56"/>
      <c r="DN376" s="56"/>
      <c r="DO376" s="56"/>
      <c r="DP376" s="56"/>
      <c r="DQ376" s="56"/>
      <c r="DR376" s="56"/>
      <c r="DS376" s="56"/>
      <c r="DT376" s="56"/>
      <c r="DU376" s="56"/>
      <c r="DV376" s="56"/>
      <c r="DW376" s="56"/>
      <c r="DX376" s="56"/>
      <c r="DY376" s="56"/>
      <c r="DZ376" s="56"/>
      <c r="EA376" s="56"/>
      <c r="EB376" s="56"/>
      <c r="EC376" s="56"/>
      <c r="ED376" s="56"/>
      <c r="EE376" s="56"/>
      <c r="EF376" s="56"/>
    </row>
    <row r="377" spans="44:136" s="80" customFormat="1">
      <c r="AR377" s="118"/>
      <c r="BD377" s="56"/>
      <c r="BE377" s="56"/>
      <c r="BF377" s="56"/>
      <c r="BG377" s="56"/>
      <c r="BH377" s="56"/>
      <c r="BI377" s="56"/>
      <c r="BJ377" s="56"/>
      <c r="BK377" s="56"/>
      <c r="BL377" s="56"/>
      <c r="BM377" s="56"/>
      <c r="BN377" s="56"/>
      <c r="BO377" s="56"/>
      <c r="BP377" s="56"/>
      <c r="BQ377" s="56"/>
      <c r="BR377" s="56"/>
      <c r="BS377" s="56"/>
      <c r="BT377" s="60"/>
      <c r="BU377" s="56"/>
      <c r="BV377" s="56"/>
      <c r="BW377" s="56"/>
      <c r="BX377" s="56"/>
      <c r="BY377" s="56"/>
      <c r="BZ377" s="56"/>
      <c r="CA377" s="56"/>
      <c r="CB377" s="56"/>
      <c r="CC377" s="56"/>
      <c r="CD377" s="56"/>
      <c r="CE377" s="56"/>
      <c r="CF377" s="56"/>
      <c r="CG377" s="56"/>
      <c r="CH377" s="56"/>
      <c r="CI377" s="56"/>
      <c r="CJ377" s="60"/>
      <c r="CK377" s="56"/>
      <c r="CL377" s="56"/>
      <c r="CM377" s="56"/>
      <c r="CN377" s="56"/>
      <c r="CO377" s="56"/>
      <c r="CP377" s="56"/>
      <c r="CQ377" s="56"/>
      <c r="CR377" s="56"/>
      <c r="CS377" s="56"/>
      <c r="CT377" s="56"/>
      <c r="CU377" s="56"/>
      <c r="CV377" s="56"/>
      <c r="CW377" s="56"/>
      <c r="CX377" s="60"/>
      <c r="CY377" s="56"/>
      <c r="CZ377" s="56"/>
      <c r="DA377" s="56"/>
      <c r="DB377" s="56"/>
      <c r="DC377" s="56"/>
      <c r="DD377" s="56"/>
      <c r="DE377" s="56"/>
      <c r="DF377" s="56"/>
      <c r="DG377" s="56"/>
      <c r="DH377" s="56"/>
      <c r="DI377" s="56"/>
      <c r="DJ377" s="56"/>
      <c r="DK377" s="60"/>
      <c r="DL377" s="60"/>
      <c r="DM377" s="56"/>
      <c r="DN377" s="56"/>
      <c r="DO377" s="56"/>
      <c r="DP377" s="56"/>
      <c r="DQ377" s="56"/>
      <c r="DR377" s="56"/>
      <c r="DS377" s="56"/>
      <c r="DT377" s="56"/>
      <c r="DU377" s="56"/>
      <c r="DV377" s="56"/>
      <c r="DW377" s="56"/>
      <c r="DX377" s="56"/>
      <c r="DY377" s="56"/>
      <c r="DZ377" s="56"/>
      <c r="EA377" s="56"/>
      <c r="EB377" s="56"/>
      <c r="EC377" s="56"/>
      <c r="ED377" s="56"/>
      <c r="EE377" s="56"/>
      <c r="EF377" s="56"/>
    </row>
    <row r="378" spans="44:136" s="80" customFormat="1">
      <c r="AR378" s="118"/>
      <c r="BD378" s="56"/>
      <c r="BE378" s="56"/>
      <c r="BF378" s="56"/>
      <c r="BG378" s="56"/>
      <c r="BH378" s="56"/>
      <c r="BI378" s="56"/>
      <c r="BJ378" s="56"/>
      <c r="BK378" s="56"/>
      <c r="BL378" s="56"/>
      <c r="BM378" s="56"/>
      <c r="BN378" s="56"/>
      <c r="BO378" s="56"/>
      <c r="BP378" s="56"/>
      <c r="BQ378" s="56"/>
      <c r="BR378" s="56"/>
      <c r="BS378" s="56"/>
      <c r="BT378" s="60"/>
      <c r="BU378" s="56"/>
      <c r="BV378" s="56"/>
      <c r="BW378" s="56"/>
      <c r="BX378" s="56"/>
      <c r="BY378" s="56"/>
      <c r="BZ378" s="56"/>
      <c r="CA378" s="56"/>
      <c r="CB378" s="56"/>
      <c r="CC378" s="56"/>
      <c r="CD378" s="56"/>
      <c r="CE378" s="56"/>
      <c r="CF378" s="56"/>
      <c r="CG378" s="56"/>
      <c r="CH378" s="56"/>
      <c r="CI378" s="56"/>
      <c r="CJ378" s="60"/>
      <c r="CK378" s="56"/>
      <c r="CL378" s="56"/>
      <c r="CM378" s="56"/>
      <c r="CN378" s="56"/>
      <c r="CO378" s="56"/>
      <c r="CP378" s="56"/>
      <c r="CQ378" s="56"/>
      <c r="CR378" s="56"/>
      <c r="CS378" s="56"/>
      <c r="CT378" s="56"/>
      <c r="CU378" s="56"/>
      <c r="CV378" s="56"/>
      <c r="CW378" s="56"/>
      <c r="CX378" s="60"/>
      <c r="CY378" s="56"/>
      <c r="CZ378" s="56"/>
      <c r="DA378" s="56"/>
      <c r="DB378" s="56"/>
      <c r="DC378" s="56"/>
      <c r="DD378" s="56"/>
      <c r="DE378" s="56"/>
      <c r="DF378" s="56"/>
      <c r="DG378" s="56"/>
      <c r="DH378" s="56"/>
      <c r="DI378" s="56"/>
      <c r="DJ378" s="56"/>
      <c r="DK378" s="60"/>
      <c r="DL378" s="60"/>
      <c r="DM378" s="56"/>
      <c r="DN378" s="56"/>
      <c r="DO378" s="56"/>
      <c r="DP378" s="56"/>
      <c r="DQ378" s="56"/>
      <c r="DR378" s="56"/>
      <c r="DS378" s="56"/>
      <c r="DT378" s="56"/>
      <c r="DU378" s="56"/>
      <c r="DV378" s="56"/>
      <c r="DW378" s="56"/>
      <c r="DX378" s="56"/>
      <c r="DY378" s="56"/>
      <c r="DZ378" s="56"/>
      <c r="EA378" s="56"/>
      <c r="EB378" s="56"/>
      <c r="EC378" s="56"/>
      <c r="ED378" s="56"/>
      <c r="EE378" s="56"/>
      <c r="EF378" s="56"/>
    </row>
    <row r="379" spans="44:136" s="80" customFormat="1">
      <c r="AR379" s="118"/>
      <c r="BD379" s="56"/>
      <c r="BE379" s="56"/>
      <c r="BF379" s="56"/>
      <c r="BG379" s="56"/>
      <c r="BH379" s="56"/>
      <c r="BI379" s="56"/>
      <c r="BJ379" s="56"/>
      <c r="BK379" s="56"/>
      <c r="BL379" s="56"/>
      <c r="BM379" s="56"/>
      <c r="BN379" s="56"/>
      <c r="BO379" s="56"/>
      <c r="BP379" s="56"/>
      <c r="BQ379" s="56"/>
      <c r="BR379" s="56"/>
      <c r="BS379" s="56"/>
      <c r="BT379" s="60"/>
      <c r="BU379" s="56"/>
      <c r="BV379" s="56"/>
      <c r="BW379" s="56"/>
      <c r="BX379" s="56"/>
      <c r="BY379" s="56"/>
      <c r="BZ379" s="56"/>
      <c r="CA379" s="56"/>
      <c r="CB379" s="56"/>
      <c r="CC379" s="56"/>
      <c r="CD379" s="56"/>
      <c r="CE379" s="56"/>
      <c r="CF379" s="56"/>
      <c r="CG379" s="56"/>
      <c r="CH379" s="56"/>
      <c r="CI379" s="56"/>
      <c r="CJ379" s="60"/>
      <c r="CK379" s="56"/>
      <c r="CL379" s="56"/>
      <c r="CM379" s="56"/>
      <c r="CN379" s="56"/>
      <c r="CO379" s="56"/>
      <c r="CP379" s="56"/>
      <c r="CQ379" s="56"/>
      <c r="CR379" s="56"/>
      <c r="CS379" s="56"/>
      <c r="CT379" s="56"/>
      <c r="CU379" s="56"/>
      <c r="CV379" s="56"/>
      <c r="CW379" s="56"/>
      <c r="CX379" s="60"/>
      <c r="CY379" s="56"/>
      <c r="CZ379" s="56"/>
      <c r="DA379" s="56"/>
      <c r="DB379" s="56"/>
      <c r="DC379" s="56"/>
      <c r="DD379" s="56"/>
      <c r="DE379" s="56"/>
      <c r="DF379" s="56"/>
      <c r="DG379" s="56"/>
      <c r="DH379" s="56"/>
      <c r="DI379" s="56"/>
      <c r="DJ379" s="56"/>
      <c r="DK379" s="60"/>
      <c r="DL379" s="60"/>
      <c r="DM379" s="56"/>
      <c r="DN379" s="56"/>
      <c r="DO379" s="56"/>
      <c r="DP379" s="56"/>
      <c r="DQ379" s="56"/>
      <c r="DR379" s="56"/>
      <c r="DS379" s="56"/>
      <c r="DT379" s="56"/>
      <c r="DU379" s="56"/>
      <c r="DV379" s="56"/>
      <c r="DW379" s="56"/>
      <c r="DX379" s="56"/>
      <c r="DY379" s="56"/>
      <c r="DZ379" s="56"/>
      <c r="EA379" s="56"/>
      <c r="EB379" s="56"/>
      <c r="EC379" s="56"/>
      <c r="ED379" s="56"/>
      <c r="EE379" s="56"/>
      <c r="EF379" s="56"/>
    </row>
    <row r="380" spans="44:136" s="80" customFormat="1">
      <c r="AR380" s="118"/>
      <c r="BD380" s="56"/>
      <c r="BE380" s="56"/>
      <c r="BF380" s="56"/>
      <c r="BG380" s="56"/>
      <c r="BH380" s="56"/>
      <c r="BI380" s="56"/>
      <c r="BJ380" s="56"/>
      <c r="BK380" s="56"/>
      <c r="BL380" s="56"/>
      <c r="BM380" s="56"/>
      <c r="BN380" s="56"/>
      <c r="BO380" s="56"/>
      <c r="BP380" s="56"/>
      <c r="BQ380" s="56"/>
      <c r="BR380" s="56"/>
      <c r="BS380" s="56"/>
      <c r="BT380" s="60"/>
      <c r="BU380" s="56"/>
      <c r="BV380" s="56"/>
      <c r="BW380" s="56"/>
      <c r="BX380" s="56"/>
      <c r="BY380" s="56"/>
      <c r="BZ380" s="56"/>
      <c r="CA380" s="56"/>
      <c r="CB380" s="56"/>
      <c r="CC380" s="56"/>
      <c r="CD380" s="56"/>
      <c r="CE380" s="56"/>
      <c r="CF380" s="56"/>
      <c r="CG380" s="56"/>
      <c r="CH380" s="56"/>
      <c r="CI380" s="56"/>
      <c r="CJ380" s="60"/>
      <c r="CK380" s="56"/>
      <c r="CL380" s="56"/>
      <c r="CM380" s="56"/>
      <c r="CN380" s="56"/>
      <c r="CO380" s="56"/>
      <c r="CP380" s="56"/>
      <c r="CQ380" s="56"/>
      <c r="CR380" s="56"/>
      <c r="CS380" s="56"/>
      <c r="CT380" s="56"/>
      <c r="CU380" s="56"/>
      <c r="CV380" s="56"/>
      <c r="CW380" s="56"/>
      <c r="CX380" s="60"/>
      <c r="CY380" s="56"/>
      <c r="CZ380" s="56"/>
      <c r="DA380" s="56"/>
      <c r="DB380" s="56"/>
      <c r="DC380" s="56"/>
      <c r="DD380" s="56"/>
      <c r="DE380" s="56"/>
      <c r="DF380" s="56"/>
      <c r="DG380" s="56"/>
      <c r="DH380" s="56"/>
      <c r="DI380" s="56"/>
      <c r="DJ380" s="56"/>
      <c r="DK380" s="60"/>
      <c r="DL380" s="60"/>
      <c r="DM380" s="56"/>
      <c r="DN380" s="56"/>
      <c r="DO380" s="56"/>
      <c r="DP380" s="56"/>
      <c r="DQ380" s="56"/>
      <c r="DR380" s="56"/>
      <c r="DS380" s="56"/>
      <c r="DT380" s="56"/>
      <c r="DU380" s="56"/>
      <c r="DV380" s="56"/>
      <c r="DW380" s="56"/>
      <c r="DX380" s="56"/>
      <c r="DY380" s="56"/>
      <c r="DZ380" s="56"/>
      <c r="EA380" s="56"/>
      <c r="EB380" s="56"/>
      <c r="EC380" s="56"/>
      <c r="ED380" s="56"/>
      <c r="EE380" s="56"/>
      <c r="EF380" s="56"/>
    </row>
    <row r="381" spans="44:136" s="80" customFormat="1">
      <c r="AR381" s="118"/>
      <c r="BD381" s="56"/>
      <c r="BE381" s="56"/>
      <c r="BF381" s="56"/>
      <c r="BG381" s="56"/>
      <c r="BH381" s="56"/>
      <c r="BI381" s="56"/>
      <c r="BJ381" s="56"/>
      <c r="BK381" s="56"/>
      <c r="BL381" s="56"/>
      <c r="BM381" s="56"/>
      <c r="BN381" s="56"/>
      <c r="BO381" s="56"/>
      <c r="BP381" s="56"/>
      <c r="BQ381" s="56"/>
      <c r="BR381" s="56"/>
      <c r="BS381" s="56"/>
      <c r="BT381" s="60"/>
      <c r="BU381" s="56"/>
      <c r="BV381" s="56"/>
      <c r="BW381" s="56"/>
      <c r="BX381" s="56"/>
      <c r="BY381" s="56"/>
      <c r="BZ381" s="56"/>
      <c r="CA381" s="56"/>
      <c r="CB381" s="56"/>
      <c r="CC381" s="56"/>
      <c r="CD381" s="56"/>
      <c r="CE381" s="56"/>
      <c r="CF381" s="56"/>
      <c r="CG381" s="56"/>
      <c r="CH381" s="56"/>
      <c r="CI381" s="56"/>
      <c r="CJ381" s="60"/>
      <c r="CK381" s="56"/>
      <c r="CL381" s="56"/>
      <c r="CM381" s="56"/>
      <c r="CN381" s="56"/>
      <c r="CO381" s="56"/>
      <c r="CP381" s="56"/>
      <c r="CQ381" s="56"/>
      <c r="CR381" s="56"/>
      <c r="CS381" s="56"/>
      <c r="CT381" s="56"/>
      <c r="CU381" s="56"/>
      <c r="CV381" s="56"/>
      <c r="CW381" s="56"/>
      <c r="CX381" s="60"/>
      <c r="CY381" s="56"/>
      <c r="CZ381" s="56"/>
      <c r="DA381" s="56"/>
      <c r="DB381" s="56"/>
      <c r="DC381" s="56"/>
      <c r="DD381" s="56"/>
      <c r="DE381" s="56"/>
      <c r="DF381" s="56"/>
      <c r="DG381" s="56"/>
      <c r="DH381" s="56"/>
      <c r="DI381" s="56"/>
      <c r="DJ381" s="56"/>
      <c r="DK381" s="60"/>
      <c r="DL381" s="60"/>
      <c r="DM381" s="56"/>
      <c r="DN381" s="56"/>
      <c r="DO381" s="56"/>
      <c r="DP381" s="56"/>
      <c r="DQ381" s="56"/>
      <c r="DR381" s="56"/>
      <c r="DS381" s="56"/>
      <c r="DT381" s="56"/>
      <c r="DU381" s="56"/>
      <c r="DV381" s="56"/>
      <c r="DW381" s="56"/>
      <c r="DX381" s="56"/>
      <c r="DY381" s="56"/>
      <c r="DZ381" s="56"/>
      <c r="EA381" s="56"/>
      <c r="EB381" s="56"/>
      <c r="EC381" s="56"/>
      <c r="ED381" s="56"/>
      <c r="EE381" s="56"/>
      <c r="EF381" s="56"/>
    </row>
    <row r="382" spans="44:136" s="80" customFormat="1">
      <c r="AR382" s="118"/>
      <c r="BD382" s="56"/>
      <c r="BE382" s="56"/>
      <c r="BF382" s="56"/>
      <c r="BG382" s="56"/>
      <c r="BH382" s="56"/>
      <c r="BI382" s="56"/>
      <c r="BJ382" s="56"/>
      <c r="BK382" s="56"/>
      <c r="BL382" s="56"/>
      <c r="BM382" s="56"/>
      <c r="BN382" s="56"/>
      <c r="BO382" s="56"/>
      <c r="BP382" s="56"/>
      <c r="BQ382" s="56"/>
      <c r="BR382" s="56"/>
      <c r="BS382" s="56"/>
      <c r="BT382" s="60"/>
      <c r="BU382" s="56"/>
      <c r="BV382" s="56"/>
      <c r="BW382" s="56"/>
      <c r="BX382" s="56"/>
      <c r="BY382" s="56"/>
      <c r="BZ382" s="56"/>
      <c r="CA382" s="56"/>
      <c r="CB382" s="56"/>
      <c r="CC382" s="56"/>
      <c r="CD382" s="56"/>
      <c r="CE382" s="56"/>
      <c r="CF382" s="56"/>
      <c r="CG382" s="56"/>
      <c r="CH382" s="56"/>
      <c r="CI382" s="56"/>
      <c r="CJ382" s="60"/>
      <c r="CK382" s="56"/>
      <c r="CL382" s="56"/>
      <c r="CM382" s="56"/>
      <c r="CN382" s="56"/>
      <c r="CO382" s="56"/>
      <c r="CP382" s="56"/>
      <c r="CQ382" s="56"/>
      <c r="CR382" s="56"/>
      <c r="CS382" s="56"/>
      <c r="CT382" s="56"/>
      <c r="CU382" s="56"/>
      <c r="CV382" s="56"/>
      <c r="CW382" s="56"/>
      <c r="CX382" s="60"/>
      <c r="CY382" s="56"/>
      <c r="CZ382" s="56"/>
      <c r="DA382" s="56"/>
      <c r="DB382" s="56"/>
      <c r="DC382" s="56"/>
      <c r="DD382" s="56"/>
      <c r="DE382" s="56"/>
      <c r="DF382" s="56"/>
      <c r="DG382" s="56"/>
      <c r="DH382" s="56"/>
      <c r="DI382" s="56"/>
      <c r="DJ382" s="56"/>
      <c r="DK382" s="60"/>
      <c r="DL382" s="60"/>
      <c r="DM382" s="56"/>
      <c r="DN382" s="56"/>
      <c r="DO382" s="56"/>
      <c r="DP382" s="56"/>
      <c r="DQ382" s="56"/>
      <c r="DR382" s="56"/>
      <c r="DS382" s="56"/>
      <c r="DT382" s="56"/>
      <c r="DU382" s="56"/>
      <c r="DV382" s="56"/>
      <c r="DW382" s="56"/>
      <c r="DX382" s="56"/>
      <c r="DY382" s="56"/>
      <c r="DZ382" s="56"/>
      <c r="EA382" s="56"/>
      <c r="EB382" s="56"/>
      <c r="EC382" s="56"/>
      <c r="ED382" s="56"/>
      <c r="EE382" s="56"/>
      <c r="EF382" s="56"/>
    </row>
    <row r="383" spans="44:136" s="80" customFormat="1">
      <c r="AR383" s="118"/>
      <c r="BD383" s="56"/>
      <c r="BE383" s="56"/>
      <c r="BF383" s="56"/>
      <c r="BG383" s="56"/>
      <c r="BH383" s="56"/>
      <c r="BI383" s="56"/>
      <c r="BJ383" s="56"/>
      <c r="BK383" s="56"/>
      <c r="BL383" s="56"/>
      <c r="BM383" s="56"/>
      <c r="BN383" s="56"/>
      <c r="BO383" s="56"/>
      <c r="BP383" s="56"/>
      <c r="BQ383" s="56"/>
      <c r="BR383" s="56"/>
      <c r="BS383" s="56"/>
      <c r="BT383" s="60"/>
      <c r="BU383" s="56"/>
      <c r="BV383" s="56"/>
      <c r="BW383" s="56"/>
      <c r="BX383" s="56"/>
      <c r="BY383" s="56"/>
      <c r="BZ383" s="56"/>
      <c r="CA383" s="56"/>
      <c r="CB383" s="56"/>
      <c r="CC383" s="56"/>
      <c r="CD383" s="56"/>
      <c r="CE383" s="56"/>
      <c r="CF383" s="56"/>
      <c r="CG383" s="56"/>
      <c r="CH383" s="56"/>
      <c r="CI383" s="56"/>
      <c r="CJ383" s="60"/>
      <c r="CK383" s="56"/>
      <c r="CL383" s="56"/>
      <c r="CM383" s="56"/>
      <c r="CN383" s="56"/>
      <c r="CO383" s="56"/>
      <c r="CP383" s="56"/>
      <c r="CQ383" s="56"/>
      <c r="CR383" s="56"/>
      <c r="CS383" s="56"/>
      <c r="CT383" s="56"/>
      <c r="CU383" s="56"/>
      <c r="CV383" s="56"/>
      <c r="CW383" s="56"/>
      <c r="CX383" s="60"/>
      <c r="CY383" s="56"/>
      <c r="CZ383" s="56"/>
      <c r="DA383" s="56"/>
      <c r="DB383" s="56"/>
      <c r="DC383" s="56"/>
      <c r="DD383" s="56"/>
      <c r="DE383" s="56"/>
      <c r="DF383" s="56"/>
      <c r="DG383" s="56"/>
      <c r="DH383" s="56"/>
      <c r="DI383" s="56"/>
      <c r="DJ383" s="56"/>
      <c r="DK383" s="60"/>
      <c r="DL383" s="60"/>
      <c r="DM383" s="56"/>
      <c r="DN383" s="56"/>
      <c r="DO383" s="56"/>
      <c r="DP383" s="56"/>
      <c r="DQ383" s="56"/>
      <c r="DR383" s="56"/>
      <c r="DS383" s="56"/>
      <c r="DT383" s="56"/>
      <c r="DU383" s="56"/>
      <c r="DV383" s="56"/>
      <c r="DW383" s="56"/>
      <c r="DX383" s="56"/>
      <c r="DY383" s="56"/>
      <c r="DZ383" s="56"/>
      <c r="EA383" s="56"/>
      <c r="EB383" s="56"/>
      <c r="EC383" s="56"/>
      <c r="ED383" s="56"/>
      <c r="EE383" s="56"/>
      <c r="EF383" s="56"/>
    </row>
    <row r="384" spans="44:136" s="80" customFormat="1">
      <c r="AR384" s="118"/>
      <c r="BD384" s="56"/>
      <c r="BE384" s="56"/>
      <c r="BF384" s="56"/>
      <c r="BG384" s="56"/>
      <c r="BH384" s="56"/>
      <c r="BI384" s="56"/>
      <c r="BJ384" s="56"/>
      <c r="BK384" s="56"/>
      <c r="BL384" s="56"/>
      <c r="BM384" s="56"/>
      <c r="BN384" s="56"/>
      <c r="BO384" s="56"/>
      <c r="BP384" s="56"/>
      <c r="BQ384" s="56"/>
      <c r="BR384" s="56"/>
      <c r="BS384" s="56"/>
      <c r="BT384" s="60"/>
      <c r="BU384" s="56"/>
      <c r="BV384" s="56"/>
      <c r="BW384" s="56"/>
      <c r="BX384" s="56"/>
      <c r="BY384" s="56"/>
      <c r="BZ384" s="56"/>
      <c r="CA384" s="56"/>
      <c r="CB384" s="56"/>
      <c r="CC384" s="56"/>
      <c r="CD384" s="56"/>
      <c r="CE384" s="56"/>
      <c r="CF384" s="56"/>
      <c r="CG384" s="56"/>
      <c r="CH384" s="56"/>
      <c r="CI384" s="56"/>
      <c r="CJ384" s="60"/>
      <c r="CK384" s="56"/>
      <c r="CL384" s="56"/>
      <c r="CM384" s="56"/>
      <c r="CN384" s="56"/>
      <c r="CO384" s="56"/>
      <c r="CP384" s="56"/>
      <c r="CQ384" s="56"/>
      <c r="CR384" s="56"/>
      <c r="CS384" s="56"/>
      <c r="CT384" s="56"/>
      <c r="CU384" s="56"/>
      <c r="CV384" s="56"/>
      <c r="CW384" s="56"/>
      <c r="CX384" s="60"/>
      <c r="CY384" s="56"/>
      <c r="CZ384" s="56"/>
      <c r="DA384" s="56"/>
      <c r="DB384" s="56"/>
      <c r="DC384" s="56"/>
      <c r="DD384" s="56"/>
      <c r="DE384" s="56"/>
      <c r="DF384" s="56"/>
      <c r="DG384" s="56"/>
      <c r="DH384" s="56"/>
      <c r="DI384" s="56"/>
      <c r="DJ384" s="56"/>
      <c r="DK384" s="60"/>
      <c r="DL384" s="60"/>
      <c r="DM384" s="56"/>
      <c r="DN384" s="56"/>
      <c r="DO384" s="56"/>
      <c r="DP384" s="56"/>
      <c r="DQ384" s="56"/>
      <c r="DR384" s="56"/>
      <c r="DS384" s="56"/>
      <c r="DT384" s="56"/>
      <c r="DU384" s="56"/>
      <c r="DV384" s="56"/>
      <c r="DW384" s="56"/>
      <c r="DX384" s="56"/>
      <c r="DY384" s="56"/>
      <c r="DZ384" s="56"/>
      <c r="EA384" s="56"/>
      <c r="EB384" s="56"/>
      <c r="EC384" s="56"/>
      <c r="ED384" s="56"/>
      <c r="EE384" s="56"/>
      <c r="EF384" s="56"/>
    </row>
    <row r="385" spans="44:136" s="80" customFormat="1">
      <c r="AR385" s="118"/>
      <c r="BD385" s="56"/>
      <c r="BE385" s="56"/>
      <c r="BF385" s="56"/>
      <c r="BG385" s="56"/>
      <c r="BH385" s="56"/>
      <c r="BI385" s="56"/>
      <c r="BJ385" s="56"/>
      <c r="BK385" s="56"/>
      <c r="BL385" s="56"/>
      <c r="BM385" s="56"/>
      <c r="BN385" s="56"/>
      <c r="BO385" s="56"/>
      <c r="BP385" s="56"/>
      <c r="BQ385" s="56"/>
      <c r="BR385" s="56"/>
      <c r="BS385" s="56"/>
      <c r="BT385" s="60"/>
      <c r="BU385" s="56"/>
      <c r="BV385" s="56"/>
      <c r="BW385" s="56"/>
      <c r="BX385" s="56"/>
      <c r="BY385" s="56"/>
      <c r="BZ385" s="56"/>
      <c r="CA385" s="56"/>
      <c r="CB385" s="56"/>
      <c r="CC385" s="56"/>
      <c r="CD385" s="56"/>
      <c r="CE385" s="56"/>
      <c r="CF385" s="56"/>
      <c r="CG385" s="56"/>
      <c r="CH385" s="56"/>
      <c r="CI385" s="56"/>
      <c r="CJ385" s="60"/>
      <c r="CK385" s="56"/>
      <c r="CL385" s="56"/>
      <c r="CM385" s="56"/>
      <c r="CN385" s="56"/>
      <c r="CO385" s="56"/>
      <c r="CP385" s="56"/>
      <c r="CQ385" s="56"/>
      <c r="CR385" s="56"/>
      <c r="CS385" s="56"/>
      <c r="CT385" s="56"/>
      <c r="CU385" s="56"/>
      <c r="CV385" s="56"/>
      <c r="CW385" s="56"/>
      <c r="CX385" s="60"/>
      <c r="CY385" s="56"/>
      <c r="CZ385" s="56"/>
      <c r="DA385" s="56"/>
      <c r="DB385" s="56"/>
      <c r="DC385" s="56"/>
      <c r="DD385" s="56"/>
      <c r="DE385" s="56"/>
      <c r="DF385" s="56"/>
      <c r="DG385" s="56"/>
      <c r="DH385" s="56"/>
      <c r="DI385" s="56"/>
      <c r="DJ385" s="56"/>
      <c r="DK385" s="60"/>
      <c r="DL385" s="60"/>
      <c r="DM385" s="56"/>
      <c r="DN385" s="56"/>
      <c r="DO385" s="56"/>
      <c r="DP385" s="56"/>
      <c r="DQ385" s="56"/>
      <c r="DR385" s="56"/>
      <c r="DS385" s="56"/>
      <c r="DT385" s="56"/>
      <c r="DU385" s="56"/>
      <c r="DV385" s="56"/>
      <c r="DW385" s="56"/>
      <c r="DX385" s="56"/>
      <c r="DY385" s="56"/>
      <c r="DZ385" s="56"/>
      <c r="EA385" s="56"/>
      <c r="EB385" s="56"/>
      <c r="EC385" s="56"/>
      <c r="ED385" s="56"/>
      <c r="EE385" s="56"/>
      <c r="EF385" s="56"/>
    </row>
    <row r="386" spans="44:136" s="80" customFormat="1">
      <c r="AR386" s="118"/>
      <c r="BD386" s="56"/>
      <c r="BE386" s="56"/>
      <c r="BF386" s="56"/>
      <c r="BG386" s="56"/>
      <c r="BH386" s="56"/>
      <c r="BI386" s="56"/>
      <c r="BJ386" s="56"/>
      <c r="BK386" s="56"/>
      <c r="BL386" s="56"/>
      <c r="BM386" s="56"/>
      <c r="BN386" s="56"/>
      <c r="BO386" s="56"/>
      <c r="BP386" s="56"/>
      <c r="BQ386" s="56"/>
      <c r="BR386" s="56"/>
      <c r="BS386" s="56"/>
      <c r="BT386" s="60"/>
      <c r="BU386" s="56"/>
      <c r="BV386" s="56"/>
      <c r="BW386" s="56"/>
      <c r="BX386" s="56"/>
      <c r="BY386" s="56"/>
      <c r="BZ386" s="56"/>
      <c r="CA386" s="56"/>
      <c r="CB386" s="56"/>
      <c r="CC386" s="56"/>
      <c r="CD386" s="56"/>
      <c r="CE386" s="56"/>
      <c r="CF386" s="56"/>
      <c r="CG386" s="56"/>
      <c r="CH386" s="56"/>
      <c r="CI386" s="56"/>
      <c r="CJ386" s="60"/>
      <c r="CK386" s="56"/>
      <c r="CL386" s="56"/>
      <c r="CM386" s="56"/>
      <c r="CN386" s="56"/>
      <c r="CO386" s="56"/>
      <c r="CP386" s="56"/>
      <c r="CQ386" s="56"/>
      <c r="CR386" s="56"/>
      <c r="CS386" s="56"/>
      <c r="CT386" s="56"/>
      <c r="CU386" s="56"/>
      <c r="CV386" s="56"/>
      <c r="CW386" s="56"/>
      <c r="CX386" s="60"/>
      <c r="CY386" s="56"/>
      <c r="CZ386" s="56"/>
      <c r="DA386" s="56"/>
      <c r="DB386" s="56"/>
      <c r="DC386" s="56"/>
      <c r="DD386" s="56"/>
      <c r="DE386" s="56"/>
      <c r="DF386" s="56"/>
      <c r="DG386" s="56"/>
      <c r="DH386" s="56"/>
      <c r="DI386" s="56"/>
      <c r="DJ386" s="56"/>
      <c r="DK386" s="60"/>
      <c r="DL386" s="60"/>
      <c r="DM386" s="56"/>
      <c r="DN386" s="56"/>
      <c r="DO386" s="56"/>
      <c r="DP386" s="56"/>
      <c r="DQ386" s="56"/>
      <c r="DR386" s="56"/>
      <c r="DS386" s="56"/>
      <c r="DT386" s="56"/>
      <c r="DU386" s="56"/>
      <c r="DV386" s="56"/>
      <c r="DW386" s="56"/>
      <c r="DX386" s="56"/>
      <c r="DY386" s="56"/>
      <c r="DZ386" s="56"/>
      <c r="EA386" s="56"/>
      <c r="EB386" s="56"/>
      <c r="EC386" s="56"/>
      <c r="ED386" s="56"/>
      <c r="EE386" s="56"/>
      <c r="EF386" s="56"/>
    </row>
    <row r="387" spans="44:136" s="80" customFormat="1">
      <c r="AR387" s="118"/>
      <c r="BD387" s="56"/>
      <c r="BE387" s="56"/>
      <c r="BF387" s="56"/>
      <c r="BG387" s="56"/>
      <c r="BH387" s="56"/>
      <c r="BI387" s="56"/>
      <c r="BJ387" s="56"/>
      <c r="BK387" s="56"/>
      <c r="BL387" s="56"/>
      <c r="BM387" s="56"/>
      <c r="BN387" s="56"/>
      <c r="BO387" s="56"/>
      <c r="BP387" s="56"/>
      <c r="BQ387" s="56"/>
      <c r="BR387" s="56"/>
      <c r="BS387" s="56"/>
      <c r="BT387" s="60"/>
      <c r="BU387" s="56"/>
      <c r="BV387" s="56"/>
      <c r="BW387" s="56"/>
      <c r="BX387" s="56"/>
      <c r="BY387" s="56"/>
      <c r="BZ387" s="56"/>
      <c r="CA387" s="56"/>
      <c r="CB387" s="56"/>
      <c r="CC387" s="56"/>
      <c r="CD387" s="56"/>
      <c r="CE387" s="56"/>
      <c r="CF387" s="56"/>
      <c r="CG387" s="56"/>
      <c r="CH387" s="56"/>
      <c r="CI387" s="56"/>
      <c r="CJ387" s="60"/>
      <c r="CK387" s="56"/>
      <c r="CL387" s="56"/>
      <c r="CM387" s="56"/>
      <c r="CN387" s="56"/>
      <c r="CO387" s="56"/>
      <c r="CP387" s="56"/>
      <c r="CQ387" s="56"/>
      <c r="CR387" s="56"/>
      <c r="CS387" s="56"/>
      <c r="CT387" s="56"/>
      <c r="CU387" s="56"/>
      <c r="CV387" s="56"/>
      <c r="CW387" s="56"/>
      <c r="CX387" s="60"/>
      <c r="CY387" s="56"/>
      <c r="CZ387" s="56"/>
      <c r="DA387" s="56"/>
      <c r="DB387" s="56"/>
      <c r="DC387" s="56"/>
      <c r="DD387" s="56"/>
      <c r="DE387" s="56"/>
      <c r="DF387" s="56"/>
      <c r="DG387" s="56"/>
      <c r="DH387" s="56"/>
      <c r="DI387" s="56"/>
      <c r="DJ387" s="56"/>
      <c r="DK387" s="60"/>
      <c r="DL387" s="60"/>
      <c r="DM387" s="56"/>
      <c r="DN387" s="56"/>
      <c r="DO387" s="56"/>
      <c r="DP387" s="56"/>
      <c r="DQ387" s="56"/>
      <c r="DR387" s="56"/>
      <c r="DS387" s="56"/>
      <c r="DT387" s="56"/>
      <c r="DU387" s="56"/>
      <c r="DV387" s="56"/>
      <c r="DW387" s="56"/>
      <c r="DX387" s="56"/>
      <c r="DY387" s="56"/>
      <c r="DZ387" s="56"/>
      <c r="EA387" s="56"/>
      <c r="EB387" s="56"/>
      <c r="EC387" s="56"/>
      <c r="ED387" s="56"/>
      <c r="EE387" s="56"/>
      <c r="EF387" s="56"/>
    </row>
    <row r="388" spans="44:136" s="80" customFormat="1">
      <c r="AR388" s="118"/>
      <c r="BD388" s="56"/>
      <c r="BE388" s="56"/>
      <c r="BF388" s="56"/>
      <c r="BG388" s="56"/>
      <c r="BH388" s="56"/>
      <c r="BI388" s="56"/>
      <c r="BJ388" s="56"/>
      <c r="BK388" s="56"/>
      <c r="BL388" s="56"/>
      <c r="BM388" s="56"/>
      <c r="BN388" s="56"/>
      <c r="BO388" s="56"/>
      <c r="BP388" s="56"/>
      <c r="BQ388" s="56"/>
      <c r="BR388" s="56"/>
      <c r="BS388" s="56"/>
      <c r="BT388" s="60"/>
      <c r="BU388" s="56"/>
      <c r="BV388" s="56"/>
      <c r="BW388" s="56"/>
      <c r="BX388" s="56"/>
      <c r="BY388" s="56"/>
      <c r="BZ388" s="56"/>
      <c r="CA388" s="56"/>
      <c r="CB388" s="56"/>
      <c r="CC388" s="56"/>
      <c r="CD388" s="56"/>
      <c r="CE388" s="56"/>
      <c r="CF388" s="56"/>
      <c r="CG388" s="56"/>
      <c r="CH388" s="56"/>
      <c r="CI388" s="56"/>
      <c r="CJ388" s="60"/>
      <c r="CK388" s="56"/>
      <c r="CL388" s="56"/>
      <c r="CM388" s="56"/>
      <c r="CN388" s="56"/>
      <c r="CO388" s="56"/>
      <c r="CP388" s="56"/>
      <c r="CQ388" s="56"/>
      <c r="CR388" s="56"/>
      <c r="CS388" s="56"/>
      <c r="CT388" s="56"/>
      <c r="CU388" s="56"/>
      <c r="CV388" s="56"/>
      <c r="CW388" s="56"/>
      <c r="CX388" s="60"/>
      <c r="CY388" s="56"/>
      <c r="CZ388" s="56"/>
      <c r="DA388" s="56"/>
      <c r="DB388" s="56"/>
      <c r="DC388" s="56"/>
      <c r="DD388" s="56"/>
      <c r="DE388" s="56"/>
      <c r="DF388" s="56"/>
      <c r="DG388" s="56"/>
      <c r="DH388" s="56"/>
      <c r="DI388" s="56"/>
      <c r="DJ388" s="56"/>
      <c r="DK388" s="60"/>
      <c r="DL388" s="60"/>
      <c r="DM388" s="56"/>
      <c r="DN388" s="56"/>
      <c r="DO388" s="56"/>
      <c r="DP388" s="56"/>
      <c r="DQ388" s="56"/>
      <c r="DR388" s="56"/>
      <c r="DS388" s="56"/>
      <c r="DT388" s="56"/>
      <c r="DU388" s="56"/>
      <c r="DV388" s="56"/>
      <c r="DW388" s="56"/>
      <c r="DX388" s="56"/>
      <c r="DY388" s="56"/>
      <c r="DZ388" s="56"/>
      <c r="EA388" s="56"/>
      <c r="EB388" s="56"/>
      <c r="EC388" s="56"/>
      <c r="ED388" s="56"/>
      <c r="EE388" s="56"/>
      <c r="EF388" s="56"/>
    </row>
    <row r="389" spans="44:136" s="80" customFormat="1">
      <c r="AR389" s="118"/>
      <c r="BD389" s="56"/>
      <c r="BE389" s="56"/>
      <c r="BF389" s="56"/>
      <c r="BG389" s="56"/>
      <c r="BH389" s="56"/>
      <c r="BI389" s="56"/>
      <c r="BJ389" s="56"/>
      <c r="BK389" s="56"/>
      <c r="BL389" s="56"/>
      <c r="BM389" s="56"/>
      <c r="BN389" s="56"/>
      <c r="BO389" s="56"/>
      <c r="BP389" s="56"/>
      <c r="BQ389" s="56"/>
      <c r="BR389" s="56"/>
      <c r="BS389" s="56"/>
      <c r="BT389" s="60"/>
      <c r="BU389" s="56"/>
      <c r="BV389" s="56"/>
      <c r="BW389" s="56"/>
      <c r="BX389" s="56"/>
      <c r="BY389" s="56"/>
      <c r="BZ389" s="56"/>
      <c r="CA389" s="56"/>
      <c r="CB389" s="56"/>
      <c r="CC389" s="56"/>
      <c r="CD389" s="56"/>
      <c r="CE389" s="56"/>
      <c r="CF389" s="56"/>
      <c r="CG389" s="56"/>
      <c r="CH389" s="56"/>
      <c r="CI389" s="56"/>
      <c r="CJ389" s="60"/>
      <c r="CK389" s="56"/>
      <c r="CL389" s="56"/>
      <c r="CM389" s="56"/>
      <c r="CN389" s="56"/>
      <c r="CO389" s="56"/>
      <c r="CP389" s="56"/>
      <c r="CQ389" s="56"/>
      <c r="CR389" s="56"/>
      <c r="CS389" s="56"/>
      <c r="CT389" s="56"/>
      <c r="CU389" s="56"/>
      <c r="CV389" s="56"/>
      <c r="CW389" s="56"/>
      <c r="CX389" s="60"/>
      <c r="CY389" s="56"/>
      <c r="CZ389" s="56"/>
      <c r="DA389" s="56"/>
      <c r="DB389" s="56"/>
      <c r="DC389" s="56"/>
      <c r="DD389" s="56"/>
      <c r="DE389" s="56"/>
      <c r="DF389" s="56"/>
      <c r="DG389" s="56"/>
      <c r="DH389" s="56"/>
      <c r="DI389" s="56"/>
      <c r="DJ389" s="56"/>
      <c r="DK389" s="60"/>
      <c r="DL389" s="60"/>
      <c r="DM389" s="56"/>
      <c r="DN389" s="56"/>
      <c r="DO389" s="56"/>
      <c r="DP389" s="56"/>
      <c r="DQ389" s="56"/>
      <c r="DR389" s="56"/>
      <c r="DS389" s="56"/>
      <c r="DT389" s="56"/>
      <c r="DU389" s="56"/>
      <c r="DV389" s="56"/>
      <c r="DW389" s="56"/>
      <c r="DX389" s="56"/>
      <c r="DY389" s="56"/>
      <c r="DZ389" s="56"/>
      <c r="EA389" s="56"/>
      <c r="EB389" s="56"/>
      <c r="EC389" s="56"/>
      <c r="ED389" s="56"/>
      <c r="EE389" s="56"/>
      <c r="EF389" s="56"/>
    </row>
    <row r="390" spans="44:136" s="80" customFormat="1">
      <c r="AR390" s="118"/>
      <c r="BD390" s="56"/>
      <c r="BE390" s="56"/>
      <c r="BF390" s="56"/>
      <c r="BG390" s="56"/>
      <c r="BH390" s="56"/>
      <c r="BI390" s="56"/>
      <c r="BJ390" s="56"/>
      <c r="BK390" s="56"/>
      <c r="BL390" s="56"/>
      <c r="BM390" s="56"/>
      <c r="BN390" s="56"/>
      <c r="BO390" s="56"/>
      <c r="BP390" s="56"/>
      <c r="BQ390" s="56"/>
      <c r="BR390" s="56"/>
      <c r="BS390" s="56"/>
      <c r="BT390" s="60"/>
      <c r="BU390" s="56"/>
      <c r="BV390" s="56"/>
      <c r="BW390" s="56"/>
      <c r="BX390" s="56"/>
      <c r="BY390" s="56"/>
      <c r="BZ390" s="56"/>
      <c r="CA390" s="56"/>
      <c r="CB390" s="56"/>
      <c r="CC390" s="56"/>
      <c r="CD390" s="56"/>
      <c r="CE390" s="56"/>
      <c r="CF390" s="56"/>
      <c r="CG390" s="56"/>
      <c r="CH390" s="56"/>
      <c r="CI390" s="56"/>
      <c r="CJ390" s="60"/>
      <c r="CK390" s="56"/>
      <c r="CL390" s="56"/>
      <c r="CM390" s="56"/>
      <c r="CN390" s="56"/>
      <c r="CO390" s="56"/>
      <c r="CP390" s="56"/>
      <c r="CQ390" s="56"/>
      <c r="CR390" s="56"/>
      <c r="CS390" s="56"/>
      <c r="CT390" s="56"/>
      <c r="CU390" s="56"/>
      <c r="CV390" s="56"/>
      <c r="CW390" s="56"/>
      <c r="CX390" s="60"/>
      <c r="CY390" s="56"/>
      <c r="CZ390" s="56"/>
      <c r="DA390" s="56"/>
      <c r="DB390" s="56"/>
      <c r="DC390" s="56"/>
      <c r="DD390" s="56"/>
      <c r="DE390" s="56"/>
      <c r="DF390" s="56"/>
      <c r="DG390" s="56"/>
      <c r="DH390" s="56"/>
      <c r="DI390" s="56"/>
      <c r="DJ390" s="56"/>
      <c r="DK390" s="60"/>
      <c r="DL390" s="60"/>
      <c r="DM390" s="56"/>
      <c r="DN390" s="56"/>
      <c r="DO390" s="56"/>
      <c r="DP390" s="56"/>
      <c r="DQ390" s="56"/>
      <c r="DR390" s="56"/>
      <c r="DS390" s="56"/>
      <c r="DT390" s="56"/>
      <c r="DU390" s="56"/>
      <c r="DV390" s="56"/>
      <c r="DW390" s="56"/>
      <c r="DX390" s="56"/>
      <c r="DY390" s="56"/>
      <c r="DZ390" s="56"/>
      <c r="EA390" s="56"/>
      <c r="EB390" s="56"/>
      <c r="EC390" s="56"/>
      <c r="ED390" s="56"/>
      <c r="EE390" s="56"/>
      <c r="EF390" s="56"/>
    </row>
    <row r="391" spans="44:136" s="80" customFormat="1">
      <c r="AR391" s="118"/>
      <c r="BD391" s="56"/>
      <c r="BE391" s="56"/>
      <c r="BF391" s="56"/>
      <c r="BG391" s="56"/>
      <c r="BH391" s="56"/>
      <c r="BI391" s="56"/>
      <c r="BJ391" s="56"/>
      <c r="BK391" s="56"/>
      <c r="BL391" s="56"/>
      <c r="BM391" s="56"/>
      <c r="BN391" s="56"/>
      <c r="BO391" s="56"/>
      <c r="BP391" s="56"/>
      <c r="BQ391" s="56"/>
      <c r="BR391" s="56"/>
      <c r="BS391" s="56"/>
      <c r="BT391" s="60"/>
      <c r="BU391" s="56"/>
      <c r="BV391" s="56"/>
      <c r="BW391" s="56"/>
      <c r="BX391" s="56"/>
      <c r="BY391" s="56"/>
      <c r="BZ391" s="56"/>
      <c r="CA391" s="56"/>
      <c r="CB391" s="56"/>
      <c r="CC391" s="56"/>
      <c r="CD391" s="56"/>
      <c r="CE391" s="56"/>
      <c r="CF391" s="56"/>
      <c r="CG391" s="56"/>
      <c r="CH391" s="56"/>
      <c r="CI391" s="56"/>
      <c r="CJ391" s="60"/>
      <c r="CK391" s="56"/>
      <c r="CL391" s="56"/>
      <c r="CM391" s="56"/>
      <c r="CN391" s="56"/>
      <c r="CO391" s="56"/>
      <c r="CP391" s="56"/>
      <c r="CQ391" s="56"/>
      <c r="CR391" s="56"/>
      <c r="CS391" s="56"/>
      <c r="CT391" s="56"/>
      <c r="CU391" s="56"/>
      <c r="CV391" s="56"/>
      <c r="CW391" s="56"/>
      <c r="CX391" s="60"/>
      <c r="CY391" s="56"/>
      <c r="CZ391" s="56"/>
      <c r="DA391" s="56"/>
      <c r="DB391" s="56"/>
      <c r="DC391" s="56"/>
      <c r="DD391" s="56"/>
      <c r="DE391" s="56"/>
      <c r="DF391" s="56"/>
      <c r="DG391" s="56"/>
      <c r="DH391" s="56"/>
      <c r="DI391" s="56"/>
      <c r="DJ391" s="56"/>
      <c r="DK391" s="60"/>
      <c r="DL391" s="60"/>
      <c r="DM391" s="56"/>
      <c r="DN391" s="56"/>
      <c r="DO391" s="56"/>
      <c r="DP391" s="56"/>
      <c r="DQ391" s="56"/>
      <c r="DR391" s="56"/>
      <c r="DS391" s="56"/>
      <c r="DT391" s="56"/>
      <c r="DU391" s="56"/>
      <c r="DV391" s="56"/>
      <c r="DW391" s="56"/>
      <c r="DX391" s="56"/>
      <c r="DY391" s="56"/>
      <c r="DZ391" s="56"/>
      <c r="EA391" s="56"/>
      <c r="EB391" s="56"/>
      <c r="EC391" s="56"/>
      <c r="ED391" s="56"/>
      <c r="EE391" s="56"/>
      <c r="EF391" s="56"/>
    </row>
    <row r="392" spans="44:136" s="80" customFormat="1">
      <c r="AR392" s="118"/>
      <c r="BD392" s="56"/>
      <c r="BE392" s="56"/>
      <c r="BF392" s="56"/>
      <c r="BG392" s="56"/>
      <c r="BH392" s="56"/>
      <c r="BI392" s="56"/>
      <c r="BJ392" s="56"/>
      <c r="BK392" s="56"/>
      <c r="BL392" s="56"/>
      <c r="BM392" s="56"/>
      <c r="BN392" s="56"/>
      <c r="BO392" s="56"/>
      <c r="BP392" s="56"/>
      <c r="BQ392" s="56"/>
      <c r="BR392" s="56"/>
      <c r="BS392" s="56"/>
      <c r="BT392" s="60"/>
      <c r="BU392" s="56"/>
      <c r="BV392" s="56"/>
      <c r="BW392" s="56"/>
      <c r="BX392" s="56"/>
      <c r="BY392" s="56"/>
      <c r="BZ392" s="56"/>
      <c r="CA392" s="56"/>
      <c r="CB392" s="56"/>
      <c r="CC392" s="56"/>
      <c r="CD392" s="56"/>
      <c r="CE392" s="56"/>
      <c r="CF392" s="56"/>
      <c r="CG392" s="56"/>
      <c r="CH392" s="56"/>
      <c r="CI392" s="56"/>
      <c r="CJ392" s="60"/>
      <c r="CK392" s="56"/>
      <c r="CL392" s="56"/>
      <c r="CM392" s="56"/>
      <c r="CN392" s="56"/>
      <c r="CO392" s="56"/>
      <c r="CP392" s="56"/>
      <c r="CQ392" s="56"/>
      <c r="CR392" s="56"/>
      <c r="CS392" s="56"/>
      <c r="CT392" s="56"/>
      <c r="CU392" s="56"/>
      <c r="CV392" s="56"/>
      <c r="CW392" s="56"/>
      <c r="CX392" s="60"/>
      <c r="CY392" s="56"/>
      <c r="CZ392" s="56"/>
      <c r="DA392" s="56"/>
      <c r="DB392" s="56"/>
      <c r="DC392" s="56"/>
      <c r="DD392" s="56"/>
      <c r="DE392" s="56"/>
      <c r="DF392" s="56"/>
      <c r="DG392" s="56"/>
      <c r="DH392" s="56"/>
      <c r="DI392" s="56"/>
      <c r="DJ392" s="56"/>
      <c r="DK392" s="60"/>
      <c r="DL392" s="60"/>
      <c r="DM392" s="56"/>
      <c r="DN392" s="56"/>
      <c r="DO392" s="56"/>
      <c r="DP392" s="56"/>
      <c r="DQ392" s="56"/>
      <c r="DR392" s="56"/>
      <c r="DS392" s="56"/>
      <c r="DT392" s="56"/>
      <c r="DU392" s="56"/>
      <c r="DV392" s="56"/>
      <c r="DW392" s="56"/>
      <c r="DX392" s="56"/>
      <c r="DY392" s="56"/>
      <c r="DZ392" s="56"/>
      <c r="EA392" s="56"/>
      <c r="EB392" s="56"/>
      <c r="EC392" s="56"/>
      <c r="ED392" s="56"/>
      <c r="EE392" s="56"/>
      <c r="EF392" s="56"/>
    </row>
    <row r="393" spans="44:136" s="80" customFormat="1">
      <c r="AR393" s="118"/>
      <c r="BD393" s="56"/>
      <c r="BE393" s="56"/>
      <c r="BF393" s="56"/>
      <c r="BG393" s="56"/>
      <c r="BH393" s="56"/>
      <c r="BI393" s="56"/>
      <c r="BJ393" s="56"/>
      <c r="BK393" s="56"/>
      <c r="BL393" s="56"/>
      <c r="BM393" s="56"/>
      <c r="BN393" s="56"/>
      <c r="BO393" s="56"/>
      <c r="BP393" s="56"/>
      <c r="BQ393" s="56"/>
      <c r="BR393" s="56"/>
      <c r="BS393" s="56"/>
      <c r="BT393" s="60"/>
      <c r="BU393" s="56"/>
      <c r="BV393" s="56"/>
      <c r="BW393" s="56"/>
      <c r="BX393" s="56"/>
      <c r="BY393" s="56"/>
      <c r="BZ393" s="56"/>
      <c r="CA393" s="56"/>
      <c r="CB393" s="56"/>
      <c r="CC393" s="56"/>
      <c r="CD393" s="56"/>
      <c r="CE393" s="56"/>
      <c r="CF393" s="56"/>
      <c r="CG393" s="56"/>
      <c r="CH393" s="56"/>
      <c r="CI393" s="56"/>
      <c r="CJ393" s="60"/>
      <c r="CK393" s="56"/>
      <c r="CL393" s="56"/>
      <c r="CM393" s="56"/>
      <c r="CN393" s="56"/>
      <c r="CO393" s="56"/>
      <c r="CP393" s="56"/>
      <c r="CQ393" s="56"/>
      <c r="CR393" s="56"/>
      <c r="CS393" s="56"/>
      <c r="CT393" s="56"/>
      <c r="CU393" s="56"/>
      <c r="CV393" s="56"/>
      <c r="CW393" s="56"/>
      <c r="CX393" s="60"/>
      <c r="CY393" s="56"/>
      <c r="CZ393" s="56"/>
      <c r="DA393" s="56"/>
      <c r="DB393" s="56"/>
      <c r="DC393" s="56"/>
      <c r="DD393" s="56"/>
      <c r="DE393" s="56"/>
      <c r="DF393" s="56"/>
      <c r="DG393" s="56"/>
      <c r="DH393" s="56"/>
      <c r="DI393" s="56"/>
      <c r="DJ393" s="56"/>
      <c r="DK393" s="60"/>
      <c r="DL393" s="60"/>
      <c r="DM393" s="56"/>
      <c r="DN393" s="56"/>
      <c r="DO393" s="56"/>
      <c r="DP393" s="56"/>
      <c r="DQ393" s="56"/>
      <c r="DR393" s="56"/>
      <c r="DS393" s="56"/>
      <c r="DT393" s="56"/>
      <c r="DU393" s="56"/>
      <c r="DV393" s="56"/>
      <c r="DW393" s="56"/>
      <c r="DX393" s="56"/>
      <c r="DY393" s="56"/>
      <c r="DZ393" s="56"/>
      <c r="EA393" s="56"/>
      <c r="EB393" s="56"/>
      <c r="EC393" s="56"/>
      <c r="ED393" s="56"/>
      <c r="EE393" s="56"/>
      <c r="EF393" s="56"/>
    </row>
    <row r="394" spans="44:136" s="80" customFormat="1">
      <c r="AR394" s="118"/>
      <c r="BD394" s="56"/>
      <c r="BE394" s="56"/>
      <c r="BF394" s="56"/>
      <c r="BG394" s="56"/>
      <c r="BH394" s="56"/>
      <c r="BI394" s="56"/>
      <c r="BJ394" s="56"/>
      <c r="BK394" s="56"/>
      <c r="BL394" s="56"/>
      <c r="BM394" s="56"/>
      <c r="BN394" s="56"/>
      <c r="BO394" s="56"/>
      <c r="BP394" s="56"/>
      <c r="BQ394" s="56"/>
      <c r="BR394" s="56"/>
      <c r="BS394" s="56"/>
      <c r="BT394" s="60"/>
      <c r="BU394" s="56"/>
      <c r="BV394" s="56"/>
      <c r="BW394" s="56"/>
      <c r="BX394" s="56"/>
      <c r="BY394" s="56"/>
      <c r="BZ394" s="56"/>
      <c r="CA394" s="56"/>
      <c r="CB394" s="56"/>
      <c r="CC394" s="56"/>
      <c r="CD394" s="56"/>
      <c r="CE394" s="56"/>
      <c r="CF394" s="56"/>
      <c r="CG394" s="56"/>
      <c r="CH394" s="56"/>
      <c r="CI394" s="56"/>
      <c r="CJ394" s="60"/>
      <c r="CK394" s="56"/>
      <c r="CL394" s="56"/>
      <c r="CM394" s="56"/>
      <c r="CN394" s="56"/>
      <c r="CO394" s="56"/>
      <c r="CP394" s="56"/>
      <c r="CQ394" s="56"/>
      <c r="CR394" s="56"/>
      <c r="CS394" s="56"/>
      <c r="CT394" s="56"/>
      <c r="CU394" s="56"/>
      <c r="CV394" s="56"/>
      <c r="CW394" s="56"/>
      <c r="CX394" s="60"/>
      <c r="CY394" s="56"/>
      <c r="CZ394" s="56"/>
      <c r="DA394" s="56"/>
      <c r="DB394" s="56"/>
      <c r="DC394" s="56"/>
      <c r="DD394" s="56"/>
      <c r="DE394" s="56"/>
      <c r="DF394" s="56"/>
      <c r="DG394" s="56"/>
      <c r="DH394" s="56"/>
      <c r="DI394" s="56"/>
      <c r="DJ394" s="56"/>
      <c r="DK394" s="60"/>
      <c r="DL394" s="60"/>
      <c r="DM394" s="56"/>
      <c r="DN394" s="56"/>
      <c r="DO394" s="56"/>
      <c r="DP394" s="56"/>
      <c r="DQ394" s="56"/>
      <c r="DR394" s="56"/>
      <c r="DS394" s="56"/>
      <c r="DT394" s="56"/>
      <c r="DU394" s="56"/>
      <c r="DV394" s="56"/>
      <c r="DW394" s="56"/>
      <c r="DX394" s="56"/>
      <c r="DY394" s="56"/>
      <c r="DZ394" s="56"/>
      <c r="EA394" s="56"/>
      <c r="EB394" s="56"/>
      <c r="EC394" s="56"/>
      <c r="ED394" s="56"/>
      <c r="EE394" s="56"/>
      <c r="EF394" s="56"/>
    </row>
    <row r="395" spans="44:136" s="80" customFormat="1">
      <c r="AR395" s="118"/>
      <c r="BD395" s="56"/>
      <c r="BE395" s="56"/>
      <c r="BF395" s="56"/>
      <c r="BG395" s="56"/>
      <c r="BH395" s="56"/>
      <c r="BI395" s="56"/>
      <c r="BJ395" s="56"/>
      <c r="BK395" s="56"/>
      <c r="BL395" s="56"/>
      <c r="BM395" s="56"/>
      <c r="BN395" s="56"/>
      <c r="BO395" s="56"/>
      <c r="BP395" s="56"/>
      <c r="BQ395" s="56"/>
      <c r="BR395" s="56"/>
      <c r="BS395" s="56"/>
      <c r="BT395" s="60"/>
      <c r="BU395" s="56"/>
      <c r="BV395" s="56"/>
      <c r="BW395" s="56"/>
      <c r="BX395" s="56"/>
      <c r="BY395" s="56"/>
      <c r="BZ395" s="56"/>
      <c r="CA395" s="56"/>
      <c r="CB395" s="56"/>
      <c r="CC395" s="56"/>
      <c r="CD395" s="56"/>
      <c r="CE395" s="56"/>
      <c r="CF395" s="56"/>
      <c r="CG395" s="56"/>
      <c r="CH395" s="56"/>
      <c r="CI395" s="56"/>
      <c r="CJ395" s="60"/>
      <c r="CK395" s="56"/>
      <c r="CL395" s="56"/>
      <c r="CM395" s="56"/>
      <c r="CN395" s="56"/>
      <c r="CO395" s="56"/>
      <c r="CP395" s="56"/>
      <c r="CQ395" s="56"/>
      <c r="CR395" s="56"/>
      <c r="CS395" s="56"/>
      <c r="CT395" s="56"/>
      <c r="CU395" s="56"/>
      <c r="CV395" s="56"/>
      <c r="CW395" s="56"/>
      <c r="CX395" s="60"/>
      <c r="CY395" s="56"/>
      <c r="CZ395" s="56"/>
      <c r="DA395" s="56"/>
      <c r="DB395" s="56"/>
      <c r="DC395" s="56"/>
      <c r="DD395" s="56"/>
      <c r="DE395" s="56"/>
      <c r="DF395" s="56"/>
      <c r="DG395" s="56"/>
      <c r="DH395" s="56"/>
      <c r="DI395" s="56"/>
      <c r="DJ395" s="56"/>
      <c r="DK395" s="60"/>
      <c r="DL395" s="60"/>
      <c r="DM395" s="56"/>
      <c r="DN395" s="56"/>
      <c r="DO395" s="56"/>
      <c r="DP395" s="56"/>
      <c r="DQ395" s="56"/>
      <c r="DR395" s="56"/>
      <c r="DS395" s="56"/>
      <c r="DT395" s="56"/>
      <c r="DU395" s="56"/>
      <c r="DV395" s="56"/>
      <c r="DW395" s="56"/>
      <c r="DX395" s="56"/>
      <c r="DY395" s="56"/>
      <c r="DZ395" s="56"/>
      <c r="EA395" s="56"/>
      <c r="EB395" s="56"/>
      <c r="EC395" s="56"/>
      <c r="ED395" s="56"/>
      <c r="EE395" s="56"/>
      <c r="EF395" s="56"/>
    </row>
    <row r="396" spans="44:136" s="80" customFormat="1">
      <c r="AR396" s="118"/>
      <c r="BD396" s="56"/>
      <c r="BE396" s="56"/>
      <c r="BF396" s="56"/>
      <c r="BG396" s="56"/>
      <c r="BH396" s="56"/>
      <c r="BI396" s="56"/>
      <c r="BJ396" s="56"/>
      <c r="BK396" s="56"/>
      <c r="BL396" s="56"/>
      <c r="BM396" s="56"/>
      <c r="BN396" s="56"/>
      <c r="BO396" s="56"/>
      <c r="BP396" s="56"/>
      <c r="BQ396" s="56"/>
      <c r="BR396" s="56"/>
      <c r="BS396" s="56"/>
      <c r="BT396" s="60"/>
      <c r="BU396" s="56"/>
      <c r="BV396" s="56"/>
      <c r="BW396" s="56"/>
      <c r="BX396" s="56"/>
      <c r="BY396" s="56"/>
      <c r="BZ396" s="56"/>
      <c r="CA396" s="56"/>
      <c r="CB396" s="56"/>
      <c r="CC396" s="56"/>
      <c r="CD396" s="56"/>
      <c r="CE396" s="56"/>
      <c r="CF396" s="56"/>
      <c r="CG396" s="56"/>
      <c r="CH396" s="56"/>
      <c r="CI396" s="56"/>
      <c r="CJ396" s="60"/>
      <c r="CK396" s="56"/>
      <c r="CL396" s="56"/>
      <c r="CM396" s="56"/>
      <c r="CN396" s="56"/>
      <c r="CO396" s="56"/>
      <c r="CP396" s="56"/>
      <c r="CQ396" s="56"/>
      <c r="CR396" s="56"/>
      <c r="CS396" s="56"/>
      <c r="CT396" s="56"/>
      <c r="CU396" s="56"/>
      <c r="CV396" s="56"/>
      <c r="CW396" s="56"/>
      <c r="CX396" s="60"/>
      <c r="CY396" s="56"/>
      <c r="CZ396" s="56"/>
      <c r="DA396" s="56"/>
      <c r="DB396" s="56"/>
      <c r="DC396" s="56"/>
      <c r="DD396" s="56"/>
      <c r="DE396" s="56"/>
      <c r="DF396" s="56"/>
      <c r="DG396" s="56"/>
      <c r="DH396" s="56"/>
      <c r="DI396" s="56"/>
      <c r="DJ396" s="56"/>
      <c r="DK396" s="60"/>
      <c r="DL396" s="60"/>
      <c r="DM396" s="56"/>
      <c r="DN396" s="56"/>
      <c r="DO396" s="56"/>
      <c r="DP396" s="56"/>
      <c r="DQ396" s="56"/>
      <c r="DR396" s="56"/>
      <c r="DS396" s="56"/>
      <c r="DT396" s="56"/>
      <c r="DU396" s="56"/>
      <c r="DV396" s="56"/>
      <c r="DW396" s="56"/>
      <c r="DX396" s="56"/>
      <c r="DY396" s="56"/>
      <c r="DZ396" s="56"/>
      <c r="EA396" s="56"/>
      <c r="EB396" s="56"/>
      <c r="EC396" s="56"/>
      <c r="ED396" s="56"/>
      <c r="EE396" s="56"/>
      <c r="EF396" s="56"/>
    </row>
    <row r="397" spans="44:136" s="80" customFormat="1">
      <c r="AR397" s="118"/>
      <c r="BD397" s="56"/>
      <c r="BE397" s="56"/>
      <c r="BF397" s="56"/>
      <c r="BG397" s="56"/>
      <c r="BH397" s="56"/>
      <c r="BI397" s="56"/>
      <c r="BJ397" s="56"/>
      <c r="BK397" s="56"/>
      <c r="BL397" s="56"/>
      <c r="BM397" s="56"/>
      <c r="BN397" s="56"/>
      <c r="BO397" s="56"/>
      <c r="BP397" s="56"/>
      <c r="BQ397" s="56"/>
      <c r="BR397" s="56"/>
      <c r="BS397" s="56"/>
      <c r="BT397" s="60"/>
      <c r="BU397" s="56"/>
      <c r="BV397" s="56"/>
      <c r="BW397" s="56"/>
      <c r="BX397" s="56"/>
      <c r="BY397" s="56"/>
      <c r="BZ397" s="56"/>
      <c r="CA397" s="56"/>
      <c r="CB397" s="56"/>
      <c r="CC397" s="56"/>
      <c r="CD397" s="56"/>
      <c r="CE397" s="56"/>
      <c r="CF397" s="56"/>
      <c r="CG397" s="56"/>
      <c r="CH397" s="56"/>
      <c r="CI397" s="56"/>
      <c r="CJ397" s="60"/>
      <c r="CK397" s="56"/>
      <c r="CL397" s="56"/>
      <c r="CM397" s="56"/>
      <c r="CN397" s="56"/>
      <c r="CO397" s="56"/>
      <c r="CP397" s="56"/>
      <c r="CQ397" s="56"/>
      <c r="CR397" s="56"/>
      <c r="CS397" s="56"/>
      <c r="CT397" s="56"/>
      <c r="CU397" s="56"/>
      <c r="CV397" s="56"/>
      <c r="CW397" s="56"/>
      <c r="CX397" s="60"/>
      <c r="CY397" s="56"/>
      <c r="CZ397" s="56"/>
      <c r="DA397" s="56"/>
      <c r="DB397" s="56"/>
      <c r="DC397" s="56"/>
      <c r="DD397" s="56"/>
      <c r="DE397" s="56"/>
      <c r="DF397" s="56"/>
      <c r="DG397" s="56"/>
      <c r="DH397" s="56"/>
      <c r="DI397" s="56"/>
      <c r="DJ397" s="56"/>
      <c r="DK397" s="60"/>
      <c r="DL397" s="60"/>
      <c r="DM397" s="56"/>
      <c r="DN397" s="56"/>
      <c r="DO397" s="56"/>
      <c r="DP397" s="56"/>
      <c r="DQ397" s="56"/>
      <c r="DR397" s="56"/>
      <c r="DS397" s="56"/>
      <c r="DT397" s="56"/>
      <c r="DU397" s="56"/>
      <c r="DV397" s="56"/>
      <c r="DW397" s="56"/>
      <c r="DX397" s="56"/>
      <c r="DY397" s="56"/>
      <c r="DZ397" s="56"/>
      <c r="EA397" s="56"/>
      <c r="EB397" s="56"/>
      <c r="EC397" s="56"/>
      <c r="ED397" s="56"/>
      <c r="EE397" s="56"/>
      <c r="EF397" s="56"/>
    </row>
    <row r="398" spans="44:136" s="80" customFormat="1">
      <c r="AR398" s="118"/>
      <c r="BD398" s="56"/>
      <c r="BE398" s="56"/>
      <c r="BF398" s="56"/>
      <c r="BG398" s="56"/>
      <c r="BH398" s="56"/>
      <c r="BI398" s="56"/>
      <c r="BJ398" s="56"/>
      <c r="BK398" s="56"/>
      <c r="BL398" s="56"/>
      <c r="BM398" s="56"/>
      <c r="BN398" s="56"/>
      <c r="BO398" s="56"/>
      <c r="BP398" s="56"/>
      <c r="BQ398" s="56"/>
      <c r="BR398" s="56"/>
      <c r="BS398" s="56"/>
      <c r="BT398" s="60"/>
      <c r="BU398" s="56"/>
      <c r="BV398" s="56"/>
      <c r="BW398" s="56"/>
      <c r="BX398" s="56"/>
      <c r="BY398" s="56"/>
      <c r="BZ398" s="56"/>
      <c r="CA398" s="56"/>
      <c r="CB398" s="56"/>
      <c r="CC398" s="56"/>
      <c r="CD398" s="56"/>
      <c r="CE398" s="56"/>
      <c r="CF398" s="56"/>
      <c r="CG398" s="56"/>
      <c r="CH398" s="56"/>
      <c r="CI398" s="56"/>
      <c r="CJ398" s="60"/>
      <c r="CK398" s="56"/>
      <c r="CL398" s="56"/>
      <c r="CM398" s="56"/>
      <c r="CN398" s="56"/>
      <c r="CO398" s="56"/>
      <c r="CP398" s="56"/>
      <c r="CQ398" s="56"/>
      <c r="CR398" s="56"/>
      <c r="CS398" s="56"/>
      <c r="CT398" s="56"/>
      <c r="CU398" s="56"/>
      <c r="CV398" s="56"/>
      <c r="CW398" s="56"/>
      <c r="CX398" s="60"/>
      <c r="CY398" s="56"/>
      <c r="CZ398" s="56"/>
      <c r="DA398" s="56"/>
      <c r="DB398" s="56"/>
      <c r="DC398" s="56"/>
      <c r="DD398" s="56"/>
      <c r="DE398" s="56"/>
      <c r="DF398" s="56"/>
      <c r="DG398" s="56"/>
      <c r="DH398" s="56"/>
      <c r="DI398" s="56"/>
      <c r="DJ398" s="56"/>
      <c r="DK398" s="60"/>
      <c r="DL398" s="60"/>
      <c r="DM398" s="56"/>
      <c r="DN398" s="56"/>
      <c r="DO398" s="56"/>
      <c r="DP398" s="56"/>
      <c r="DQ398" s="56"/>
      <c r="DR398" s="56"/>
      <c r="DS398" s="56"/>
      <c r="DT398" s="56"/>
      <c r="DU398" s="56"/>
      <c r="DV398" s="56"/>
      <c r="DW398" s="56"/>
      <c r="DX398" s="56"/>
      <c r="DY398" s="56"/>
      <c r="DZ398" s="56"/>
      <c r="EA398" s="56"/>
      <c r="EB398" s="56"/>
      <c r="EC398" s="56"/>
      <c r="ED398" s="56"/>
      <c r="EE398" s="56"/>
      <c r="EF398" s="56"/>
    </row>
    <row r="399" spans="44:136" s="80" customFormat="1">
      <c r="AR399" s="118"/>
      <c r="BD399" s="56"/>
      <c r="BE399" s="56"/>
      <c r="BF399" s="56"/>
      <c r="BG399" s="56"/>
      <c r="BH399" s="56"/>
      <c r="BI399" s="56"/>
      <c r="BJ399" s="56"/>
      <c r="BK399" s="56"/>
      <c r="BL399" s="56"/>
      <c r="BM399" s="56"/>
      <c r="BN399" s="56"/>
      <c r="BO399" s="56"/>
      <c r="BP399" s="56"/>
      <c r="BQ399" s="56"/>
      <c r="BR399" s="56"/>
      <c r="BS399" s="56"/>
      <c r="BT399" s="60"/>
      <c r="BU399" s="56"/>
      <c r="BV399" s="56"/>
      <c r="BW399" s="56"/>
      <c r="BX399" s="56"/>
      <c r="BY399" s="56"/>
      <c r="BZ399" s="56"/>
      <c r="CA399" s="56"/>
      <c r="CB399" s="56"/>
      <c r="CC399" s="56"/>
      <c r="CD399" s="56"/>
      <c r="CE399" s="56"/>
      <c r="CF399" s="56"/>
      <c r="CG399" s="56"/>
      <c r="CH399" s="56"/>
      <c r="CI399" s="56"/>
      <c r="CJ399" s="60"/>
      <c r="CK399" s="56"/>
      <c r="CL399" s="56"/>
      <c r="CM399" s="56"/>
      <c r="CN399" s="56"/>
      <c r="CO399" s="56"/>
      <c r="CP399" s="56"/>
      <c r="CQ399" s="56"/>
      <c r="CR399" s="56"/>
      <c r="CS399" s="56"/>
      <c r="CT399" s="56"/>
      <c r="CU399" s="56"/>
      <c r="CV399" s="56"/>
      <c r="CW399" s="56"/>
      <c r="CX399" s="60"/>
      <c r="CY399" s="56"/>
      <c r="CZ399" s="56"/>
      <c r="DA399" s="56"/>
      <c r="DB399" s="56"/>
      <c r="DC399" s="56"/>
      <c r="DD399" s="56"/>
      <c r="DE399" s="56"/>
      <c r="DF399" s="56"/>
      <c r="DG399" s="56"/>
      <c r="DH399" s="56"/>
      <c r="DI399" s="56"/>
      <c r="DJ399" s="56"/>
      <c r="DK399" s="60"/>
      <c r="DL399" s="60"/>
      <c r="DM399" s="56"/>
      <c r="DN399" s="56"/>
      <c r="DO399" s="56"/>
      <c r="DP399" s="56"/>
      <c r="DQ399" s="56"/>
      <c r="DR399" s="56"/>
      <c r="DS399" s="56"/>
      <c r="DT399" s="56"/>
      <c r="DU399" s="56"/>
      <c r="DV399" s="56"/>
      <c r="DW399" s="56"/>
      <c r="DX399" s="56"/>
      <c r="DY399" s="56"/>
      <c r="DZ399" s="56"/>
      <c r="EA399" s="56"/>
      <c r="EB399" s="56"/>
      <c r="EC399" s="56"/>
      <c r="ED399" s="56"/>
      <c r="EE399" s="56"/>
      <c r="EF399" s="56"/>
    </row>
    <row r="400" spans="44:136" s="80" customFormat="1">
      <c r="AR400" s="118"/>
      <c r="BD400" s="56"/>
      <c r="BE400" s="56"/>
      <c r="BF400" s="56"/>
      <c r="BG400" s="56"/>
      <c r="BH400" s="56"/>
      <c r="BI400" s="56"/>
      <c r="BJ400" s="56"/>
      <c r="BK400" s="56"/>
      <c r="BL400" s="56"/>
      <c r="BM400" s="56"/>
      <c r="BN400" s="56"/>
      <c r="BO400" s="56"/>
      <c r="BP400" s="56"/>
      <c r="BQ400" s="56"/>
      <c r="BR400" s="56"/>
      <c r="BS400" s="56"/>
      <c r="BT400" s="60"/>
      <c r="BU400" s="56"/>
      <c r="BV400" s="56"/>
      <c r="BW400" s="56"/>
      <c r="BX400" s="56"/>
      <c r="BY400" s="56"/>
      <c r="BZ400" s="56"/>
      <c r="CA400" s="56"/>
      <c r="CB400" s="56"/>
      <c r="CC400" s="56"/>
      <c r="CD400" s="56"/>
      <c r="CE400" s="56"/>
      <c r="CF400" s="56"/>
      <c r="CG400" s="56"/>
      <c r="CH400" s="56"/>
      <c r="CI400" s="56"/>
      <c r="CJ400" s="60"/>
      <c r="CK400" s="56"/>
      <c r="CL400" s="56"/>
      <c r="CM400" s="56"/>
      <c r="CN400" s="56"/>
      <c r="CO400" s="56"/>
      <c r="CP400" s="56"/>
      <c r="CQ400" s="56"/>
      <c r="CR400" s="56"/>
      <c r="CS400" s="56"/>
      <c r="CT400" s="56"/>
      <c r="CU400" s="56"/>
      <c r="CV400" s="56"/>
      <c r="CW400" s="56"/>
      <c r="CX400" s="60"/>
      <c r="CY400" s="56"/>
      <c r="CZ400" s="56"/>
      <c r="DA400" s="56"/>
      <c r="DB400" s="56"/>
      <c r="DC400" s="56"/>
      <c r="DD400" s="56"/>
      <c r="DE400" s="56"/>
      <c r="DF400" s="56"/>
      <c r="DG400" s="56"/>
      <c r="DH400" s="56"/>
      <c r="DI400" s="56"/>
      <c r="DJ400" s="56"/>
      <c r="DK400" s="60"/>
      <c r="DL400" s="60"/>
      <c r="DM400" s="56"/>
      <c r="DN400" s="56"/>
      <c r="DO400" s="56"/>
      <c r="DP400" s="56"/>
      <c r="DQ400" s="56"/>
      <c r="DR400" s="56"/>
      <c r="DS400" s="56"/>
      <c r="DT400" s="56"/>
      <c r="DU400" s="56"/>
      <c r="DV400" s="56"/>
      <c r="DW400" s="56"/>
      <c r="DX400" s="56"/>
      <c r="DY400" s="56"/>
      <c r="DZ400" s="56"/>
      <c r="EA400" s="56"/>
      <c r="EB400" s="56"/>
      <c r="EC400" s="56"/>
      <c r="ED400" s="56"/>
      <c r="EE400" s="56"/>
      <c r="EF400" s="56"/>
    </row>
    <row r="401" spans="44:136" s="80" customFormat="1">
      <c r="AR401" s="118"/>
      <c r="BD401" s="56"/>
      <c r="BE401" s="56"/>
      <c r="BF401" s="56"/>
      <c r="BG401" s="56"/>
      <c r="BH401" s="56"/>
      <c r="BI401" s="56"/>
      <c r="BJ401" s="56"/>
      <c r="BK401" s="56"/>
      <c r="BL401" s="56"/>
      <c r="BM401" s="56"/>
      <c r="BN401" s="56"/>
      <c r="BO401" s="56"/>
      <c r="BP401" s="56"/>
      <c r="BQ401" s="56"/>
      <c r="BR401" s="56"/>
      <c r="BS401" s="56"/>
      <c r="BT401" s="60"/>
      <c r="BU401" s="56"/>
      <c r="BV401" s="56"/>
      <c r="BW401" s="56"/>
      <c r="BX401" s="56"/>
      <c r="BY401" s="56"/>
      <c r="BZ401" s="56"/>
      <c r="CA401" s="56"/>
      <c r="CB401" s="56"/>
      <c r="CC401" s="56"/>
      <c r="CD401" s="56"/>
      <c r="CE401" s="56"/>
      <c r="CF401" s="56"/>
      <c r="CG401" s="56"/>
      <c r="CH401" s="56"/>
      <c r="CI401" s="56"/>
      <c r="CJ401" s="60"/>
      <c r="CK401" s="56"/>
      <c r="CL401" s="56"/>
      <c r="CM401" s="56"/>
      <c r="CN401" s="56"/>
      <c r="CO401" s="56"/>
      <c r="CP401" s="56"/>
      <c r="CQ401" s="56"/>
      <c r="CR401" s="56"/>
      <c r="CS401" s="56"/>
      <c r="CT401" s="56"/>
      <c r="CU401" s="56"/>
      <c r="CV401" s="56"/>
      <c r="CW401" s="56"/>
      <c r="CX401" s="60"/>
      <c r="CY401" s="56"/>
      <c r="CZ401" s="56"/>
      <c r="DA401" s="56"/>
      <c r="DB401" s="56"/>
      <c r="DC401" s="56"/>
      <c r="DD401" s="56"/>
      <c r="DE401" s="56"/>
      <c r="DF401" s="56"/>
      <c r="DG401" s="56"/>
      <c r="DH401" s="56"/>
      <c r="DI401" s="56"/>
      <c r="DJ401" s="56"/>
      <c r="DK401" s="60"/>
      <c r="DL401" s="60"/>
      <c r="DM401" s="56"/>
      <c r="DN401" s="56"/>
      <c r="DO401" s="56"/>
      <c r="DP401" s="56"/>
      <c r="DQ401" s="56"/>
      <c r="DR401" s="56"/>
      <c r="DS401" s="56"/>
      <c r="DT401" s="56"/>
      <c r="DU401" s="56"/>
      <c r="DV401" s="56"/>
      <c r="DW401" s="56"/>
      <c r="DX401" s="56"/>
      <c r="DY401" s="56"/>
      <c r="DZ401" s="56"/>
      <c r="EA401" s="56"/>
      <c r="EB401" s="56"/>
      <c r="EC401" s="56"/>
      <c r="ED401" s="56"/>
      <c r="EE401" s="56"/>
      <c r="EF401" s="56"/>
    </row>
    <row r="402" spans="44:136" s="80" customFormat="1">
      <c r="AR402" s="118"/>
      <c r="BD402" s="56"/>
      <c r="BE402" s="56"/>
      <c r="BF402" s="56"/>
      <c r="BG402" s="56"/>
      <c r="BH402" s="56"/>
      <c r="BI402" s="56"/>
      <c r="BJ402" s="56"/>
      <c r="BK402" s="56"/>
      <c r="BL402" s="56"/>
      <c r="BM402" s="56"/>
      <c r="BN402" s="56"/>
      <c r="BO402" s="56"/>
      <c r="BP402" s="56"/>
      <c r="BQ402" s="56"/>
      <c r="BR402" s="56"/>
      <c r="BS402" s="56"/>
      <c r="BT402" s="60"/>
      <c r="BU402" s="56"/>
      <c r="BV402" s="56"/>
      <c r="BW402" s="56"/>
      <c r="BX402" s="56"/>
      <c r="BY402" s="56"/>
      <c r="BZ402" s="56"/>
      <c r="CA402" s="56"/>
      <c r="CB402" s="56"/>
      <c r="CC402" s="56"/>
      <c r="CD402" s="56"/>
      <c r="CE402" s="56"/>
      <c r="CF402" s="56"/>
      <c r="CG402" s="56"/>
      <c r="CH402" s="56"/>
      <c r="CI402" s="56"/>
      <c r="CJ402" s="60"/>
      <c r="CK402" s="56"/>
      <c r="CL402" s="56"/>
      <c r="CM402" s="56"/>
      <c r="CN402" s="56"/>
      <c r="CO402" s="56"/>
      <c r="CP402" s="56"/>
      <c r="CQ402" s="56"/>
      <c r="CR402" s="56"/>
      <c r="CS402" s="56"/>
      <c r="CT402" s="56"/>
      <c r="CU402" s="56"/>
      <c r="CV402" s="56"/>
      <c r="CW402" s="56"/>
      <c r="CX402" s="60"/>
      <c r="CY402" s="56"/>
      <c r="CZ402" s="56"/>
      <c r="DA402" s="56"/>
      <c r="DB402" s="56"/>
      <c r="DC402" s="56"/>
      <c r="DD402" s="56"/>
      <c r="DE402" s="56"/>
      <c r="DF402" s="56"/>
      <c r="DG402" s="56"/>
      <c r="DH402" s="56"/>
      <c r="DI402" s="56"/>
      <c r="DJ402" s="56"/>
      <c r="DK402" s="60"/>
      <c r="DL402" s="60"/>
      <c r="DM402" s="56"/>
      <c r="DN402" s="56"/>
      <c r="DO402" s="56"/>
      <c r="DP402" s="56"/>
      <c r="DQ402" s="56"/>
      <c r="DR402" s="56"/>
      <c r="DS402" s="56"/>
      <c r="DT402" s="56"/>
      <c r="DU402" s="56"/>
      <c r="DV402" s="56"/>
      <c r="DW402" s="56"/>
      <c r="DX402" s="56"/>
      <c r="DY402" s="56"/>
      <c r="DZ402" s="56"/>
      <c r="EA402" s="56"/>
      <c r="EB402" s="56"/>
      <c r="EC402" s="56"/>
      <c r="ED402" s="56"/>
      <c r="EE402" s="56"/>
      <c r="EF402" s="56"/>
    </row>
    <row r="403" spans="44:136" s="80" customFormat="1">
      <c r="AR403" s="118"/>
      <c r="BD403" s="56"/>
      <c r="BE403" s="56"/>
      <c r="BF403" s="56"/>
      <c r="BG403" s="56"/>
      <c r="BH403" s="56"/>
      <c r="BI403" s="56"/>
      <c r="BJ403" s="56"/>
      <c r="BK403" s="56"/>
      <c r="BL403" s="56"/>
      <c r="BM403" s="56"/>
      <c r="BN403" s="56"/>
      <c r="BO403" s="56"/>
      <c r="BP403" s="56"/>
      <c r="BQ403" s="56"/>
      <c r="BR403" s="56"/>
      <c r="BS403" s="56"/>
      <c r="BT403" s="60"/>
      <c r="BU403" s="56"/>
      <c r="BV403" s="56"/>
      <c r="BW403" s="56"/>
      <c r="BX403" s="56"/>
      <c r="BY403" s="56"/>
      <c r="BZ403" s="56"/>
      <c r="CA403" s="56"/>
      <c r="CB403" s="56"/>
      <c r="CC403" s="56"/>
      <c r="CD403" s="56"/>
      <c r="CE403" s="56"/>
      <c r="CF403" s="56"/>
      <c r="CG403" s="56"/>
      <c r="CH403" s="56"/>
      <c r="CI403" s="56"/>
      <c r="CJ403" s="60"/>
      <c r="CK403" s="56"/>
      <c r="CL403" s="56"/>
      <c r="CM403" s="56"/>
      <c r="CN403" s="56"/>
      <c r="CO403" s="56"/>
      <c r="CP403" s="56"/>
      <c r="CQ403" s="56"/>
      <c r="CR403" s="56"/>
      <c r="CS403" s="56"/>
      <c r="CT403" s="56"/>
      <c r="CU403" s="56"/>
      <c r="CV403" s="56"/>
      <c r="CW403" s="56"/>
      <c r="CX403" s="60"/>
      <c r="CY403" s="56"/>
      <c r="CZ403" s="56"/>
      <c r="DA403" s="56"/>
      <c r="DB403" s="56"/>
      <c r="DC403" s="56"/>
      <c r="DD403" s="56"/>
      <c r="DE403" s="56"/>
      <c r="DF403" s="56"/>
      <c r="DG403" s="56"/>
      <c r="DH403" s="56"/>
      <c r="DI403" s="56"/>
      <c r="DJ403" s="56"/>
      <c r="DK403" s="60"/>
      <c r="DL403" s="60"/>
      <c r="DM403" s="56"/>
      <c r="DN403" s="56"/>
      <c r="DO403" s="56"/>
      <c r="DP403" s="56"/>
      <c r="DQ403" s="56"/>
      <c r="DR403" s="56"/>
      <c r="DS403" s="56"/>
      <c r="DT403" s="56"/>
      <c r="DU403" s="56"/>
      <c r="DV403" s="56"/>
      <c r="DW403" s="56"/>
      <c r="DX403" s="56"/>
      <c r="DY403" s="56"/>
      <c r="DZ403" s="56"/>
      <c r="EA403" s="56"/>
      <c r="EB403" s="56"/>
      <c r="EC403" s="56"/>
      <c r="ED403" s="56"/>
      <c r="EE403" s="56"/>
      <c r="EF403" s="56"/>
    </row>
    <row r="404" spans="44:136" s="80" customFormat="1">
      <c r="AR404" s="118"/>
      <c r="BD404" s="56"/>
      <c r="BE404" s="56"/>
      <c r="BF404" s="56"/>
      <c r="BG404" s="56"/>
      <c r="BH404" s="56"/>
      <c r="BI404" s="56"/>
      <c r="BJ404" s="56"/>
      <c r="BK404" s="56"/>
      <c r="BL404" s="56"/>
      <c r="BM404" s="56"/>
      <c r="BN404" s="56"/>
      <c r="BO404" s="56"/>
      <c r="BP404" s="56"/>
      <c r="BQ404" s="56"/>
      <c r="BR404" s="56"/>
      <c r="BS404" s="56"/>
      <c r="BT404" s="60"/>
      <c r="BU404" s="56"/>
      <c r="BV404" s="56"/>
      <c r="BW404" s="56"/>
      <c r="BX404" s="56"/>
      <c r="BY404" s="56"/>
      <c r="BZ404" s="56"/>
      <c r="CA404" s="56"/>
      <c r="CB404" s="56"/>
      <c r="CC404" s="56"/>
      <c r="CD404" s="56"/>
      <c r="CE404" s="56"/>
      <c r="CF404" s="56"/>
      <c r="CG404" s="56"/>
      <c r="CH404" s="56"/>
      <c r="CI404" s="56"/>
      <c r="CJ404" s="60"/>
      <c r="CK404" s="56"/>
      <c r="CL404" s="56"/>
      <c r="CM404" s="56"/>
      <c r="CN404" s="56"/>
      <c r="CO404" s="56"/>
      <c r="CP404" s="56"/>
      <c r="CQ404" s="56"/>
      <c r="CR404" s="56"/>
      <c r="CS404" s="56"/>
      <c r="CT404" s="56"/>
      <c r="CU404" s="56"/>
      <c r="CV404" s="56"/>
      <c r="CW404" s="56"/>
      <c r="CX404" s="60"/>
      <c r="CY404" s="56"/>
      <c r="CZ404" s="56"/>
      <c r="DA404" s="56"/>
      <c r="DB404" s="56"/>
      <c r="DC404" s="56"/>
      <c r="DD404" s="56"/>
      <c r="DE404" s="56"/>
      <c r="DF404" s="56"/>
      <c r="DG404" s="56"/>
      <c r="DH404" s="56"/>
      <c r="DI404" s="56"/>
      <c r="DJ404" s="56"/>
      <c r="DK404" s="60"/>
      <c r="DL404" s="60"/>
      <c r="DM404" s="56"/>
      <c r="DN404" s="56"/>
      <c r="DO404" s="56"/>
      <c r="DP404" s="56"/>
      <c r="DQ404" s="56"/>
      <c r="DR404" s="56"/>
      <c r="DS404" s="56"/>
      <c r="DT404" s="56"/>
      <c r="DU404" s="56"/>
      <c r="DV404" s="56"/>
      <c r="DW404" s="56"/>
      <c r="DX404" s="56"/>
      <c r="DY404" s="56"/>
      <c r="DZ404" s="56"/>
      <c r="EA404" s="56"/>
      <c r="EB404" s="56"/>
      <c r="EC404" s="56"/>
      <c r="ED404" s="56"/>
      <c r="EE404" s="56"/>
      <c r="EF404" s="56"/>
    </row>
    <row r="405" spans="44:136" s="80" customFormat="1">
      <c r="AR405" s="118"/>
      <c r="BD405" s="56"/>
      <c r="BE405" s="56"/>
      <c r="BF405" s="56"/>
      <c r="BG405" s="56"/>
      <c r="BH405" s="56"/>
      <c r="BI405" s="56"/>
      <c r="BJ405" s="56"/>
      <c r="BK405" s="56"/>
      <c r="BL405" s="56"/>
      <c r="BM405" s="56"/>
      <c r="BN405" s="56"/>
      <c r="BO405" s="56"/>
      <c r="BP405" s="56"/>
      <c r="BQ405" s="56"/>
      <c r="BR405" s="56"/>
      <c r="BS405" s="56"/>
      <c r="BT405" s="60"/>
      <c r="BU405" s="56"/>
      <c r="BV405" s="56"/>
      <c r="BW405" s="56"/>
      <c r="BX405" s="56"/>
      <c r="BY405" s="56"/>
      <c r="BZ405" s="56"/>
      <c r="CA405" s="56"/>
      <c r="CB405" s="56"/>
      <c r="CC405" s="56"/>
      <c r="CD405" s="56"/>
      <c r="CE405" s="56"/>
      <c r="CF405" s="56"/>
      <c r="CG405" s="56"/>
      <c r="CH405" s="56"/>
      <c r="CI405" s="56"/>
      <c r="CJ405" s="60"/>
      <c r="CK405" s="56"/>
      <c r="CL405" s="56"/>
      <c r="CM405" s="56"/>
      <c r="CN405" s="56"/>
      <c r="CO405" s="56"/>
      <c r="CP405" s="56"/>
      <c r="CQ405" s="56"/>
      <c r="CR405" s="56"/>
      <c r="CS405" s="56"/>
      <c r="CT405" s="56"/>
      <c r="CU405" s="56"/>
      <c r="CV405" s="56"/>
      <c r="CW405" s="56"/>
      <c r="CX405" s="60"/>
      <c r="CY405" s="56"/>
      <c r="CZ405" s="56"/>
      <c r="DA405" s="56"/>
      <c r="DB405" s="56"/>
      <c r="DC405" s="56"/>
      <c r="DD405" s="56"/>
      <c r="DE405" s="56"/>
      <c r="DF405" s="56"/>
      <c r="DG405" s="56"/>
      <c r="DH405" s="56"/>
      <c r="DI405" s="56"/>
      <c r="DJ405" s="56"/>
      <c r="DK405" s="60"/>
      <c r="DL405" s="60"/>
      <c r="DM405" s="56"/>
      <c r="DN405" s="56"/>
      <c r="DO405" s="56"/>
      <c r="DP405" s="56"/>
      <c r="DQ405" s="56"/>
      <c r="DR405" s="56"/>
      <c r="DS405" s="56"/>
      <c r="DT405" s="56"/>
      <c r="DU405" s="56"/>
      <c r="DV405" s="56"/>
      <c r="DW405" s="56"/>
      <c r="DX405" s="56"/>
      <c r="DY405" s="56"/>
      <c r="DZ405" s="56"/>
      <c r="EA405" s="56"/>
      <c r="EB405" s="56"/>
      <c r="EC405" s="56"/>
      <c r="ED405" s="56"/>
      <c r="EE405" s="56"/>
      <c r="EF405" s="56"/>
    </row>
    <row r="406" spans="44:136" s="80" customFormat="1">
      <c r="AR406" s="118"/>
      <c r="BD406" s="56"/>
      <c r="BE406" s="56"/>
      <c r="BF406" s="56"/>
      <c r="BG406" s="56"/>
      <c r="BH406" s="56"/>
      <c r="BI406" s="56"/>
      <c r="BJ406" s="56"/>
      <c r="BK406" s="56"/>
      <c r="BL406" s="56"/>
      <c r="BM406" s="56"/>
      <c r="BN406" s="56"/>
      <c r="BO406" s="56"/>
      <c r="BP406" s="56"/>
      <c r="BQ406" s="56"/>
      <c r="BR406" s="56"/>
      <c r="BS406" s="56"/>
      <c r="BT406" s="60"/>
      <c r="BU406" s="56"/>
      <c r="BV406" s="56"/>
      <c r="BW406" s="56"/>
      <c r="BX406" s="56"/>
      <c r="BY406" s="56"/>
      <c r="BZ406" s="56"/>
      <c r="CA406" s="56"/>
      <c r="CB406" s="56"/>
      <c r="CC406" s="56"/>
      <c r="CD406" s="56"/>
      <c r="CE406" s="56"/>
      <c r="CF406" s="56"/>
      <c r="CG406" s="56"/>
      <c r="CH406" s="56"/>
      <c r="CI406" s="56"/>
      <c r="CJ406" s="60"/>
      <c r="CK406" s="56"/>
      <c r="CL406" s="56"/>
      <c r="CM406" s="56"/>
      <c r="CN406" s="56"/>
      <c r="CO406" s="56"/>
      <c r="CP406" s="56"/>
      <c r="CQ406" s="56"/>
      <c r="CR406" s="56"/>
      <c r="CS406" s="56"/>
      <c r="CT406" s="56"/>
      <c r="CU406" s="56"/>
      <c r="CV406" s="56"/>
      <c r="CW406" s="56"/>
      <c r="CX406" s="60"/>
      <c r="CY406" s="56"/>
      <c r="CZ406" s="56"/>
      <c r="DA406" s="56"/>
      <c r="DB406" s="56"/>
      <c r="DC406" s="56"/>
      <c r="DD406" s="56"/>
      <c r="DE406" s="56"/>
      <c r="DF406" s="56"/>
      <c r="DG406" s="56"/>
      <c r="DH406" s="56"/>
      <c r="DI406" s="56"/>
      <c r="DJ406" s="56"/>
      <c r="DK406" s="60"/>
      <c r="DL406" s="60"/>
      <c r="DM406" s="56"/>
      <c r="DN406" s="56"/>
      <c r="DO406" s="56"/>
      <c r="DP406" s="56"/>
      <c r="DQ406" s="56"/>
      <c r="DR406" s="56"/>
      <c r="DS406" s="56"/>
      <c r="DT406" s="56"/>
      <c r="DU406" s="56"/>
      <c r="DV406" s="56"/>
      <c r="DW406" s="56"/>
      <c r="DX406" s="56"/>
      <c r="DY406" s="56"/>
      <c r="DZ406" s="56"/>
      <c r="EA406" s="56"/>
      <c r="EB406" s="56"/>
      <c r="EC406" s="56"/>
      <c r="ED406" s="56"/>
      <c r="EE406" s="56"/>
      <c r="EF406" s="56"/>
    </row>
    <row r="407" spans="44:136" s="80" customFormat="1">
      <c r="AR407" s="118"/>
      <c r="BD407" s="56"/>
      <c r="BE407" s="56"/>
      <c r="BF407" s="56"/>
      <c r="BG407" s="56"/>
      <c r="BH407" s="56"/>
      <c r="BI407" s="56"/>
      <c r="BJ407" s="56"/>
      <c r="BK407" s="56"/>
      <c r="BL407" s="56"/>
      <c r="BM407" s="56"/>
      <c r="BN407" s="56"/>
      <c r="BO407" s="56"/>
      <c r="BP407" s="56"/>
      <c r="BQ407" s="56"/>
      <c r="BR407" s="56"/>
      <c r="BS407" s="56"/>
      <c r="BT407" s="60"/>
      <c r="BU407" s="56"/>
      <c r="BV407" s="56"/>
      <c r="BW407" s="56"/>
      <c r="BX407" s="56"/>
      <c r="BY407" s="56"/>
      <c r="BZ407" s="56"/>
      <c r="CA407" s="56"/>
      <c r="CB407" s="56"/>
      <c r="CC407" s="56"/>
      <c r="CD407" s="56"/>
      <c r="CE407" s="56"/>
      <c r="CF407" s="56"/>
      <c r="CG407" s="56"/>
      <c r="CH407" s="56"/>
      <c r="CI407" s="56"/>
      <c r="CJ407" s="60"/>
      <c r="CK407" s="56"/>
      <c r="CL407" s="56"/>
      <c r="CM407" s="56"/>
      <c r="CN407" s="56"/>
      <c r="CO407" s="56"/>
      <c r="CP407" s="56"/>
      <c r="CQ407" s="56"/>
      <c r="CR407" s="56"/>
      <c r="CS407" s="56"/>
      <c r="CT407" s="56"/>
      <c r="CU407" s="56"/>
      <c r="CV407" s="56"/>
      <c r="CW407" s="56"/>
      <c r="CX407" s="60"/>
      <c r="CY407" s="56"/>
      <c r="CZ407" s="56"/>
      <c r="DA407" s="56"/>
      <c r="DB407" s="56"/>
      <c r="DC407" s="56"/>
      <c r="DD407" s="56"/>
      <c r="DE407" s="56"/>
      <c r="DF407" s="56"/>
      <c r="DG407" s="56"/>
      <c r="DH407" s="56"/>
      <c r="DI407" s="56"/>
      <c r="DJ407" s="56"/>
      <c r="DK407" s="60"/>
      <c r="DL407" s="60"/>
      <c r="DM407" s="56"/>
      <c r="DN407" s="56"/>
      <c r="DO407" s="56"/>
      <c r="DP407" s="56"/>
      <c r="DQ407" s="56"/>
      <c r="DR407" s="56"/>
      <c r="DS407" s="56"/>
      <c r="DT407" s="56"/>
      <c r="DU407" s="56"/>
      <c r="DV407" s="56"/>
      <c r="DW407" s="56"/>
      <c r="DX407" s="56"/>
      <c r="DY407" s="56"/>
      <c r="DZ407" s="56"/>
      <c r="EA407" s="56"/>
      <c r="EB407" s="56"/>
      <c r="EC407" s="56"/>
      <c r="ED407" s="56"/>
      <c r="EE407" s="56"/>
      <c r="EF407" s="56"/>
    </row>
    <row r="408" spans="44:136" s="80" customFormat="1">
      <c r="AR408" s="118"/>
      <c r="BD408" s="56"/>
      <c r="BE408" s="56"/>
      <c r="BF408" s="56"/>
      <c r="BG408" s="56"/>
      <c r="BH408" s="56"/>
      <c r="BI408" s="56"/>
      <c r="BJ408" s="56"/>
      <c r="BK408" s="56"/>
      <c r="BL408" s="56"/>
      <c r="BM408" s="56"/>
      <c r="BN408" s="56"/>
      <c r="BO408" s="56"/>
      <c r="BP408" s="56"/>
      <c r="BQ408" s="56"/>
      <c r="BR408" s="56"/>
      <c r="BS408" s="56"/>
      <c r="BT408" s="60"/>
      <c r="BU408" s="56"/>
      <c r="BV408" s="56"/>
      <c r="BW408" s="56"/>
      <c r="BX408" s="56"/>
      <c r="BY408" s="56"/>
      <c r="BZ408" s="56"/>
      <c r="CA408" s="56"/>
      <c r="CB408" s="56"/>
      <c r="CC408" s="56"/>
      <c r="CD408" s="56"/>
      <c r="CE408" s="56"/>
      <c r="CF408" s="56"/>
      <c r="CG408" s="56"/>
      <c r="CH408" s="56"/>
      <c r="CI408" s="56"/>
      <c r="CJ408" s="60"/>
      <c r="CK408" s="56"/>
      <c r="CL408" s="56"/>
      <c r="CM408" s="56"/>
      <c r="CN408" s="56"/>
      <c r="CO408" s="56"/>
      <c r="CP408" s="56"/>
      <c r="CQ408" s="56"/>
      <c r="CR408" s="56"/>
      <c r="CS408" s="56"/>
      <c r="CT408" s="56"/>
      <c r="CU408" s="56"/>
      <c r="CV408" s="56"/>
      <c r="CW408" s="56"/>
      <c r="CX408" s="60"/>
      <c r="CY408" s="56"/>
      <c r="CZ408" s="56"/>
      <c r="DA408" s="56"/>
      <c r="DB408" s="56"/>
      <c r="DC408" s="56"/>
      <c r="DD408" s="56"/>
      <c r="DE408" s="56"/>
      <c r="DF408" s="56"/>
      <c r="DG408" s="56"/>
      <c r="DH408" s="56"/>
      <c r="DI408" s="56"/>
      <c r="DJ408" s="56"/>
      <c r="DK408" s="60"/>
      <c r="DL408" s="60"/>
      <c r="DM408" s="56"/>
      <c r="DN408" s="56"/>
      <c r="DO408" s="56"/>
      <c r="DP408" s="56"/>
      <c r="DQ408" s="56"/>
      <c r="DR408" s="56"/>
      <c r="DS408" s="56"/>
      <c r="DT408" s="56"/>
      <c r="DU408" s="56"/>
      <c r="DV408" s="56"/>
      <c r="DW408" s="56"/>
      <c r="DX408" s="56"/>
      <c r="DY408" s="56"/>
      <c r="DZ408" s="56"/>
      <c r="EA408" s="56"/>
      <c r="EB408" s="56"/>
      <c r="EC408" s="56"/>
      <c r="ED408" s="56"/>
      <c r="EE408" s="56"/>
      <c r="EF408" s="56"/>
    </row>
    <row r="409" spans="44:136" s="80" customFormat="1">
      <c r="AR409" s="118"/>
      <c r="BD409" s="56"/>
      <c r="BE409" s="56"/>
      <c r="BF409" s="56"/>
      <c r="BG409" s="56"/>
      <c r="BH409" s="56"/>
      <c r="BI409" s="56"/>
      <c r="BJ409" s="56"/>
      <c r="BK409" s="56"/>
      <c r="BL409" s="56"/>
      <c r="BM409" s="56"/>
      <c r="BN409" s="56"/>
      <c r="BO409" s="56"/>
      <c r="BP409" s="56"/>
      <c r="BQ409" s="56"/>
      <c r="BR409" s="56"/>
      <c r="BS409" s="56"/>
      <c r="BT409" s="60"/>
      <c r="BU409" s="56"/>
      <c r="BV409" s="56"/>
      <c r="BW409" s="56"/>
      <c r="BX409" s="56"/>
      <c r="BY409" s="56"/>
      <c r="BZ409" s="56"/>
      <c r="CA409" s="56"/>
      <c r="CB409" s="56"/>
      <c r="CC409" s="56"/>
      <c r="CD409" s="56"/>
      <c r="CE409" s="56"/>
      <c r="CF409" s="56"/>
      <c r="CG409" s="56"/>
      <c r="CH409" s="56"/>
      <c r="CI409" s="56"/>
      <c r="CJ409" s="60"/>
      <c r="CK409" s="56"/>
      <c r="CL409" s="56"/>
      <c r="CM409" s="56"/>
      <c r="CN409" s="56"/>
      <c r="CO409" s="56"/>
      <c r="CP409" s="56"/>
      <c r="CQ409" s="56"/>
      <c r="CR409" s="56"/>
      <c r="CS409" s="56"/>
      <c r="CT409" s="56"/>
      <c r="CU409" s="56"/>
      <c r="CV409" s="56"/>
      <c r="CW409" s="56"/>
      <c r="CX409" s="60"/>
      <c r="CY409" s="56"/>
      <c r="CZ409" s="56"/>
      <c r="DA409" s="56"/>
      <c r="DB409" s="56"/>
      <c r="DC409" s="56"/>
      <c r="DD409" s="56"/>
      <c r="DE409" s="56"/>
      <c r="DF409" s="56"/>
      <c r="DG409" s="56"/>
      <c r="DH409" s="56"/>
      <c r="DI409" s="56"/>
      <c r="DJ409" s="56"/>
      <c r="DK409" s="60"/>
      <c r="DL409" s="60"/>
      <c r="DM409" s="56"/>
      <c r="DN409" s="56"/>
      <c r="DO409" s="56"/>
      <c r="DP409" s="56"/>
      <c r="DQ409" s="56"/>
      <c r="DR409" s="56"/>
      <c r="DS409" s="56"/>
      <c r="DT409" s="56"/>
      <c r="DU409" s="56"/>
      <c r="DV409" s="56"/>
      <c r="DW409" s="56"/>
      <c r="DX409" s="56"/>
      <c r="DY409" s="56"/>
      <c r="DZ409" s="56"/>
      <c r="EA409" s="56"/>
      <c r="EB409" s="56"/>
      <c r="EC409" s="56"/>
      <c r="ED409" s="56"/>
      <c r="EE409" s="56"/>
      <c r="EF409" s="56"/>
    </row>
    <row r="410" spans="44:136" s="80" customFormat="1">
      <c r="AR410" s="118"/>
      <c r="BD410" s="56"/>
      <c r="BE410" s="56"/>
      <c r="BF410" s="56"/>
      <c r="BG410" s="56"/>
      <c r="BH410" s="56"/>
      <c r="BI410" s="56"/>
      <c r="BJ410" s="56"/>
      <c r="BK410" s="56"/>
      <c r="BL410" s="56"/>
      <c r="BM410" s="56"/>
      <c r="BN410" s="56"/>
      <c r="BO410" s="56"/>
      <c r="BP410" s="56"/>
      <c r="BQ410" s="56"/>
      <c r="BR410" s="56"/>
      <c r="BS410" s="56"/>
      <c r="BT410" s="60"/>
      <c r="BU410" s="56"/>
      <c r="BV410" s="56"/>
      <c r="BW410" s="56"/>
      <c r="BX410" s="56"/>
      <c r="BY410" s="56"/>
      <c r="BZ410" s="56"/>
      <c r="CA410" s="56"/>
      <c r="CB410" s="56"/>
      <c r="CC410" s="56"/>
      <c r="CD410" s="56"/>
      <c r="CE410" s="56"/>
      <c r="CF410" s="56"/>
      <c r="CG410" s="56"/>
      <c r="CH410" s="56"/>
      <c r="CI410" s="56"/>
      <c r="CJ410" s="60"/>
      <c r="CK410" s="56"/>
      <c r="CL410" s="56"/>
      <c r="CM410" s="56"/>
      <c r="CN410" s="56"/>
      <c r="CO410" s="56"/>
      <c r="CP410" s="56"/>
      <c r="CQ410" s="56"/>
      <c r="CR410" s="56"/>
      <c r="CS410" s="56"/>
      <c r="CT410" s="56"/>
      <c r="CU410" s="56"/>
      <c r="CV410" s="56"/>
      <c r="CW410" s="56"/>
      <c r="CX410" s="60"/>
      <c r="CY410" s="56"/>
      <c r="CZ410" s="56"/>
      <c r="DA410" s="56"/>
      <c r="DB410" s="56"/>
      <c r="DC410" s="56"/>
      <c r="DD410" s="56"/>
      <c r="DE410" s="56"/>
      <c r="DF410" s="56"/>
      <c r="DG410" s="56"/>
      <c r="DH410" s="56"/>
      <c r="DI410" s="56"/>
      <c r="DJ410" s="56"/>
      <c r="DK410" s="60"/>
      <c r="DL410" s="60"/>
      <c r="DM410" s="56"/>
      <c r="DN410" s="56"/>
      <c r="DO410" s="56"/>
      <c r="DP410" s="56"/>
      <c r="DQ410" s="56"/>
      <c r="DR410" s="56"/>
      <c r="DS410" s="56"/>
      <c r="DT410" s="56"/>
      <c r="DU410" s="56"/>
      <c r="DV410" s="56"/>
      <c r="DW410" s="56"/>
      <c r="DX410" s="56"/>
      <c r="DY410" s="56"/>
      <c r="DZ410" s="56"/>
      <c r="EA410" s="56"/>
      <c r="EB410" s="56"/>
      <c r="EC410" s="56"/>
      <c r="ED410" s="56"/>
      <c r="EE410" s="56"/>
      <c r="EF410" s="56"/>
    </row>
    <row r="411" spans="44:136" s="80" customFormat="1">
      <c r="AR411" s="118"/>
      <c r="BD411" s="56"/>
      <c r="BE411" s="56"/>
      <c r="BF411" s="56"/>
      <c r="BG411" s="56"/>
      <c r="BH411" s="56"/>
      <c r="BI411" s="56"/>
      <c r="BJ411" s="56"/>
      <c r="BK411" s="56"/>
      <c r="BL411" s="56"/>
      <c r="BM411" s="56"/>
      <c r="BN411" s="56"/>
      <c r="BO411" s="56"/>
      <c r="BP411" s="56"/>
      <c r="BQ411" s="56"/>
      <c r="BR411" s="56"/>
      <c r="BS411" s="56"/>
      <c r="BT411" s="60"/>
      <c r="BU411" s="56"/>
      <c r="BV411" s="56"/>
      <c r="BW411" s="56"/>
      <c r="BX411" s="56"/>
      <c r="BY411" s="56"/>
      <c r="BZ411" s="56"/>
      <c r="CA411" s="56"/>
      <c r="CB411" s="56"/>
      <c r="CC411" s="56"/>
      <c r="CD411" s="56"/>
      <c r="CE411" s="56"/>
      <c r="CF411" s="56"/>
      <c r="CG411" s="56"/>
      <c r="CH411" s="56"/>
      <c r="CI411" s="56"/>
      <c r="CJ411" s="60"/>
      <c r="CK411" s="56"/>
      <c r="CL411" s="56"/>
      <c r="CM411" s="56"/>
      <c r="CN411" s="56"/>
      <c r="CO411" s="56"/>
      <c r="CP411" s="56"/>
      <c r="CQ411" s="56"/>
      <c r="CR411" s="56"/>
      <c r="CS411" s="56"/>
      <c r="CT411" s="56"/>
      <c r="CU411" s="56"/>
      <c r="CV411" s="56"/>
      <c r="CW411" s="56"/>
      <c r="CX411" s="60"/>
      <c r="CY411" s="56"/>
      <c r="CZ411" s="56"/>
      <c r="DA411" s="56"/>
      <c r="DB411" s="56"/>
      <c r="DC411" s="56"/>
      <c r="DD411" s="56"/>
      <c r="DE411" s="56"/>
      <c r="DF411" s="56"/>
      <c r="DG411" s="56"/>
      <c r="DH411" s="56"/>
      <c r="DI411" s="56"/>
      <c r="DJ411" s="56"/>
      <c r="DK411" s="60"/>
      <c r="DL411" s="60"/>
      <c r="DM411" s="56"/>
      <c r="DN411" s="56"/>
      <c r="DO411" s="56"/>
      <c r="DP411" s="56"/>
      <c r="DQ411" s="56"/>
      <c r="DR411" s="56"/>
      <c r="DS411" s="56"/>
      <c r="DT411" s="56"/>
      <c r="DU411" s="56"/>
      <c r="DV411" s="56"/>
      <c r="DW411" s="56"/>
      <c r="DX411" s="56"/>
      <c r="DY411" s="56"/>
      <c r="DZ411" s="56"/>
      <c r="EA411" s="56"/>
      <c r="EB411" s="56"/>
      <c r="EC411" s="56"/>
      <c r="ED411" s="56"/>
      <c r="EE411" s="56"/>
      <c r="EF411" s="56"/>
    </row>
    <row r="412" spans="44:136" s="80" customFormat="1">
      <c r="AR412" s="118"/>
      <c r="BD412" s="56"/>
      <c r="BE412" s="56"/>
      <c r="BF412" s="56"/>
      <c r="BG412" s="56"/>
      <c r="BH412" s="56"/>
      <c r="BI412" s="56"/>
      <c r="BJ412" s="56"/>
      <c r="BK412" s="56"/>
      <c r="BL412" s="56"/>
      <c r="BM412" s="56"/>
      <c r="BN412" s="56"/>
      <c r="BO412" s="56"/>
      <c r="BP412" s="56"/>
      <c r="BQ412" s="56"/>
      <c r="BR412" s="56"/>
      <c r="BS412" s="56"/>
      <c r="BT412" s="60"/>
      <c r="BU412" s="56"/>
      <c r="BV412" s="56"/>
      <c r="BW412" s="56"/>
      <c r="BX412" s="56"/>
      <c r="BY412" s="56"/>
      <c r="BZ412" s="56"/>
      <c r="CA412" s="56"/>
      <c r="CB412" s="56"/>
      <c r="CC412" s="56"/>
      <c r="CD412" s="56"/>
      <c r="CE412" s="56"/>
      <c r="CF412" s="56"/>
      <c r="CG412" s="56"/>
      <c r="CH412" s="56"/>
      <c r="CI412" s="56"/>
      <c r="CJ412" s="60"/>
      <c r="CK412" s="56"/>
      <c r="CL412" s="56"/>
      <c r="CM412" s="56"/>
      <c r="CN412" s="56"/>
      <c r="CO412" s="56"/>
      <c r="CP412" s="56"/>
      <c r="CQ412" s="56"/>
      <c r="CR412" s="56"/>
      <c r="CS412" s="56"/>
      <c r="CT412" s="56"/>
      <c r="CU412" s="56"/>
      <c r="CV412" s="56"/>
      <c r="CW412" s="56"/>
      <c r="CX412" s="60"/>
      <c r="CY412" s="56"/>
      <c r="CZ412" s="56"/>
      <c r="DA412" s="56"/>
      <c r="DB412" s="56"/>
      <c r="DC412" s="56"/>
      <c r="DD412" s="56"/>
      <c r="DE412" s="56"/>
      <c r="DF412" s="56"/>
      <c r="DG412" s="56"/>
      <c r="DH412" s="56"/>
      <c r="DI412" s="56"/>
      <c r="DJ412" s="56"/>
      <c r="DK412" s="60"/>
      <c r="DL412" s="60"/>
      <c r="DM412" s="56"/>
      <c r="DN412" s="56"/>
      <c r="DO412" s="56"/>
      <c r="DP412" s="56"/>
      <c r="DQ412" s="56"/>
      <c r="DR412" s="56"/>
      <c r="DS412" s="56"/>
      <c r="DT412" s="56"/>
      <c r="DU412" s="56"/>
      <c r="DV412" s="56"/>
      <c r="DW412" s="56"/>
      <c r="DX412" s="56"/>
      <c r="DY412" s="56"/>
      <c r="DZ412" s="56"/>
      <c r="EA412" s="56"/>
      <c r="EB412" s="56"/>
      <c r="EC412" s="56"/>
      <c r="ED412" s="56"/>
      <c r="EE412" s="56"/>
      <c r="EF412" s="56"/>
    </row>
    <row r="413" spans="44:136" s="80" customFormat="1">
      <c r="AR413" s="118"/>
      <c r="BD413" s="56"/>
      <c r="BE413" s="56"/>
      <c r="BF413" s="56"/>
      <c r="BG413" s="56"/>
      <c r="BH413" s="56"/>
      <c r="BI413" s="56"/>
      <c r="BJ413" s="56"/>
      <c r="BK413" s="56"/>
      <c r="BL413" s="56"/>
      <c r="BM413" s="56"/>
      <c r="BN413" s="56"/>
      <c r="BO413" s="56"/>
      <c r="BP413" s="56"/>
      <c r="BQ413" s="56"/>
      <c r="BR413" s="56"/>
      <c r="BS413" s="56"/>
      <c r="BT413" s="60"/>
      <c r="BU413" s="56"/>
      <c r="BV413" s="56"/>
      <c r="BW413" s="56"/>
      <c r="BX413" s="56"/>
      <c r="BY413" s="56"/>
      <c r="BZ413" s="56"/>
      <c r="CA413" s="56"/>
      <c r="CB413" s="56"/>
      <c r="CC413" s="56"/>
      <c r="CD413" s="56"/>
      <c r="CE413" s="56"/>
      <c r="CF413" s="56"/>
      <c r="CG413" s="56"/>
      <c r="CH413" s="56"/>
      <c r="CI413" s="56"/>
      <c r="CJ413" s="60"/>
      <c r="CK413" s="56"/>
      <c r="CL413" s="56"/>
      <c r="CM413" s="56"/>
      <c r="CN413" s="56"/>
      <c r="CO413" s="56"/>
      <c r="CP413" s="56"/>
      <c r="CQ413" s="56"/>
      <c r="CR413" s="56"/>
      <c r="CS413" s="56"/>
      <c r="CT413" s="56"/>
      <c r="CU413" s="56"/>
      <c r="CV413" s="56"/>
      <c r="CW413" s="56"/>
      <c r="CX413" s="60"/>
      <c r="CY413" s="56"/>
      <c r="CZ413" s="56"/>
      <c r="DA413" s="56"/>
      <c r="DB413" s="56"/>
      <c r="DC413" s="56"/>
      <c r="DD413" s="56"/>
      <c r="DE413" s="56"/>
      <c r="DF413" s="56"/>
      <c r="DG413" s="56"/>
      <c r="DH413" s="56"/>
      <c r="DI413" s="56"/>
      <c r="DJ413" s="56"/>
      <c r="DK413" s="60"/>
      <c r="DL413" s="60"/>
      <c r="DM413" s="56"/>
      <c r="DN413" s="56"/>
      <c r="DO413" s="56"/>
      <c r="DP413" s="56"/>
      <c r="DQ413" s="56"/>
      <c r="DR413" s="56"/>
      <c r="DS413" s="56"/>
      <c r="DT413" s="56"/>
      <c r="DU413" s="56"/>
      <c r="DV413" s="56"/>
      <c r="DW413" s="56"/>
      <c r="DX413" s="56"/>
      <c r="DY413" s="56"/>
      <c r="DZ413" s="56"/>
      <c r="EA413" s="56"/>
      <c r="EB413" s="56"/>
      <c r="EC413" s="56"/>
      <c r="ED413" s="56"/>
      <c r="EE413" s="56"/>
      <c r="EF413" s="56"/>
    </row>
    <row r="414" spans="44:136" s="80" customFormat="1">
      <c r="AR414" s="118"/>
      <c r="BD414" s="56"/>
      <c r="BE414" s="56"/>
      <c r="BF414" s="56"/>
      <c r="BG414" s="56"/>
      <c r="BH414" s="56"/>
      <c r="BI414" s="56"/>
      <c r="BJ414" s="56"/>
      <c r="BK414" s="56"/>
      <c r="BL414" s="56"/>
      <c r="BM414" s="56"/>
      <c r="BN414" s="56"/>
      <c r="BO414" s="56"/>
      <c r="BP414" s="56"/>
      <c r="BQ414" s="56"/>
      <c r="BR414" s="56"/>
      <c r="BS414" s="56"/>
      <c r="BT414" s="60"/>
      <c r="BU414" s="56"/>
      <c r="BV414" s="56"/>
      <c r="BW414" s="56"/>
      <c r="BX414" s="56"/>
      <c r="BY414" s="56"/>
      <c r="BZ414" s="56"/>
      <c r="CA414" s="56"/>
      <c r="CB414" s="56"/>
      <c r="CC414" s="56"/>
      <c r="CD414" s="56"/>
      <c r="CE414" s="56"/>
      <c r="CF414" s="56"/>
      <c r="CG414" s="56"/>
      <c r="CH414" s="56"/>
      <c r="CI414" s="56"/>
      <c r="CJ414" s="60"/>
      <c r="CK414" s="56"/>
      <c r="CL414" s="56"/>
      <c r="CM414" s="56"/>
      <c r="CN414" s="56"/>
      <c r="CO414" s="56"/>
      <c r="CP414" s="56"/>
      <c r="CQ414" s="56"/>
      <c r="CR414" s="56"/>
      <c r="CS414" s="56"/>
      <c r="CT414" s="56"/>
      <c r="CU414" s="56"/>
      <c r="CV414" s="56"/>
      <c r="CW414" s="56"/>
      <c r="CX414" s="60"/>
      <c r="CY414" s="56"/>
      <c r="CZ414" s="56"/>
      <c r="DA414" s="56"/>
      <c r="DB414" s="56"/>
      <c r="DC414" s="56"/>
      <c r="DD414" s="56"/>
      <c r="DE414" s="56"/>
      <c r="DF414" s="56"/>
      <c r="DG414" s="56"/>
      <c r="DH414" s="56"/>
      <c r="DI414" s="56"/>
      <c r="DJ414" s="56"/>
      <c r="DK414" s="60"/>
      <c r="DL414" s="60"/>
      <c r="DM414" s="56"/>
      <c r="DN414" s="56"/>
      <c r="DO414" s="56"/>
      <c r="DP414" s="56"/>
      <c r="DQ414" s="56"/>
      <c r="DR414" s="56"/>
      <c r="DS414" s="56"/>
      <c r="DT414" s="56"/>
      <c r="DU414" s="56"/>
      <c r="DV414" s="56"/>
      <c r="DW414" s="56"/>
      <c r="DX414" s="56"/>
      <c r="DY414" s="56"/>
      <c r="DZ414" s="56"/>
      <c r="EA414" s="56"/>
      <c r="EB414" s="56"/>
      <c r="EC414" s="56"/>
      <c r="ED414" s="56"/>
      <c r="EE414" s="56"/>
      <c r="EF414" s="56"/>
    </row>
    <row r="415" spans="44:136" s="80" customFormat="1">
      <c r="AR415" s="118"/>
      <c r="BD415" s="56"/>
      <c r="BE415" s="56"/>
      <c r="BF415" s="56"/>
      <c r="BG415" s="56"/>
      <c r="BH415" s="56"/>
      <c r="BI415" s="56"/>
      <c r="BJ415" s="56"/>
      <c r="BK415" s="56"/>
      <c r="BL415" s="56"/>
      <c r="BM415" s="56"/>
      <c r="BN415" s="56"/>
      <c r="BO415" s="56"/>
      <c r="BP415" s="56"/>
      <c r="BQ415" s="56"/>
      <c r="BR415" s="56"/>
      <c r="BS415" s="56"/>
      <c r="BT415" s="60"/>
      <c r="BU415" s="56"/>
      <c r="BV415" s="56"/>
      <c r="BW415" s="56"/>
      <c r="BX415" s="56"/>
      <c r="BY415" s="56"/>
      <c r="BZ415" s="56"/>
      <c r="CA415" s="56"/>
      <c r="CB415" s="56"/>
      <c r="CC415" s="56"/>
      <c r="CD415" s="56"/>
      <c r="CE415" s="56"/>
      <c r="CF415" s="56"/>
      <c r="CG415" s="56"/>
      <c r="CH415" s="56"/>
      <c r="CI415" s="56"/>
      <c r="CJ415" s="60"/>
      <c r="CK415" s="56"/>
      <c r="CL415" s="56"/>
      <c r="CM415" s="56"/>
      <c r="CN415" s="56"/>
      <c r="CO415" s="56"/>
      <c r="CP415" s="56"/>
      <c r="CQ415" s="56"/>
      <c r="CR415" s="56"/>
      <c r="CS415" s="56"/>
      <c r="CT415" s="56"/>
      <c r="CU415" s="56"/>
      <c r="CV415" s="56"/>
      <c r="CW415" s="56"/>
      <c r="CX415" s="60"/>
      <c r="CY415" s="56"/>
      <c r="CZ415" s="56"/>
      <c r="DA415" s="56"/>
      <c r="DB415" s="56"/>
      <c r="DC415" s="56"/>
      <c r="DD415" s="56"/>
      <c r="DE415" s="56"/>
      <c r="DF415" s="56"/>
      <c r="DG415" s="56"/>
      <c r="DH415" s="56"/>
      <c r="DI415" s="56"/>
      <c r="DJ415" s="56"/>
      <c r="DK415" s="60"/>
      <c r="DL415" s="60"/>
      <c r="DM415" s="56"/>
      <c r="DN415" s="56"/>
      <c r="DO415" s="56"/>
      <c r="DP415" s="56"/>
      <c r="DQ415" s="56"/>
      <c r="DR415" s="56"/>
      <c r="DS415" s="56"/>
      <c r="DT415" s="56"/>
      <c r="DU415" s="56"/>
      <c r="DV415" s="56"/>
      <c r="DW415" s="56"/>
      <c r="DX415" s="56"/>
      <c r="DY415" s="56"/>
      <c r="DZ415" s="56"/>
      <c r="EA415" s="56"/>
      <c r="EB415" s="56"/>
      <c r="EC415" s="56"/>
      <c r="ED415" s="56"/>
      <c r="EE415" s="56"/>
      <c r="EF415" s="56"/>
    </row>
    <row r="416" spans="44:136" s="80" customFormat="1">
      <c r="AR416" s="118"/>
      <c r="BD416" s="56"/>
      <c r="BE416" s="56"/>
      <c r="BF416" s="56"/>
      <c r="BG416" s="56"/>
      <c r="BH416" s="56"/>
      <c r="BI416" s="56"/>
      <c r="BJ416" s="56"/>
      <c r="BK416" s="56"/>
      <c r="BL416" s="56"/>
      <c r="BM416" s="56"/>
      <c r="BN416" s="56"/>
      <c r="BO416" s="56"/>
      <c r="BP416" s="56"/>
      <c r="BQ416" s="56"/>
      <c r="BR416" s="56"/>
      <c r="BS416" s="56"/>
      <c r="BT416" s="60"/>
      <c r="BU416" s="56"/>
      <c r="BV416" s="56"/>
      <c r="BW416" s="56"/>
      <c r="BX416" s="56"/>
      <c r="BY416" s="56"/>
      <c r="BZ416" s="56"/>
      <c r="CA416" s="56"/>
      <c r="CB416" s="56"/>
      <c r="CC416" s="56"/>
      <c r="CD416" s="56"/>
      <c r="CE416" s="56"/>
      <c r="CF416" s="56"/>
      <c r="CG416" s="56"/>
      <c r="CH416" s="56"/>
      <c r="CI416" s="56"/>
      <c r="CJ416" s="60"/>
      <c r="CK416" s="56"/>
      <c r="CL416" s="56"/>
      <c r="CM416" s="56"/>
      <c r="CN416" s="56"/>
      <c r="CO416" s="56"/>
      <c r="CP416" s="56"/>
      <c r="CQ416" s="56"/>
      <c r="CR416" s="56"/>
      <c r="CS416" s="56"/>
      <c r="CT416" s="56"/>
      <c r="CU416" s="56"/>
      <c r="CV416" s="56"/>
      <c r="CW416" s="56"/>
      <c r="CX416" s="60"/>
      <c r="CY416" s="56"/>
      <c r="CZ416" s="56"/>
      <c r="DA416" s="56"/>
      <c r="DB416" s="56"/>
      <c r="DC416" s="56"/>
      <c r="DD416" s="56"/>
      <c r="DE416" s="56"/>
      <c r="DF416" s="56"/>
      <c r="DG416" s="56"/>
      <c r="DH416" s="56"/>
      <c r="DI416" s="56"/>
      <c r="DJ416" s="56"/>
      <c r="DK416" s="60"/>
      <c r="DL416" s="60"/>
      <c r="DM416" s="56"/>
      <c r="DN416" s="56"/>
      <c r="DO416" s="56"/>
      <c r="DP416" s="56"/>
      <c r="DQ416" s="56"/>
      <c r="DR416" s="56"/>
      <c r="DS416" s="56"/>
      <c r="DT416" s="56"/>
      <c r="DU416" s="56"/>
      <c r="DV416" s="56"/>
      <c r="DW416" s="56"/>
      <c r="DX416" s="56"/>
      <c r="DY416" s="56"/>
      <c r="DZ416" s="56"/>
      <c r="EA416" s="56"/>
      <c r="EB416" s="56"/>
      <c r="EC416" s="56"/>
      <c r="ED416" s="56"/>
      <c r="EE416" s="56"/>
      <c r="EF416" s="56"/>
    </row>
    <row r="417" spans="44:136" s="80" customFormat="1">
      <c r="AR417" s="118"/>
      <c r="BD417" s="56"/>
      <c r="BE417" s="56"/>
      <c r="BF417" s="56"/>
      <c r="BG417" s="56"/>
      <c r="BH417" s="56"/>
      <c r="BI417" s="56"/>
      <c r="BJ417" s="56"/>
      <c r="BK417" s="56"/>
      <c r="BL417" s="56"/>
      <c r="BM417" s="56"/>
      <c r="BN417" s="56"/>
      <c r="BO417" s="56"/>
      <c r="BP417" s="56"/>
      <c r="BQ417" s="56"/>
      <c r="BR417" s="56"/>
      <c r="BS417" s="56"/>
      <c r="BT417" s="60"/>
      <c r="BU417" s="56"/>
      <c r="BV417" s="56"/>
      <c r="BW417" s="56"/>
      <c r="BX417" s="56"/>
      <c r="BY417" s="56"/>
      <c r="BZ417" s="56"/>
      <c r="CA417" s="56"/>
      <c r="CB417" s="56"/>
      <c r="CC417" s="56"/>
      <c r="CD417" s="56"/>
      <c r="CE417" s="56"/>
      <c r="CF417" s="56"/>
      <c r="CG417" s="56"/>
      <c r="CH417" s="56"/>
      <c r="CI417" s="56"/>
      <c r="CJ417" s="60"/>
      <c r="CK417" s="56"/>
      <c r="CL417" s="56"/>
      <c r="CM417" s="56"/>
      <c r="CN417" s="56"/>
      <c r="CO417" s="56"/>
      <c r="CP417" s="56"/>
      <c r="CQ417" s="56"/>
      <c r="CR417" s="56"/>
      <c r="CS417" s="56"/>
      <c r="CT417" s="56"/>
      <c r="CU417" s="56"/>
      <c r="CV417" s="56"/>
      <c r="CW417" s="56"/>
      <c r="CX417" s="60"/>
      <c r="CY417" s="56"/>
      <c r="CZ417" s="56"/>
      <c r="DA417" s="56"/>
      <c r="DB417" s="56"/>
      <c r="DC417" s="56"/>
      <c r="DD417" s="56"/>
      <c r="DE417" s="56"/>
      <c r="DF417" s="56"/>
      <c r="DG417" s="56"/>
      <c r="DH417" s="56"/>
      <c r="DI417" s="56"/>
      <c r="DJ417" s="56"/>
      <c r="DK417" s="60"/>
      <c r="DL417" s="60"/>
      <c r="DM417" s="56"/>
      <c r="DN417" s="56"/>
      <c r="DO417" s="56"/>
      <c r="DP417" s="56"/>
      <c r="DQ417" s="56"/>
      <c r="DR417" s="56"/>
      <c r="DS417" s="56"/>
      <c r="DT417" s="56"/>
      <c r="DU417" s="56"/>
      <c r="DV417" s="56"/>
      <c r="DW417" s="56"/>
      <c r="DX417" s="56"/>
      <c r="DY417" s="56"/>
      <c r="DZ417" s="56"/>
      <c r="EA417" s="56"/>
      <c r="EB417" s="56"/>
      <c r="EC417" s="56"/>
      <c r="ED417" s="56"/>
      <c r="EE417" s="56"/>
      <c r="EF417" s="56"/>
    </row>
    <row r="418" spans="44:136" s="80" customFormat="1">
      <c r="AR418" s="118"/>
      <c r="BD418" s="56"/>
      <c r="BE418" s="56"/>
      <c r="BF418" s="56"/>
      <c r="BG418" s="56"/>
      <c r="BH418" s="56"/>
      <c r="BI418" s="56"/>
      <c r="BJ418" s="56"/>
      <c r="BK418" s="56"/>
      <c r="BL418" s="56"/>
      <c r="BM418" s="56"/>
      <c r="BN418" s="56"/>
      <c r="BO418" s="56"/>
      <c r="BP418" s="56"/>
      <c r="BQ418" s="56"/>
      <c r="BR418" s="56"/>
      <c r="BS418" s="56"/>
      <c r="BT418" s="60"/>
      <c r="BU418" s="56"/>
      <c r="BV418" s="56"/>
      <c r="BW418" s="56"/>
      <c r="BX418" s="56"/>
      <c r="BY418" s="56"/>
      <c r="BZ418" s="56"/>
      <c r="CA418" s="56"/>
      <c r="CB418" s="56"/>
      <c r="CC418" s="56"/>
      <c r="CD418" s="56"/>
      <c r="CE418" s="56"/>
      <c r="CF418" s="56"/>
      <c r="CG418" s="56"/>
      <c r="CH418" s="56"/>
      <c r="CI418" s="56"/>
      <c r="CJ418" s="60"/>
      <c r="CK418" s="56"/>
      <c r="CL418" s="56"/>
      <c r="CM418" s="56"/>
      <c r="CN418" s="56"/>
      <c r="CO418" s="56"/>
      <c r="CP418" s="56"/>
      <c r="CQ418" s="56"/>
      <c r="CR418" s="56"/>
      <c r="CS418" s="56"/>
      <c r="CT418" s="56"/>
      <c r="CU418" s="56"/>
      <c r="CV418" s="56"/>
      <c r="CW418" s="56"/>
      <c r="CX418" s="60"/>
      <c r="CY418" s="56"/>
      <c r="CZ418" s="56"/>
      <c r="DA418" s="56"/>
      <c r="DB418" s="56"/>
      <c r="DC418" s="56"/>
      <c r="DD418" s="56"/>
      <c r="DE418" s="56"/>
      <c r="DF418" s="56"/>
      <c r="DG418" s="56"/>
      <c r="DH418" s="56"/>
      <c r="DI418" s="56"/>
      <c r="DJ418" s="56"/>
      <c r="DK418" s="60"/>
      <c r="DL418" s="60"/>
      <c r="DM418" s="56"/>
      <c r="DN418" s="56"/>
      <c r="DO418" s="56"/>
      <c r="DP418" s="56"/>
      <c r="DQ418" s="56"/>
      <c r="DR418" s="56"/>
      <c r="DS418" s="56"/>
      <c r="DT418" s="56"/>
      <c r="DU418" s="56"/>
      <c r="DV418" s="56"/>
      <c r="DW418" s="56"/>
      <c r="DX418" s="56"/>
      <c r="DY418" s="56"/>
      <c r="DZ418" s="56"/>
      <c r="EA418" s="56"/>
      <c r="EB418" s="56"/>
      <c r="EC418" s="56"/>
      <c r="ED418" s="56"/>
      <c r="EE418" s="56"/>
      <c r="EF418" s="56"/>
    </row>
    <row r="419" spans="44:136" s="80" customFormat="1">
      <c r="AR419" s="118"/>
      <c r="BD419" s="56"/>
      <c r="BE419" s="56"/>
      <c r="BF419" s="56"/>
      <c r="BG419" s="56"/>
      <c r="BH419" s="56"/>
      <c r="BI419" s="56"/>
      <c r="BJ419" s="56"/>
      <c r="BK419" s="56"/>
      <c r="BL419" s="56"/>
      <c r="BM419" s="56"/>
      <c r="BN419" s="56"/>
      <c r="BO419" s="56"/>
      <c r="BP419" s="56"/>
      <c r="BQ419" s="56"/>
      <c r="BR419" s="56"/>
      <c r="BS419" s="56"/>
      <c r="BT419" s="60"/>
      <c r="BU419" s="56"/>
      <c r="BV419" s="56"/>
      <c r="BW419" s="56"/>
      <c r="BX419" s="56"/>
      <c r="BY419" s="56"/>
      <c r="BZ419" s="56"/>
      <c r="CA419" s="56"/>
      <c r="CB419" s="56"/>
      <c r="CC419" s="56"/>
      <c r="CD419" s="56"/>
      <c r="CE419" s="56"/>
      <c r="CF419" s="56"/>
      <c r="CG419" s="56"/>
      <c r="CH419" s="56"/>
      <c r="CI419" s="56"/>
      <c r="CJ419" s="60"/>
      <c r="CK419" s="56"/>
      <c r="CL419" s="56"/>
      <c r="CM419" s="56"/>
      <c r="CN419" s="56"/>
      <c r="CO419" s="56"/>
      <c r="CP419" s="56"/>
      <c r="CQ419" s="56"/>
      <c r="CR419" s="56"/>
      <c r="CS419" s="56"/>
      <c r="CT419" s="56"/>
      <c r="CU419" s="56"/>
      <c r="CV419" s="56"/>
      <c r="CW419" s="56"/>
      <c r="CX419" s="60"/>
      <c r="CY419" s="56"/>
      <c r="CZ419" s="56"/>
      <c r="DA419" s="56"/>
      <c r="DB419" s="56"/>
      <c r="DC419" s="56"/>
      <c r="DD419" s="56"/>
      <c r="DE419" s="56"/>
      <c r="DF419" s="56"/>
      <c r="DG419" s="56"/>
      <c r="DH419" s="56"/>
      <c r="DI419" s="56"/>
      <c r="DJ419" s="56"/>
      <c r="DK419" s="60"/>
      <c r="DL419" s="60"/>
      <c r="DM419" s="56"/>
      <c r="DN419" s="56"/>
      <c r="DO419" s="56"/>
      <c r="DP419" s="56"/>
      <c r="DQ419" s="56"/>
      <c r="DR419" s="56"/>
      <c r="DS419" s="56"/>
      <c r="DT419" s="56"/>
      <c r="DU419" s="56"/>
      <c r="DV419" s="56"/>
      <c r="DW419" s="56"/>
      <c r="DX419" s="56"/>
      <c r="DY419" s="56"/>
      <c r="DZ419" s="56"/>
      <c r="EA419" s="56"/>
      <c r="EB419" s="56"/>
      <c r="EC419" s="56"/>
      <c r="ED419" s="56"/>
      <c r="EE419" s="56"/>
      <c r="EF419" s="56"/>
    </row>
    <row r="420" spans="44:136" s="80" customFormat="1">
      <c r="AR420" s="118"/>
      <c r="BD420" s="56"/>
      <c r="BE420" s="56"/>
      <c r="BF420" s="56"/>
      <c r="BG420" s="56"/>
      <c r="BH420" s="56"/>
      <c r="BI420" s="56"/>
      <c r="BJ420" s="56"/>
      <c r="BK420" s="56"/>
      <c r="BL420" s="56"/>
      <c r="BM420" s="56"/>
      <c r="BN420" s="56"/>
      <c r="BO420" s="56"/>
      <c r="BP420" s="56"/>
      <c r="BQ420" s="56"/>
      <c r="BR420" s="56"/>
      <c r="BS420" s="56"/>
      <c r="BT420" s="60"/>
      <c r="BU420" s="56"/>
      <c r="BV420" s="56"/>
      <c r="BW420" s="56"/>
      <c r="BX420" s="56"/>
      <c r="BY420" s="56"/>
      <c r="BZ420" s="56"/>
      <c r="CA420" s="56"/>
      <c r="CB420" s="56"/>
      <c r="CC420" s="56"/>
      <c r="CD420" s="56"/>
      <c r="CE420" s="56"/>
      <c r="CF420" s="56"/>
      <c r="CG420" s="56"/>
      <c r="CH420" s="56"/>
      <c r="CI420" s="56"/>
      <c r="CJ420" s="60"/>
      <c r="CK420" s="56"/>
      <c r="CL420" s="56"/>
      <c r="CM420" s="56"/>
      <c r="CN420" s="56"/>
      <c r="CO420" s="56"/>
      <c r="CP420" s="56"/>
      <c r="CQ420" s="56"/>
      <c r="CR420" s="56"/>
      <c r="CS420" s="56"/>
      <c r="CT420" s="56"/>
      <c r="CU420" s="56"/>
      <c r="CV420" s="56"/>
      <c r="CW420" s="56"/>
      <c r="CX420" s="60"/>
      <c r="CY420" s="56"/>
      <c r="CZ420" s="56"/>
      <c r="DA420" s="56"/>
      <c r="DB420" s="56"/>
      <c r="DC420" s="56"/>
      <c r="DD420" s="56"/>
      <c r="DE420" s="56"/>
      <c r="DF420" s="56"/>
      <c r="DG420" s="56"/>
      <c r="DH420" s="56"/>
      <c r="DI420" s="56"/>
      <c r="DJ420" s="56"/>
      <c r="DK420" s="60"/>
      <c r="DL420" s="60"/>
      <c r="DM420" s="56"/>
      <c r="DN420" s="56"/>
      <c r="DO420" s="56"/>
      <c r="DP420" s="56"/>
      <c r="DQ420" s="56"/>
      <c r="DR420" s="56"/>
      <c r="DS420" s="56"/>
      <c r="DT420" s="56"/>
      <c r="DU420" s="56"/>
      <c r="DV420" s="56"/>
      <c r="DW420" s="56"/>
      <c r="DX420" s="56"/>
      <c r="DY420" s="56"/>
      <c r="DZ420" s="56"/>
      <c r="EA420" s="56"/>
      <c r="EB420" s="56"/>
      <c r="EC420" s="56"/>
      <c r="ED420" s="56"/>
      <c r="EE420" s="56"/>
      <c r="EF420" s="56"/>
    </row>
    <row r="421" spans="44:136" s="80" customFormat="1">
      <c r="AR421" s="118"/>
      <c r="BD421" s="56"/>
      <c r="BE421" s="56"/>
      <c r="BF421" s="56"/>
      <c r="BG421" s="56"/>
      <c r="BH421" s="56"/>
      <c r="BI421" s="56"/>
      <c r="BJ421" s="56"/>
      <c r="BK421" s="56"/>
      <c r="BL421" s="56"/>
      <c r="BM421" s="56"/>
      <c r="BN421" s="56"/>
      <c r="BO421" s="56"/>
      <c r="BP421" s="56"/>
      <c r="BQ421" s="56"/>
      <c r="BR421" s="56"/>
      <c r="BS421" s="56"/>
      <c r="BT421" s="60"/>
      <c r="BU421" s="56"/>
      <c r="BV421" s="56"/>
      <c r="BW421" s="56"/>
      <c r="BX421" s="56"/>
      <c r="BY421" s="56"/>
      <c r="BZ421" s="56"/>
      <c r="CA421" s="56"/>
      <c r="CB421" s="56"/>
      <c r="CC421" s="56"/>
      <c r="CD421" s="56"/>
      <c r="CE421" s="56"/>
      <c r="CF421" s="56"/>
      <c r="CG421" s="56"/>
      <c r="CH421" s="56"/>
      <c r="CI421" s="56"/>
      <c r="CJ421" s="60"/>
      <c r="CK421" s="56"/>
      <c r="CL421" s="56"/>
      <c r="CM421" s="56"/>
      <c r="CN421" s="56"/>
      <c r="CO421" s="56"/>
      <c r="CP421" s="56"/>
      <c r="CQ421" s="56"/>
      <c r="CR421" s="56"/>
      <c r="CS421" s="56"/>
      <c r="CT421" s="56"/>
      <c r="CU421" s="56"/>
      <c r="CV421" s="56"/>
      <c r="CW421" s="56"/>
      <c r="CX421" s="60"/>
      <c r="CY421" s="56"/>
      <c r="CZ421" s="56"/>
      <c r="DA421" s="56"/>
      <c r="DB421" s="56"/>
      <c r="DC421" s="56"/>
      <c r="DD421" s="56"/>
      <c r="DE421" s="56"/>
      <c r="DF421" s="56"/>
      <c r="DG421" s="56"/>
      <c r="DH421" s="56"/>
      <c r="DI421" s="56"/>
      <c r="DJ421" s="56"/>
      <c r="DK421" s="60"/>
      <c r="DL421" s="60"/>
      <c r="DM421" s="56"/>
      <c r="DN421" s="56"/>
      <c r="DO421" s="56"/>
      <c r="DP421" s="56"/>
      <c r="DQ421" s="56"/>
      <c r="DR421" s="56"/>
      <c r="DS421" s="56"/>
      <c r="DT421" s="56"/>
      <c r="DU421" s="56"/>
      <c r="DV421" s="56"/>
      <c r="DW421" s="56"/>
      <c r="DX421" s="56"/>
      <c r="DY421" s="56"/>
      <c r="DZ421" s="56"/>
      <c r="EA421" s="56"/>
      <c r="EB421" s="56"/>
      <c r="EC421" s="56"/>
      <c r="ED421" s="56"/>
      <c r="EE421" s="56"/>
      <c r="EF421" s="56"/>
    </row>
    <row r="422" spans="44:136" s="80" customFormat="1">
      <c r="AR422" s="118"/>
      <c r="BD422" s="56"/>
      <c r="BE422" s="56"/>
      <c r="BF422" s="56"/>
      <c r="BG422" s="56"/>
      <c r="BH422" s="56"/>
      <c r="BI422" s="56"/>
      <c r="BJ422" s="56"/>
      <c r="BK422" s="56"/>
      <c r="BL422" s="56"/>
      <c r="BM422" s="56"/>
      <c r="BN422" s="56"/>
      <c r="BO422" s="56"/>
      <c r="BP422" s="56"/>
      <c r="BQ422" s="56"/>
      <c r="BR422" s="56"/>
      <c r="BS422" s="56"/>
      <c r="BT422" s="60"/>
      <c r="BU422" s="56"/>
      <c r="BV422" s="56"/>
      <c r="BW422" s="56"/>
      <c r="BX422" s="56"/>
      <c r="BY422" s="56"/>
      <c r="BZ422" s="56"/>
      <c r="CA422" s="56"/>
      <c r="CB422" s="56"/>
      <c r="CC422" s="56"/>
      <c r="CD422" s="56"/>
      <c r="CE422" s="56"/>
      <c r="CF422" s="56"/>
      <c r="CG422" s="56"/>
      <c r="CH422" s="56"/>
      <c r="CI422" s="56"/>
      <c r="CJ422" s="60"/>
      <c r="CK422" s="56"/>
      <c r="CL422" s="56"/>
      <c r="CM422" s="56"/>
      <c r="CN422" s="56"/>
      <c r="CO422" s="56"/>
      <c r="CP422" s="56"/>
      <c r="CQ422" s="56"/>
      <c r="CR422" s="56"/>
      <c r="CS422" s="56"/>
      <c r="CT422" s="56"/>
      <c r="CU422" s="56"/>
      <c r="CV422" s="56"/>
      <c r="CW422" s="56"/>
      <c r="CX422" s="60"/>
      <c r="CY422" s="56"/>
      <c r="CZ422" s="56"/>
      <c r="DA422" s="56"/>
      <c r="DB422" s="56"/>
      <c r="DC422" s="56"/>
      <c r="DD422" s="56"/>
      <c r="DE422" s="56"/>
      <c r="DF422" s="56"/>
      <c r="DG422" s="56"/>
      <c r="DH422" s="56"/>
      <c r="DI422" s="56"/>
      <c r="DJ422" s="56"/>
      <c r="DK422" s="60"/>
      <c r="DL422" s="60"/>
      <c r="DM422" s="56"/>
      <c r="DN422" s="56"/>
      <c r="DO422" s="56"/>
      <c r="DP422" s="56"/>
      <c r="DQ422" s="56"/>
      <c r="DR422" s="56"/>
      <c r="DS422" s="56"/>
      <c r="DT422" s="56"/>
      <c r="DU422" s="56"/>
      <c r="DV422" s="56"/>
      <c r="DW422" s="56"/>
      <c r="DX422" s="56"/>
      <c r="DY422" s="56"/>
      <c r="DZ422" s="56"/>
      <c r="EA422" s="56"/>
      <c r="EB422" s="56"/>
      <c r="EC422" s="56"/>
      <c r="ED422" s="56"/>
      <c r="EE422" s="56"/>
      <c r="EF422" s="56"/>
    </row>
    <row r="423" spans="44:136" s="80" customFormat="1">
      <c r="AR423" s="118"/>
      <c r="BD423" s="56"/>
      <c r="BE423" s="56"/>
      <c r="BF423" s="56"/>
      <c r="BG423" s="56"/>
      <c r="BH423" s="56"/>
      <c r="BI423" s="56"/>
      <c r="BJ423" s="56"/>
      <c r="BK423" s="56"/>
      <c r="BL423" s="56"/>
      <c r="BM423" s="56"/>
      <c r="BN423" s="56"/>
      <c r="BO423" s="56"/>
      <c r="BP423" s="56"/>
      <c r="BQ423" s="56"/>
      <c r="BR423" s="56"/>
      <c r="BS423" s="56"/>
      <c r="BT423" s="60"/>
      <c r="BU423" s="56"/>
      <c r="BV423" s="56"/>
      <c r="BW423" s="56"/>
      <c r="BX423" s="56"/>
      <c r="BY423" s="56"/>
      <c r="BZ423" s="56"/>
      <c r="CA423" s="56"/>
      <c r="CB423" s="56"/>
      <c r="CC423" s="56"/>
      <c r="CD423" s="56"/>
      <c r="CE423" s="56"/>
      <c r="CF423" s="56"/>
      <c r="CG423" s="56"/>
      <c r="CH423" s="56"/>
      <c r="CI423" s="56"/>
      <c r="CJ423" s="60"/>
      <c r="CK423" s="56"/>
      <c r="CL423" s="56"/>
      <c r="CM423" s="56"/>
      <c r="CN423" s="56"/>
      <c r="CO423" s="56"/>
      <c r="CP423" s="56"/>
      <c r="CQ423" s="56"/>
      <c r="CR423" s="56"/>
      <c r="CS423" s="56"/>
      <c r="CT423" s="56"/>
      <c r="CU423" s="56"/>
      <c r="CV423" s="56"/>
      <c r="CW423" s="56"/>
      <c r="CX423" s="60"/>
      <c r="CY423" s="56"/>
      <c r="CZ423" s="56"/>
      <c r="DA423" s="56"/>
      <c r="DB423" s="56"/>
      <c r="DC423" s="56"/>
      <c r="DD423" s="56"/>
      <c r="DE423" s="56"/>
      <c r="DF423" s="56"/>
      <c r="DG423" s="56"/>
      <c r="DH423" s="56"/>
      <c r="DI423" s="56"/>
      <c r="DJ423" s="56"/>
      <c r="DK423" s="60"/>
      <c r="DL423" s="60"/>
      <c r="DM423" s="56"/>
      <c r="DN423" s="56"/>
      <c r="DO423" s="56"/>
      <c r="DP423" s="56"/>
      <c r="DQ423" s="56"/>
      <c r="DR423" s="56"/>
      <c r="DS423" s="56"/>
      <c r="DT423" s="56"/>
      <c r="DU423" s="56"/>
      <c r="DV423" s="56"/>
      <c r="DW423" s="56"/>
      <c r="DX423" s="56"/>
      <c r="DY423" s="56"/>
      <c r="DZ423" s="56"/>
      <c r="EA423" s="56"/>
      <c r="EB423" s="56"/>
      <c r="EC423" s="56"/>
      <c r="ED423" s="56"/>
      <c r="EE423" s="56"/>
      <c r="EF423" s="56"/>
    </row>
    <row r="424" spans="44:136" s="80" customFormat="1">
      <c r="AR424" s="118"/>
      <c r="BD424" s="56"/>
      <c r="BE424" s="56"/>
      <c r="BF424" s="56"/>
      <c r="BG424" s="56"/>
      <c r="BH424" s="56"/>
      <c r="BI424" s="56"/>
      <c r="BJ424" s="56"/>
      <c r="BK424" s="56"/>
      <c r="BL424" s="56"/>
      <c r="BM424" s="56"/>
      <c r="BN424" s="56"/>
      <c r="BO424" s="56"/>
      <c r="BP424" s="56"/>
      <c r="BQ424" s="56"/>
      <c r="BR424" s="56"/>
      <c r="BS424" s="56"/>
      <c r="BT424" s="60"/>
      <c r="BU424" s="56"/>
      <c r="BV424" s="56"/>
      <c r="BW424" s="56"/>
      <c r="BX424" s="56"/>
      <c r="BY424" s="56"/>
      <c r="BZ424" s="56"/>
      <c r="CA424" s="56"/>
      <c r="CB424" s="56"/>
      <c r="CC424" s="56"/>
      <c r="CD424" s="56"/>
      <c r="CE424" s="56"/>
      <c r="CF424" s="56"/>
      <c r="CG424" s="56"/>
      <c r="CH424" s="56"/>
      <c r="CI424" s="56"/>
      <c r="CJ424" s="60"/>
      <c r="CK424" s="56"/>
      <c r="CL424" s="56"/>
      <c r="CM424" s="56"/>
      <c r="CN424" s="56"/>
      <c r="CO424" s="56"/>
      <c r="CP424" s="56"/>
      <c r="CQ424" s="56"/>
      <c r="CR424" s="56"/>
      <c r="CS424" s="56"/>
      <c r="CT424" s="56"/>
      <c r="CU424" s="56"/>
      <c r="CV424" s="56"/>
      <c r="CW424" s="56"/>
      <c r="CX424" s="60"/>
      <c r="CY424" s="56"/>
      <c r="CZ424" s="56"/>
      <c r="DA424" s="56"/>
      <c r="DB424" s="56"/>
      <c r="DC424" s="56"/>
      <c r="DD424" s="56"/>
      <c r="DE424" s="56"/>
      <c r="DF424" s="56"/>
      <c r="DG424" s="56"/>
      <c r="DH424" s="56"/>
      <c r="DI424" s="56"/>
      <c r="DJ424" s="56"/>
      <c r="DK424" s="60"/>
      <c r="DL424" s="60"/>
      <c r="DM424" s="56"/>
      <c r="DN424" s="56"/>
      <c r="DO424" s="56"/>
      <c r="DP424" s="56"/>
      <c r="DQ424" s="56"/>
      <c r="DR424" s="56"/>
      <c r="DS424" s="56"/>
      <c r="DT424" s="56"/>
      <c r="DU424" s="56"/>
      <c r="DV424" s="56"/>
      <c r="DW424" s="56"/>
      <c r="DX424" s="56"/>
      <c r="DY424" s="56"/>
      <c r="DZ424" s="56"/>
      <c r="EA424" s="56"/>
      <c r="EB424" s="56"/>
      <c r="EC424" s="56"/>
      <c r="ED424" s="56"/>
      <c r="EE424" s="56"/>
      <c r="EF424" s="56"/>
    </row>
    <row r="425" spans="44:136" s="80" customFormat="1">
      <c r="AR425" s="118"/>
      <c r="BD425" s="56"/>
      <c r="BE425" s="56"/>
      <c r="BF425" s="56"/>
      <c r="BG425" s="56"/>
      <c r="BH425" s="56"/>
      <c r="BI425" s="56"/>
      <c r="BJ425" s="56"/>
      <c r="BK425" s="56"/>
      <c r="BL425" s="56"/>
      <c r="BM425" s="56"/>
      <c r="BN425" s="56"/>
      <c r="BO425" s="56"/>
      <c r="BP425" s="56"/>
      <c r="BQ425" s="56"/>
      <c r="BR425" s="56"/>
      <c r="BS425" s="56"/>
      <c r="BT425" s="60"/>
      <c r="BU425" s="56"/>
      <c r="BV425" s="56"/>
      <c r="BW425" s="56"/>
      <c r="BX425" s="56"/>
      <c r="BY425" s="56"/>
      <c r="BZ425" s="56"/>
      <c r="CA425" s="56"/>
      <c r="CB425" s="56"/>
      <c r="CC425" s="56"/>
      <c r="CD425" s="56"/>
      <c r="CE425" s="56"/>
      <c r="CF425" s="56"/>
      <c r="CG425" s="56"/>
      <c r="CH425" s="56"/>
      <c r="CI425" s="56"/>
      <c r="CJ425" s="60"/>
      <c r="CK425" s="56"/>
      <c r="CL425" s="56"/>
      <c r="CM425" s="56"/>
      <c r="CN425" s="56"/>
      <c r="CO425" s="56"/>
      <c r="CP425" s="56"/>
      <c r="CQ425" s="56"/>
      <c r="CR425" s="56"/>
      <c r="CS425" s="56"/>
      <c r="CT425" s="56"/>
      <c r="CU425" s="56"/>
      <c r="CV425" s="56"/>
      <c r="CW425" s="56"/>
      <c r="CX425" s="60"/>
      <c r="CY425" s="56"/>
      <c r="CZ425" s="56"/>
      <c r="DA425" s="56"/>
      <c r="DB425" s="56"/>
      <c r="DC425" s="56"/>
      <c r="DD425" s="56"/>
      <c r="DE425" s="56"/>
      <c r="DF425" s="56"/>
      <c r="DG425" s="56"/>
      <c r="DH425" s="56"/>
      <c r="DI425" s="56"/>
      <c r="DJ425" s="56"/>
      <c r="DK425" s="60"/>
      <c r="DL425" s="60"/>
      <c r="DM425" s="56"/>
      <c r="DN425" s="56"/>
      <c r="DO425" s="56"/>
      <c r="DP425" s="56"/>
      <c r="DQ425" s="56"/>
      <c r="DR425" s="56"/>
      <c r="DS425" s="56"/>
      <c r="DT425" s="56"/>
      <c r="DU425" s="56"/>
      <c r="DV425" s="56"/>
      <c r="DW425" s="56"/>
      <c r="DX425" s="56"/>
      <c r="DY425" s="56"/>
      <c r="DZ425" s="56"/>
      <c r="EA425" s="56"/>
      <c r="EB425" s="56"/>
      <c r="EC425" s="56"/>
      <c r="ED425" s="56"/>
      <c r="EE425" s="56"/>
      <c r="EF425" s="56"/>
    </row>
    <row r="426" spans="44:136" s="80" customFormat="1">
      <c r="AR426" s="118"/>
      <c r="BD426" s="56"/>
      <c r="BE426" s="56"/>
      <c r="BF426" s="56"/>
      <c r="BG426" s="56"/>
      <c r="BH426" s="56"/>
      <c r="BI426" s="56"/>
      <c r="BJ426" s="56"/>
      <c r="BK426" s="56"/>
      <c r="BL426" s="56"/>
      <c r="BM426" s="56"/>
      <c r="BN426" s="56"/>
      <c r="BO426" s="56"/>
      <c r="BP426" s="56"/>
      <c r="BQ426" s="56"/>
      <c r="BR426" s="56"/>
      <c r="BS426" s="56"/>
      <c r="BT426" s="60"/>
      <c r="BU426" s="56"/>
      <c r="BV426" s="56"/>
      <c r="BW426" s="56"/>
      <c r="BX426" s="56"/>
      <c r="BY426" s="56"/>
      <c r="BZ426" s="56"/>
      <c r="CA426" s="56"/>
      <c r="CB426" s="56"/>
      <c r="CC426" s="56"/>
      <c r="CD426" s="56"/>
      <c r="CE426" s="56"/>
      <c r="CF426" s="56"/>
      <c r="CG426" s="56"/>
      <c r="CH426" s="56"/>
      <c r="CI426" s="56"/>
      <c r="CJ426" s="60"/>
      <c r="CK426" s="56"/>
      <c r="CL426" s="56"/>
      <c r="CM426" s="56"/>
      <c r="CN426" s="56"/>
      <c r="CO426" s="56"/>
      <c r="CP426" s="56"/>
      <c r="CQ426" s="56"/>
      <c r="CR426" s="56"/>
      <c r="CS426" s="56"/>
      <c r="CT426" s="56"/>
      <c r="CU426" s="56"/>
      <c r="CV426" s="56"/>
      <c r="CW426" s="56"/>
      <c r="CX426" s="60"/>
      <c r="CY426" s="56"/>
      <c r="CZ426" s="56"/>
      <c r="DA426" s="56"/>
      <c r="DB426" s="56"/>
      <c r="DC426" s="56"/>
      <c r="DD426" s="56"/>
      <c r="DE426" s="56"/>
      <c r="DF426" s="56"/>
      <c r="DG426" s="56"/>
      <c r="DH426" s="56"/>
      <c r="DI426" s="56"/>
      <c r="DJ426" s="56"/>
      <c r="DK426" s="60"/>
      <c r="DL426" s="60"/>
      <c r="DM426" s="56"/>
      <c r="DN426" s="56"/>
      <c r="DO426" s="56"/>
      <c r="DP426" s="56"/>
      <c r="DQ426" s="56"/>
      <c r="DR426" s="56"/>
      <c r="DS426" s="56"/>
      <c r="DT426" s="56"/>
      <c r="DU426" s="56"/>
      <c r="DV426" s="56"/>
      <c r="DW426" s="56"/>
      <c r="DX426" s="56"/>
      <c r="DY426" s="56"/>
      <c r="DZ426" s="56"/>
      <c r="EA426" s="56"/>
      <c r="EB426" s="56"/>
      <c r="EC426" s="56"/>
      <c r="ED426" s="56"/>
      <c r="EE426" s="56"/>
      <c r="EF426" s="56"/>
    </row>
    <row r="427" spans="44:136" s="80" customFormat="1">
      <c r="AR427" s="118"/>
      <c r="BD427" s="56"/>
      <c r="BE427" s="56"/>
      <c r="BF427" s="56"/>
      <c r="BG427" s="56"/>
      <c r="BH427" s="56"/>
      <c r="BI427" s="56"/>
      <c r="BJ427" s="56"/>
      <c r="BK427" s="56"/>
      <c r="BL427" s="56"/>
      <c r="BM427" s="56"/>
      <c r="BN427" s="56"/>
      <c r="BO427" s="56"/>
      <c r="BP427" s="56"/>
      <c r="BQ427" s="56"/>
      <c r="BR427" s="56"/>
      <c r="BS427" s="56"/>
      <c r="BT427" s="60"/>
      <c r="BU427" s="56"/>
      <c r="BV427" s="56"/>
      <c r="BW427" s="56"/>
      <c r="BX427" s="56"/>
      <c r="BY427" s="56"/>
      <c r="BZ427" s="56"/>
      <c r="CA427" s="56"/>
      <c r="CB427" s="56"/>
      <c r="CC427" s="56"/>
      <c r="CD427" s="56"/>
      <c r="CE427" s="56"/>
      <c r="CF427" s="56"/>
      <c r="CG427" s="56"/>
      <c r="CH427" s="56"/>
      <c r="CI427" s="56"/>
      <c r="CJ427" s="60"/>
      <c r="CK427" s="56"/>
      <c r="CL427" s="56"/>
      <c r="CM427" s="56"/>
      <c r="CN427" s="56"/>
      <c r="CO427" s="56"/>
      <c r="CP427" s="56"/>
      <c r="CQ427" s="56"/>
      <c r="CR427" s="56"/>
      <c r="CS427" s="56"/>
      <c r="CT427" s="56"/>
      <c r="CU427" s="56"/>
      <c r="CV427" s="56"/>
      <c r="CW427" s="56"/>
      <c r="CX427" s="60"/>
      <c r="CY427" s="56"/>
      <c r="CZ427" s="56"/>
      <c r="DA427" s="56"/>
      <c r="DB427" s="56"/>
      <c r="DC427" s="56"/>
      <c r="DD427" s="56"/>
      <c r="DE427" s="56"/>
      <c r="DF427" s="56"/>
      <c r="DG427" s="56"/>
      <c r="DH427" s="56"/>
      <c r="DI427" s="56"/>
      <c r="DJ427" s="56"/>
      <c r="DK427" s="60"/>
      <c r="DL427" s="60"/>
      <c r="DM427" s="56"/>
      <c r="DN427" s="56"/>
      <c r="DO427" s="56"/>
      <c r="DP427" s="56"/>
      <c r="DQ427" s="56"/>
      <c r="DR427" s="56"/>
      <c r="DS427" s="56"/>
      <c r="DT427" s="56"/>
      <c r="DU427" s="56"/>
      <c r="DV427" s="56"/>
      <c r="DW427" s="56"/>
      <c r="DX427" s="56"/>
      <c r="DY427" s="56"/>
      <c r="DZ427" s="56"/>
      <c r="EA427" s="56"/>
      <c r="EB427" s="56"/>
      <c r="EC427" s="56"/>
      <c r="ED427" s="56"/>
      <c r="EE427" s="56"/>
      <c r="EF427" s="56"/>
    </row>
    <row r="428" spans="44:136" s="80" customFormat="1">
      <c r="AR428" s="118"/>
      <c r="BD428" s="56"/>
      <c r="BE428" s="56"/>
      <c r="BF428" s="56"/>
      <c r="BG428" s="56"/>
      <c r="BH428" s="56"/>
      <c r="BI428" s="56"/>
      <c r="BJ428" s="56"/>
      <c r="BK428" s="56"/>
      <c r="BL428" s="56"/>
      <c r="BM428" s="56"/>
      <c r="BN428" s="56"/>
      <c r="BO428" s="56"/>
      <c r="BP428" s="56"/>
      <c r="BQ428" s="56"/>
      <c r="BR428" s="56"/>
      <c r="BS428" s="56"/>
      <c r="BT428" s="60"/>
      <c r="BU428" s="56"/>
      <c r="BV428" s="56"/>
      <c r="BW428" s="56"/>
      <c r="BX428" s="56"/>
      <c r="BY428" s="56"/>
      <c r="BZ428" s="56"/>
      <c r="CA428" s="56"/>
      <c r="CB428" s="56"/>
      <c r="CC428" s="56"/>
      <c r="CD428" s="56"/>
      <c r="CE428" s="56"/>
      <c r="CF428" s="56"/>
      <c r="CG428" s="56"/>
      <c r="CH428" s="56"/>
      <c r="CI428" s="56"/>
      <c r="CJ428" s="60"/>
      <c r="CK428" s="56"/>
      <c r="CL428" s="56"/>
      <c r="CM428" s="56"/>
      <c r="CN428" s="56"/>
      <c r="CO428" s="56"/>
      <c r="CP428" s="56"/>
      <c r="CQ428" s="56"/>
      <c r="CR428" s="56"/>
      <c r="CS428" s="56"/>
      <c r="CT428" s="56"/>
      <c r="CU428" s="56"/>
      <c r="CV428" s="56"/>
      <c r="CW428" s="56"/>
      <c r="CX428" s="60"/>
      <c r="CY428" s="56"/>
      <c r="CZ428" s="56"/>
      <c r="DA428" s="56"/>
      <c r="DB428" s="56"/>
      <c r="DC428" s="56"/>
      <c r="DD428" s="56"/>
      <c r="DE428" s="56"/>
      <c r="DF428" s="56"/>
      <c r="DG428" s="56"/>
      <c r="DH428" s="56"/>
      <c r="DI428" s="56"/>
      <c r="DJ428" s="56"/>
      <c r="DK428" s="60"/>
      <c r="DL428" s="60"/>
      <c r="DM428" s="56"/>
      <c r="DN428" s="56"/>
      <c r="DO428" s="56"/>
      <c r="DP428" s="56"/>
      <c r="DQ428" s="56"/>
      <c r="DR428" s="56"/>
      <c r="DS428" s="56"/>
      <c r="DT428" s="56"/>
      <c r="DU428" s="56"/>
      <c r="DV428" s="56"/>
      <c r="DW428" s="56"/>
      <c r="DX428" s="56"/>
      <c r="DY428" s="56"/>
      <c r="DZ428" s="56"/>
      <c r="EA428" s="56"/>
      <c r="EB428" s="56"/>
      <c r="EC428" s="56"/>
      <c r="ED428" s="56"/>
      <c r="EE428" s="56"/>
      <c r="EF428" s="56"/>
    </row>
    <row r="429" spans="44:136" s="80" customFormat="1">
      <c r="AR429" s="118"/>
      <c r="BD429" s="56"/>
      <c r="BE429" s="56"/>
      <c r="BF429" s="56"/>
      <c r="BG429" s="56"/>
      <c r="BH429" s="56"/>
      <c r="BI429" s="56"/>
      <c r="BJ429" s="56"/>
      <c r="BK429" s="56"/>
      <c r="BL429" s="56"/>
      <c r="BM429" s="56"/>
      <c r="BN429" s="56"/>
      <c r="BO429" s="56"/>
      <c r="BP429" s="56"/>
      <c r="BQ429" s="56"/>
      <c r="BR429" s="56"/>
      <c r="BS429" s="56"/>
      <c r="BT429" s="60"/>
      <c r="BU429" s="56"/>
      <c r="BV429" s="56"/>
      <c r="BW429" s="56"/>
      <c r="BX429" s="56"/>
      <c r="BY429" s="56"/>
      <c r="BZ429" s="56"/>
      <c r="CA429" s="56"/>
      <c r="CB429" s="56"/>
      <c r="CC429" s="56"/>
      <c r="CD429" s="56"/>
      <c r="CE429" s="56"/>
      <c r="CF429" s="56"/>
      <c r="CG429" s="56"/>
      <c r="CH429" s="56"/>
      <c r="CI429" s="56"/>
      <c r="CJ429" s="60"/>
      <c r="CK429" s="56"/>
      <c r="CL429" s="56"/>
      <c r="CM429" s="56"/>
      <c r="CN429" s="56"/>
      <c r="CO429" s="56"/>
      <c r="CP429" s="56"/>
      <c r="CQ429" s="56"/>
      <c r="CR429" s="56"/>
      <c r="CS429" s="56"/>
      <c r="CT429" s="56"/>
      <c r="CU429" s="56"/>
      <c r="CV429" s="56"/>
      <c r="CW429" s="56"/>
      <c r="CX429" s="60"/>
      <c r="CY429" s="56"/>
      <c r="CZ429" s="56"/>
      <c r="DA429" s="56"/>
      <c r="DB429" s="56"/>
      <c r="DC429" s="56"/>
      <c r="DD429" s="56"/>
      <c r="DE429" s="56"/>
      <c r="DF429" s="56"/>
      <c r="DG429" s="56"/>
      <c r="DH429" s="56"/>
      <c r="DI429" s="56"/>
      <c r="DJ429" s="56"/>
      <c r="DK429" s="60"/>
      <c r="DL429" s="60"/>
      <c r="DM429" s="56"/>
      <c r="DN429" s="56"/>
      <c r="DO429" s="56"/>
      <c r="DP429" s="56"/>
      <c r="DQ429" s="56"/>
      <c r="DR429" s="56"/>
      <c r="DS429" s="56"/>
      <c r="DT429" s="56"/>
      <c r="DU429" s="56"/>
      <c r="DV429" s="56"/>
      <c r="DW429" s="56"/>
      <c r="DX429" s="56"/>
      <c r="DY429" s="56"/>
      <c r="DZ429" s="56"/>
      <c r="EA429" s="56"/>
      <c r="EB429" s="56"/>
      <c r="EC429" s="56"/>
      <c r="ED429" s="56"/>
      <c r="EE429" s="56"/>
      <c r="EF429" s="56"/>
    </row>
    <row r="430" spans="44:136" s="80" customFormat="1">
      <c r="AR430" s="118"/>
      <c r="BD430" s="56"/>
      <c r="BE430" s="56"/>
      <c r="BF430" s="56"/>
      <c r="BG430" s="56"/>
      <c r="BH430" s="56"/>
      <c r="BI430" s="56"/>
      <c r="BJ430" s="56"/>
      <c r="BK430" s="56"/>
      <c r="BL430" s="56"/>
      <c r="BM430" s="56"/>
      <c r="BN430" s="56"/>
      <c r="BO430" s="56"/>
      <c r="BP430" s="56"/>
      <c r="BQ430" s="56"/>
      <c r="BR430" s="56"/>
      <c r="BS430" s="56"/>
      <c r="BT430" s="60"/>
      <c r="BU430" s="56"/>
      <c r="BV430" s="56"/>
      <c r="BW430" s="56"/>
      <c r="BX430" s="56"/>
      <c r="BY430" s="56"/>
      <c r="BZ430" s="56"/>
      <c r="CA430" s="56"/>
      <c r="CB430" s="56"/>
      <c r="CC430" s="56"/>
      <c r="CD430" s="56"/>
      <c r="CE430" s="56"/>
      <c r="CF430" s="56"/>
      <c r="CG430" s="56"/>
      <c r="CH430" s="56"/>
      <c r="CI430" s="56"/>
      <c r="CJ430" s="60"/>
      <c r="CK430" s="56"/>
      <c r="CL430" s="56"/>
      <c r="CM430" s="56"/>
      <c r="CN430" s="56"/>
      <c r="CO430" s="56"/>
      <c r="CP430" s="56"/>
      <c r="CQ430" s="56"/>
      <c r="CR430" s="56"/>
      <c r="CS430" s="56"/>
      <c r="CT430" s="56"/>
      <c r="CU430" s="56"/>
      <c r="CV430" s="56"/>
      <c r="CW430" s="56"/>
      <c r="CX430" s="60"/>
      <c r="CY430" s="56"/>
      <c r="CZ430" s="56"/>
      <c r="DA430" s="56"/>
      <c r="DB430" s="56"/>
      <c r="DC430" s="56"/>
      <c r="DD430" s="56"/>
      <c r="DE430" s="56"/>
      <c r="DF430" s="56"/>
      <c r="DG430" s="56"/>
      <c r="DH430" s="56"/>
      <c r="DI430" s="56"/>
      <c r="DJ430" s="56"/>
      <c r="DK430" s="60"/>
      <c r="DL430" s="60"/>
      <c r="DM430" s="56"/>
      <c r="DN430" s="56"/>
      <c r="DO430" s="56"/>
      <c r="DP430" s="56"/>
      <c r="DQ430" s="56"/>
      <c r="DR430" s="56"/>
      <c r="DS430" s="56"/>
      <c r="DT430" s="56"/>
      <c r="DU430" s="56"/>
      <c r="DV430" s="56"/>
      <c r="DW430" s="56"/>
      <c r="DX430" s="56"/>
      <c r="DY430" s="56"/>
      <c r="DZ430" s="56"/>
      <c r="EA430" s="56"/>
      <c r="EB430" s="56"/>
      <c r="EC430" s="56"/>
      <c r="ED430" s="56"/>
      <c r="EE430" s="56"/>
      <c r="EF430" s="56"/>
    </row>
    <row r="431" spans="44:136" s="80" customFormat="1">
      <c r="AR431" s="118"/>
      <c r="BD431" s="56"/>
      <c r="BE431" s="56"/>
      <c r="BF431" s="56"/>
      <c r="BG431" s="56"/>
      <c r="BH431" s="56"/>
      <c r="BI431" s="56"/>
      <c r="BJ431" s="56"/>
      <c r="BK431" s="56"/>
      <c r="BL431" s="56"/>
      <c r="BM431" s="56"/>
      <c r="BN431" s="56"/>
      <c r="BO431" s="56"/>
      <c r="BP431" s="56"/>
      <c r="BQ431" s="56"/>
      <c r="BR431" s="56"/>
      <c r="BS431" s="56"/>
      <c r="BT431" s="60"/>
      <c r="BU431" s="56"/>
      <c r="BV431" s="56"/>
      <c r="BW431" s="56"/>
      <c r="BX431" s="56"/>
      <c r="BY431" s="56"/>
      <c r="BZ431" s="56"/>
      <c r="CA431" s="56"/>
      <c r="CB431" s="56"/>
      <c r="CC431" s="56"/>
      <c r="CD431" s="56"/>
      <c r="CE431" s="56"/>
      <c r="CF431" s="56"/>
      <c r="CG431" s="56"/>
      <c r="CH431" s="56"/>
      <c r="CI431" s="56"/>
      <c r="CJ431" s="60"/>
      <c r="CK431" s="56"/>
      <c r="CL431" s="56"/>
      <c r="CM431" s="56"/>
      <c r="CN431" s="56"/>
      <c r="CO431" s="56"/>
      <c r="CP431" s="56"/>
      <c r="CQ431" s="56"/>
      <c r="CR431" s="56"/>
      <c r="CS431" s="56"/>
      <c r="CT431" s="56"/>
      <c r="CU431" s="56"/>
      <c r="CV431" s="56"/>
      <c r="CW431" s="56"/>
      <c r="CX431" s="60"/>
      <c r="CY431" s="56"/>
      <c r="CZ431" s="56"/>
      <c r="DA431" s="56"/>
      <c r="DB431" s="56"/>
      <c r="DC431" s="56"/>
      <c r="DD431" s="56"/>
      <c r="DE431" s="56"/>
      <c r="DF431" s="56"/>
      <c r="DG431" s="56"/>
      <c r="DH431" s="56"/>
      <c r="DI431" s="56"/>
      <c r="DJ431" s="56"/>
      <c r="DK431" s="60"/>
      <c r="DL431" s="60"/>
      <c r="DM431" s="56"/>
      <c r="DN431" s="56"/>
      <c r="DO431" s="56"/>
      <c r="DP431" s="56"/>
      <c r="DQ431" s="56"/>
      <c r="DR431" s="56"/>
      <c r="DS431" s="56"/>
      <c r="DT431" s="56"/>
      <c r="DU431" s="56"/>
      <c r="DV431" s="56"/>
      <c r="DW431" s="56"/>
      <c r="DX431" s="56"/>
      <c r="DY431" s="56"/>
      <c r="DZ431" s="56"/>
      <c r="EA431" s="56"/>
      <c r="EB431" s="56"/>
      <c r="EC431" s="56"/>
      <c r="ED431" s="56"/>
      <c r="EE431" s="56"/>
      <c r="EF431" s="56"/>
    </row>
    <row r="432" spans="44:136" s="80" customFormat="1">
      <c r="AR432" s="118"/>
      <c r="BD432" s="56"/>
      <c r="BE432" s="56"/>
      <c r="BF432" s="56"/>
      <c r="BG432" s="56"/>
      <c r="BH432" s="56"/>
      <c r="BI432" s="56"/>
      <c r="BJ432" s="56"/>
      <c r="BK432" s="56"/>
      <c r="BL432" s="56"/>
      <c r="BM432" s="56"/>
      <c r="BN432" s="56"/>
      <c r="BO432" s="56"/>
      <c r="BP432" s="56"/>
      <c r="BQ432" s="56"/>
      <c r="BR432" s="56"/>
      <c r="BS432" s="56"/>
      <c r="BT432" s="60"/>
      <c r="BU432" s="56"/>
      <c r="BV432" s="56"/>
      <c r="BW432" s="56"/>
      <c r="BX432" s="56"/>
      <c r="BY432" s="56"/>
      <c r="BZ432" s="56"/>
      <c r="CA432" s="56"/>
      <c r="CB432" s="56"/>
      <c r="CC432" s="56"/>
      <c r="CD432" s="56"/>
      <c r="CE432" s="56"/>
      <c r="CF432" s="56"/>
      <c r="CG432" s="56"/>
      <c r="CH432" s="56"/>
      <c r="CI432" s="56"/>
      <c r="CJ432" s="60"/>
      <c r="CK432" s="56"/>
      <c r="CL432" s="56"/>
      <c r="CM432" s="56"/>
      <c r="CN432" s="56"/>
      <c r="CO432" s="56"/>
      <c r="CP432" s="56"/>
      <c r="CQ432" s="56"/>
      <c r="CR432" s="56"/>
      <c r="CS432" s="56"/>
      <c r="CT432" s="56"/>
      <c r="CU432" s="56"/>
      <c r="CV432" s="56"/>
      <c r="CW432" s="56"/>
      <c r="CX432" s="60"/>
      <c r="CY432" s="56"/>
      <c r="CZ432" s="56"/>
      <c r="DA432" s="56"/>
      <c r="DB432" s="56"/>
      <c r="DC432" s="56"/>
      <c r="DD432" s="56"/>
      <c r="DE432" s="56"/>
      <c r="DF432" s="56"/>
      <c r="DG432" s="56"/>
      <c r="DH432" s="56"/>
      <c r="DI432" s="56"/>
      <c r="DJ432" s="56"/>
      <c r="DK432" s="60"/>
      <c r="DL432" s="60"/>
      <c r="DM432" s="56"/>
      <c r="DN432" s="56"/>
      <c r="DO432" s="56"/>
      <c r="DP432" s="56"/>
      <c r="DQ432" s="56"/>
      <c r="DR432" s="56"/>
      <c r="DS432" s="56"/>
      <c r="DT432" s="56"/>
      <c r="DU432" s="56"/>
      <c r="DV432" s="56"/>
      <c r="DW432" s="56"/>
      <c r="DX432" s="56"/>
      <c r="DY432" s="56"/>
      <c r="DZ432" s="56"/>
      <c r="EA432" s="56"/>
      <c r="EB432" s="56"/>
      <c r="EC432" s="56"/>
      <c r="ED432" s="56"/>
      <c r="EE432" s="56"/>
      <c r="EF432" s="56"/>
    </row>
    <row r="433" spans="44:136" s="80" customFormat="1">
      <c r="AR433" s="118"/>
      <c r="BD433" s="56"/>
      <c r="BE433" s="56"/>
      <c r="BF433" s="56"/>
      <c r="BG433" s="56"/>
      <c r="BH433" s="56"/>
      <c r="BI433" s="56"/>
      <c r="BJ433" s="56"/>
      <c r="BK433" s="56"/>
      <c r="BL433" s="56"/>
      <c r="BM433" s="56"/>
      <c r="BN433" s="56"/>
      <c r="BO433" s="56"/>
      <c r="BP433" s="56"/>
      <c r="BQ433" s="56"/>
      <c r="BR433" s="56"/>
      <c r="BS433" s="56"/>
      <c r="BT433" s="60"/>
      <c r="BU433" s="56"/>
      <c r="BV433" s="56"/>
      <c r="BW433" s="56"/>
      <c r="BX433" s="56"/>
      <c r="BY433" s="56"/>
      <c r="BZ433" s="56"/>
      <c r="CA433" s="56"/>
      <c r="CB433" s="56"/>
      <c r="CC433" s="56"/>
      <c r="CD433" s="56"/>
      <c r="CE433" s="56"/>
      <c r="CF433" s="56"/>
      <c r="CG433" s="56"/>
      <c r="CH433" s="56"/>
      <c r="CI433" s="56"/>
      <c r="CJ433" s="60"/>
      <c r="CK433" s="56"/>
      <c r="CL433" s="56"/>
      <c r="CM433" s="56"/>
      <c r="CN433" s="56"/>
      <c r="CO433" s="56"/>
      <c r="CP433" s="56"/>
      <c r="CQ433" s="56"/>
      <c r="CR433" s="56"/>
      <c r="CS433" s="56"/>
      <c r="CT433" s="56"/>
      <c r="CU433" s="56"/>
      <c r="CV433" s="56"/>
      <c r="CW433" s="56"/>
      <c r="CX433" s="60"/>
      <c r="CY433" s="56"/>
      <c r="CZ433" s="56"/>
      <c r="DA433" s="56"/>
      <c r="DB433" s="56"/>
      <c r="DC433" s="56"/>
      <c r="DD433" s="56"/>
      <c r="DE433" s="56"/>
      <c r="DF433" s="56"/>
      <c r="DG433" s="56"/>
      <c r="DH433" s="56"/>
      <c r="DI433" s="56"/>
      <c r="DJ433" s="56"/>
      <c r="DK433" s="60"/>
      <c r="DL433" s="60"/>
      <c r="DM433" s="56"/>
      <c r="DN433" s="56"/>
      <c r="DO433" s="56"/>
      <c r="DP433" s="56"/>
      <c r="DQ433" s="56"/>
      <c r="DR433" s="56"/>
      <c r="DS433" s="56"/>
      <c r="DT433" s="56"/>
      <c r="DU433" s="56"/>
      <c r="DV433" s="56"/>
      <c r="DW433" s="56"/>
      <c r="DX433" s="56"/>
      <c r="DY433" s="56"/>
      <c r="DZ433" s="56"/>
      <c r="EA433" s="56"/>
      <c r="EB433" s="56"/>
      <c r="EC433" s="56"/>
      <c r="ED433" s="56"/>
      <c r="EE433" s="56"/>
      <c r="EF433" s="56"/>
    </row>
    <row r="434" spans="44:136" s="80" customFormat="1">
      <c r="AR434" s="118"/>
      <c r="BD434" s="56"/>
      <c r="BE434" s="56"/>
      <c r="BF434" s="56"/>
      <c r="BG434" s="56"/>
      <c r="BH434" s="56"/>
      <c r="BI434" s="56"/>
      <c r="BJ434" s="56"/>
      <c r="BK434" s="56"/>
      <c r="BL434" s="56"/>
      <c r="BM434" s="56"/>
      <c r="BN434" s="56"/>
      <c r="BO434" s="56"/>
      <c r="BP434" s="56"/>
      <c r="BQ434" s="56"/>
      <c r="BR434" s="56"/>
      <c r="BS434" s="56"/>
      <c r="BT434" s="60"/>
      <c r="BU434" s="56"/>
      <c r="BV434" s="56"/>
      <c r="BW434" s="56"/>
      <c r="BX434" s="56"/>
      <c r="BY434" s="56"/>
      <c r="BZ434" s="56"/>
      <c r="CA434" s="56"/>
      <c r="CB434" s="56"/>
      <c r="CC434" s="56"/>
      <c r="CD434" s="56"/>
      <c r="CE434" s="56"/>
      <c r="CF434" s="56"/>
      <c r="CG434" s="56"/>
      <c r="CH434" s="56"/>
      <c r="CI434" s="56"/>
      <c r="CJ434" s="60"/>
      <c r="CK434" s="56"/>
      <c r="CL434" s="56"/>
      <c r="CM434" s="56"/>
      <c r="CN434" s="56"/>
      <c r="CO434" s="56"/>
      <c r="CP434" s="56"/>
      <c r="CQ434" s="56"/>
      <c r="CR434" s="56"/>
      <c r="CS434" s="56"/>
      <c r="CT434" s="56"/>
      <c r="CU434" s="56"/>
      <c r="CV434" s="56"/>
      <c r="CW434" s="56"/>
      <c r="CX434" s="60"/>
      <c r="CY434" s="56"/>
      <c r="CZ434" s="56"/>
      <c r="DA434" s="56"/>
      <c r="DB434" s="56"/>
      <c r="DC434" s="56"/>
      <c r="DD434" s="56"/>
      <c r="DE434" s="56"/>
      <c r="DF434" s="56"/>
      <c r="DG434" s="56"/>
      <c r="DH434" s="56"/>
      <c r="DI434" s="56"/>
      <c r="DJ434" s="56"/>
      <c r="DK434" s="60"/>
      <c r="DL434" s="60"/>
      <c r="DM434" s="56"/>
      <c r="DN434" s="56"/>
      <c r="DO434" s="56"/>
      <c r="DP434" s="56"/>
      <c r="DQ434" s="56"/>
      <c r="DR434" s="56"/>
      <c r="DS434" s="56"/>
      <c r="DT434" s="56"/>
      <c r="DU434" s="56"/>
      <c r="DV434" s="56"/>
      <c r="DW434" s="56"/>
      <c r="DX434" s="56"/>
      <c r="DY434" s="56"/>
      <c r="DZ434" s="56"/>
      <c r="EA434" s="56"/>
      <c r="EB434" s="56"/>
      <c r="EC434" s="56"/>
      <c r="ED434" s="56"/>
      <c r="EE434" s="56"/>
      <c r="EF434" s="56"/>
    </row>
    <row r="435" spans="44:136" s="80" customFormat="1">
      <c r="AR435" s="118"/>
      <c r="BD435" s="56"/>
      <c r="BE435" s="56"/>
      <c r="BF435" s="56"/>
      <c r="BG435" s="56"/>
      <c r="BH435" s="56"/>
      <c r="BI435" s="56"/>
      <c r="BJ435" s="56"/>
      <c r="BK435" s="56"/>
      <c r="BL435" s="56"/>
      <c r="BM435" s="56"/>
      <c r="BN435" s="56"/>
      <c r="BO435" s="56"/>
      <c r="BP435" s="56"/>
      <c r="BQ435" s="56"/>
      <c r="BR435" s="56"/>
      <c r="BS435" s="56"/>
      <c r="BT435" s="60"/>
      <c r="BU435" s="56"/>
      <c r="BV435" s="56"/>
      <c r="BW435" s="56"/>
      <c r="BX435" s="56"/>
      <c r="BY435" s="56"/>
      <c r="BZ435" s="56"/>
      <c r="CA435" s="56"/>
      <c r="CB435" s="56"/>
      <c r="CC435" s="56"/>
      <c r="CD435" s="56"/>
      <c r="CE435" s="56"/>
      <c r="CF435" s="56"/>
      <c r="CG435" s="56"/>
      <c r="CH435" s="56"/>
      <c r="CI435" s="56"/>
      <c r="CJ435" s="60"/>
      <c r="CK435" s="56"/>
      <c r="CL435" s="56"/>
      <c r="CM435" s="56"/>
      <c r="CN435" s="56"/>
      <c r="CO435" s="56"/>
      <c r="CP435" s="56"/>
      <c r="CQ435" s="56"/>
      <c r="CR435" s="56"/>
      <c r="CS435" s="56"/>
      <c r="CT435" s="56"/>
      <c r="CU435" s="56"/>
      <c r="CV435" s="56"/>
      <c r="CW435" s="56"/>
      <c r="CX435" s="60"/>
      <c r="CY435" s="56"/>
      <c r="CZ435" s="56"/>
      <c r="DA435" s="56"/>
      <c r="DB435" s="56"/>
      <c r="DC435" s="56"/>
      <c r="DD435" s="56"/>
      <c r="DE435" s="56"/>
      <c r="DF435" s="56"/>
      <c r="DG435" s="56"/>
      <c r="DH435" s="56"/>
      <c r="DI435" s="56"/>
      <c r="DJ435" s="56"/>
      <c r="DK435" s="60"/>
      <c r="DL435" s="60"/>
      <c r="DM435" s="56"/>
      <c r="DN435" s="56"/>
      <c r="DO435" s="56"/>
      <c r="DP435" s="56"/>
      <c r="DQ435" s="56"/>
      <c r="DR435" s="56"/>
      <c r="DS435" s="56"/>
      <c r="DT435" s="56"/>
      <c r="DU435" s="56"/>
      <c r="DV435" s="56"/>
      <c r="DW435" s="56"/>
      <c r="DX435" s="56"/>
      <c r="DY435" s="56"/>
      <c r="DZ435" s="56"/>
      <c r="EA435" s="56"/>
      <c r="EB435" s="56"/>
      <c r="EC435" s="56"/>
      <c r="ED435" s="56"/>
      <c r="EE435" s="56"/>
      <c r="EF435" s="56"/>
    </row>
    <row r="436" spans="44:136" s="80" customFormat="1">
      <c r="AR436" s="118"/>
      <c r="BD436" s="56"/>
      <c r="BE436" s="56"/>
      <c r="BF436" s="56"/>
      <c r="BG436" s="56"/>
      <c r="BH436" s="56"/>
      <c r="BI436" s="56"/>
      <c r="BJ436" s="56"/>
      <c r="BK436" s="56"/>
      <c r="BL436" s="56"/>
      <c r="BM436" s="56"/>
      <c r="BN436" s="56"/>
      <c r="BO436" s="56"/>
      <c r="BP436" s="56"/>
      <c r="BQ436" s="56"/>
      <c r="BR436" s="56"/>
      <c r="BS436" s="56"/>
      <c r="BT436" s="60"/>
      <c r="BU436" s="56"/>
      <c r="BV436" s="56"/>
      <c r="BW436" s="56"/>
      <c r="BX436" s="56"/>
      <c r="BY436" s="56"/>
      <c r="BZ436" s="56"/>
      <c r="CA436" s="56"/>
      <c r="CB436" s="56"/>
      <c r="CC436" s="56"/>
      <c r="CD436" s="56"/>
      <c r="CE436" s="56"/>
      <c r="CF436" s="56"/>
      <c r="CG436" s="56"/>
      <c r="CH436" s="56"/>
      <c r="CI436" s="56"/>
      <c r="CJ436" s="60"/>
      <c r="CK436" s="56"/>
      <c r="CL436" s="56"/>
      <c r="CM436" s="56"/>
      <c r="CN436" s="56"/>
      <c r="CO436" s="56"/>
      <c r="CP436" s="56"/>
      <c r="CQ436" s="56"/>
      <c r="CR436" s="56"/>
      <c r="CS436" s="56"/>
      <c r="CT436" s="56"/>
      <c r="CU436" s="56"/>
      <c r="CV436" s="56"/>
      <c r="CW436" s="56"/>
      <c r="CX436" s="60"/>
      <c r="CY436" s="56"/>
      <c r="CZ436" s="56"/>
      <c r="DA436" s="56"/>
      <c r="DB436" s="56"/>
      <c r="DC436" s="56"/>
      <c r="DD436" s="56"/>
      <c r="DE436" s="56"/>
      <c r="DF436" s="56"/>
      <c r="DG436" s="56"/>
      <c r="DH436" s="56"/>
      <c r="DI436" s="56"/>
      <c r="DJ436" s="56"/>
      <c r="DK436" s="60"/>
      <c r="DL436" s="60"/>
      <c r="DM436" s="56"/>
      <c r="DN436" s="56"/>
      <c r="DO436" s="56"/>
      <c r="DP436" s="56"/>
      <c r="DQ436" s="56"/>
      <c r="DR436" s="56"/>
      <c r="DS436" s="56"/>
      <c r="DT436" s="56"/>
      <c r="DU436" s="56"/>
      <c r="DV436" s="56"/>
      <c r="DW436" s="56"/>
      <c r="DX436" s="56"/>
      <c r="DY436" s="56"/>
      <c r="DZ436" s="56"/>
      <c r="EA436" s="56"/>
      <c r="EB436" s="56"/>
      <c r="EC436" s="56"/>
      <c r="ED436" s="56"/>
      <c r="EE436" s="56"/>
      <c r="EF436" s="56"/>
    </row>
    <row r="437" spans="44:136" s="80" customFormat="1">
      <c r="AR437" s="118"/>
      <c r="BD437" s="56"/>
      <c r="BE437" s="56"/>
      <c r="BF437" s="56"/>
      <c r="BG437" s="56"/>
      <c r="BH437" s="56"/>
      <c r="BI437" s="56"/>
      <c r="BJ437" s="56"/>
      <c r="BK437" s="56"/>
      <c r="BL437" s="56"/>
      <c r="BM437" s="56"/>
      <c r="BN437" s="56"/>
      <c r="BO437" s="56"/>
      <c r="BP437" s="56"/>
      <c r="BQ437" s="56"/>
      <c r="BR437" s="56"/>
      <c r="BS437" s="56"/>
      <c r="BT437" s="60"/>
      <c r="BU437" s="56"/>
      <c r="BV437" s="56"/>
      <c r="BW437" s="56"/>
      <c r="BX437" s="56"/>
      <c r="BY437" s="56"/>
      <c r="BZ437" s="56"/>
      <c r="CA437" s="56"/>
      <c r="CB437" s="56"/>
      <c r="CC437" s="56"/>
      <c r="CD437" s="56"/>
      <c r="CE437" s="56"/>
      <c r="CF437" s="56"/>
      <c r="CG437" s="56"/>
      <c r="CH437" s="56"/>
      <c r="CI437" s="56"/>
      <c r="CJ437" s="60"/>
      <c r="CK437" s="56"/>
      <c r="CL437" s="56"/>
      <c r="CM437" s="56"/>
      <c r="CN437" s="56"/>
      <c r="CO437" s="56"/>
      <c r="CP437" s="56"/>
      <c r="CQ437" s="56"/>
      <c r="CR437" s="56"/>
      <c r="CS437" s="56"/>
      <c r="CT437" s="56"/>
      <c r="CU437" s="56"/>
      <c r="CV437" s="56"/>
      <c r="CW437" s="56"/>
      <c r="CX437" s="60"/>
      <c r="CY437" s="56"/>
      <c r="CZ437" s="56"/>
      <c r="DA437" s="56"/>
      <c r="DB437" s="56"/>
      <c r="DC437" s="56"/>
      <c r="DD437" s="56"/>
      <c r="DE437" s="56"/>
      <c r="DF437" s="56"/>
      <c r="DG437" s="56"/>
      <c r="DH437" s="56"/>
      <c r="DI437" s="56"/>
      <c r="DJ437" s="56"/>
      <c r="DK437" s="60"/>
      <c r="DL437" s="60"/>
      <c r="DM437" s="56"/>
      <c r="DN437" s="56"/>
      <c r="DO437" s="56"/>
      <c r="DP437" s="56"/>
      <c r="DQ437" s="56"/>
      <c r="DR437" s="56"/>
      <c r="DS437" s="56"/>
      <c r="DT437" s="56"/>
      <c r="DU437" s="56"/>
      <c r="DV437" s="56"/>
      <c r="DW437" s="56"/>
      <c r="DX437" s="56"/>
      <c r="DY437" s="56"/>
      <c r="DZ437" s="56"/>
      <c r="EA437" s="56"/>
      <c r="EB437" s="56"/>
      <c r="EC437" s="56"/>
      <c r="ED437" s="56"/>
      <c r="EE437" s="56"/>
      <c r="EF437" s="56"/>
    </row>
    <row r="438" spans="44:136" s="80" customFormat="1">
      <c r="AR438" s="118"/>
      <c r="BD438" s="56"/>
      <c r="BE438" s="56"/>
      <c r="BF438" s="56"/>
      <c r="BG438" s="56"/>
      <c r="BH438" s="56"/>
      <c r="BI438" s="56"/>
      <c r="BJ438" s="56"/>
      <c r="BK438" s="56"/>
      <c r="BL438" s="56"/>
      <c r="BM438" s="56"/>
      <c r="BN438" s="56"/>
      <c r="BO438" s="56"/>
      <c r="BP438" s="56"/>
      <c r="BQ438" s="56"/>
      <c r="BR438" s="56"/>
      <c r="BS438" s="56"/>
      <c r="BT438" s="60"/>
      <c r="BU438" s="56"/>
      <c r="BV438" s="56"/>
      <c r="BW438" s="56"/>
      <c r="BX438" s="56"/>
      <c r="BY438" s="56"/>
      <c r="BZ438" s="56"/>
      <c r="CA438" s="56"/>
      <c r="CB438" s="56"/>
      <c r="CC438" s="56"/>
      <c r="CD438" s="56"/>
      <c r="CE438" s="56"/>
      <c r="CF438" s="56"/>
      <c r="CG438" s="56"/>
      <c r="CH438" s="56"/>
      <c r="CI438" s="56"/>
      <c r="CJ438" s="60"/>
      <c r="CK438" s="56"/>
      <c r="CL438" s="56"/>
      <c r="CM438" s="56"/>
      <c r="CN438" s="56"/>
      <c r="CO438" s="56"/>
      <c r="CP438" s="56"/>
      <c r="CQ438" s="56"/>
      <c r="CR438" s="56"/>
      <c r="CS438" s="56"/>
      <c r="CT438" s="56"/>
      <c r="CU438" s="56"/>
      <c r="CV438" s="56"/>
      <c r="CW438" s="56"/>
      <c r="CX438" s="60"/>
      <c r="CY438" s="56"/>
      <c r="CZ438" s="56"/>
      <c r="DA438" s="56"/>
      <c r="DB438" s="56"/>
      <c r="DC438" s="56"/>
      <c r="DD438" s="56"/>
      <c r="DE438" s="56"/>
      <c r="DF438" s="56"/>
      <c r="DG438" s="56"/>
      <c r="DH438" s="56"/>
      <c r="DI438" s="56"/>
      <c r="DJ438" s="56"/>
      <c r="DK438" s="60"/>
      <c r="DL438" s="60"/>
      <c r="DM438" s="56"/>
      <c r="DN438" s="56"/>
      <c r="DO438" s="56"/>
      <c r="DP438" s="56"/>
      <c r="DQ438" s="56"/>
      <c r="DR438" s="56"/>
      <c r="DS438" s="56"/>
      <c r="DT438" s="56"/>
      <c r="DU438" s="56"/>
      <c r="DV438" s="56"/>
      <c r="DW438" s="56"/>
      <c r="DX438" s="56"/>
      <c r="DY438" s="56"/>
      <c r="DZ438" s="56"/>
      <c r="EA438" s="56"/>
      <c r="EB438" s="56"/>
      <c r="EC438" s="56"/>
      <c r="ED438" s="56"/>
      <c r="EE438" s="56"/>
      <c r="EF438" s="56"/>
    </row>
  </sheetData>
  <mergeCells count="125">
    <mergeCell ref="BP1:CC1"/>
    <mergeCell ref="CD1:CP1"/>
    <mergeCell ref="CQ1:DD1"/>
    <mergeCell ref="DE1:DR1"/>
    <mergeCell ref="DS1:EH1"/>
    <mergeCell ref="EN1:EQ1"/>
    <mergeCell ref="A1:A3"/>
    <mergeCell ref="B1:N1"/>
    <mergeCell ref="O1:AA1"/>
    <mergeCell ref="AB1:AN1"/>
    <mergeCell ref="AO1:BA1"/>
    <mergeCell ref="BB1:BO1"/>
    <mergeCell ref="B2:B3"/>
    <mergeCell ref="C2:C3"/>
    <mergeCell ref="F2:F3"/>
    <mergeCell ref="G2:G3"/>
    <mergeCell ref="P2:P3"/>
    <mergeCell ref="Q2:Q3"/>
    <mergeCell ref="S2:S3"/>
    <mergeCell ref="T2:T3"/>
    <mergeCell ref="V2:V3"/>
    <mergeCell ref="W2:W3"/>
    <mergeCell ref="I2:I3"/>
    <mergeCell ref="J2:J3"/>
    <mergeCell ref="L2:L3"/>
    <mergeCell ref="M2:M3"/>
    <mergeCell ref="N2:N3"/>
    <mergeCell ref="O2:O3"/>
    <mergeCell ref="AF2:AF3"/>
    <mergeCell ref="AG2:AG3"/>
    <mergeCell ref="AI2:AI3"/>
    <mergeCell ref="AJ2:AJ3"/>
    <mergeCell ref="AL2:AL3"/>
    <mergeCell ref="AM2:AM3"/>
    <mergeCell ref="Y2:Y3"/>
    <mergeCell ref="Z2:Z3"/>
    <mergeCell ref="AA2:AA3"/>
    <mergeCell ref="AB2:AB3"/>
    <mergeCell ref="AC2:AC3"/>
    <mergeCell ref="AD2:AD3"/>
    <mergeCell ref="AV2:AV3"/>
    <mergeCell ref="AW2:AW3"/>
    <mergeCell ref="AY2:AY3"/>
    <mergeCell ref="AZ2:AZ3"/>
    <mergeCell ref="BA2:BA3"/>
    <mergeCell ref="BB2:BB3"/>
    <mergeCell ref="AN2:AN3"/>
    <mergeCell ref="AO2:AO3"/>
    <mergeCell ref="AP2:AP3"/>
    <mergeCell ref="AQ2:AQ3"/>
    <mergeCell ref="AS2:AS3"/>
    <mergeCell ref="AT2:AT3"/>
    <mergeCell ref="BK2:BK3"/>
    <mergeCell ref="BM2:BM3"/>
    <mergeCell ref="BN2:BN3"/>
    <mergeCell ref="BO2:BO3"/>
    <mergeCell ref="BP2:BP3"/>
    <mergeCell ref="BQ2:BQ3"/>
    <mergeCell ref="BC2:BC3"/>
    <mergeCell ref="BD2:BD3"/>
    <mergeCell ref="BE2:BE3"/>
    <mergeCell ref="BG2:BG3"/>
    <mergeCell ref="BH2:BH3"/>
    <mergeCell ref="BJ2:BJ3"/>
    <mergeCell ref="CA2:CA3"/>
    <mergeCell ref="CB2:CB3"/>
    <mergeCell ref="CC2:CC3"/>
    <mergeCell ref="CD2:CD3"/>
    <mergeCell ref="CE2:CE3"/>
    <mergeCell ref="CF2:CF3"/>
    <mergeCell ref="BR2:BR3"/>
    <mergeCell ref="BS2:BS3"/>
    <mergeCell ref="BU2:BU3"/>
    <mergeCell ref="BV2:BV3"/>
    <mergeCell ref="BX2:BX3"/>
    <mergeCell ref="BY2:BY3"/>
    <mergeCell ref="CM2:CM3"/>
    <mergeCell ref="CN2:CN3"/>
    <mergeCell ref="CO2:CO3"/>
    <mergeCell ref="CP2:CP3"/>
    <mergeCell ref="CQ2:CQ3"/>
    <mergeCell ref="CR2:CR3"/>
    <mergeCell ref="CG2:CG3"/>
    <mergeCell ref="CH2:CH3"/>
    <mergeCell ref="CI2:CI3"/>
    <mergeCell ref="CJ2:CJ3"/>
    <mergeCell ref="CK2:CK3"/>
    <mergeCell ref="CL2:CL3"/>
    <mergeCell ref="CY2:CY3"/>
    <mergeCell ref="CZ2:CZ3"/>
    <mergeCell ref="DB2:DB3"/>
    <mergeCell ref="DC2:DC3"/>
    <mergeCell ref="DD2:DD3"/>
    <mergeCell ref="DG2:DG3"/>
    <mergeCell ref="CS2:CS3"/>
    <mergeCell ref="CT2:CT3"/>
    <mergeCell ref="CU2:CU3"/>
    <mergeCell ref="CV2:CV3"/>
    <mergeCell ref="CW2:CW3"/>
    <mergeCell ref="CX2:CX3"/>
    <mergeCell ref="DN2:DN3"/>
    <mergeCell ref="DP2:DP3"/>
    <mergeCell ref="DQ2:DQ3"/>
    <mergeCell ref="DR2:DR3"/>
    <mergeCell ref="DS2:DS3"/>
    <mergeCell ref="DU2:DU3"/>
    <mergeCell ref="DH2:DH3"/>
    <mergeCell ref="DI2:DI3"/>
    <mergeCell ref="DJ2:DJ3"/>
    <mergeCell ref="DK2:DK3"/>
    <mergeCell ref="DL2:DL3"/>
    <mergeCell ref="DM2:DM3"/>
    <mergeCell ref="EH2:EH3"/>
    <mergeCell ref="EB2:EB3"/>
    <mergeCell ref="EC2:EC3"/>
    <mergeCell ref="ED2:ED3"/>
    <mergeCell ref="EE2:EE3"/>
    <mergeCell ref="EF2:EF3"/>
    <mergeCell ref="EG2:EG3"/>
    <mergeCell ref="DV2:DV3"/>
    <mergeCell ref="DW2:DW3"/>
    <mergeCell ref="DX2:DX3"/>
    <mergeCell ref="DY2:DY3"/>
    <mergeCell ref="DZ2:DZ3"/>
    <mergeCell ref="EA2:EA3"/>
  </mergeCells>
  <pageMargins left="0.23622047244094491" right="0.23622047244094491" top="0.74803149606299213" bottom="0.74803149606299213" header="0.31496062992125984" footer="0.31496062992125984"/>
  <pageSetup paperSize="9" scale="10" orientation="landscape" r:id="rId1"/>
  <ignoredErrors>
    <ignoredError sqref="DS1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R29"/>
  <sheetViews>
    <sheetView zoomScale="110" zoomScaleNormal="110" workbookViewId="0">
      <pane xSplit="1" ySplit="3" topLeftCell="B10" activePane="bottomRight" state="frozen"/>
      <selection activeCell="EI35" sqref="EI35"/>
      <selection pane="topRight" activeCell="EI35" sqref="EI35"/>
      <selection pane="bottomLeft" activeCell="EI35" sqref="EI35"/>
      <selection pane="bottomRight" sqref="A1:EH23"/>
    </sheetView>
  </sheetViews>
  <sheetFormatPr defaultColWidth="8.7265625" defaultRowHeight="14.5"/>
  <cols>
    <col min="1" max="1" width="37.36328125" style="130" customWidth="1"/>
    <col min="2" max="108" width="8.453125" style="130" hidden="1" customWidth="1"/>
    <col min="109" max="109" width="8.26953125" style="130" hidden="1" customWidth="1"/>
    <col min="110" max="110" width="6.6328125" style="130" customWidth="1"/>
    <col min="111" max="111" width="8.26953125" style="130" hidden="1" customWidth="1"/>
    <col min="112" max="112" width="7.1796875" style="130" hidden="1" customWidth="1"/>
    <col min="113" max="113" width="9.1796875" style="130" hidden="1" customWidth="1"/>
    <col min="114" max="114" width="6.453125" style="130" hidden="1" customWidth="1"/>
    <col min="115" max="115" width="7.1796875" style="130" hidden="1" customWidth="1"/>
    <col min="116" max="116" width="7.453125" style="130" hidden="1" customWidth="1"/>
    <col min="117" max="117" width="7.26953125" style="130" customWidth="1"/>
    <col min="118" max="121" width="8.453125" style="130" hidden="1" customWidth="1"/>
    <col min="122" max="122" width="1.1796875" style="130" hidden="1" customWidth="1"/>
    <col min="123" max="123" width="7.26953125" style="130" hidden="1" customWidth="1"/>
    <col min="124" max="124" width="6.90625" style="130" customWidth="1"/>
    <col min="125" max="125" width="7.453125" style="130" hidden="1" customWidth="1"/>
    <col min="126" max="126" width="6.453125" style="130" hidden="1" customWidth="1"/>
    <col min="127" max="127" width="6.81640625" style="130" hidden="1" customWidth="1"/>
    <col min="128" max="128" width="7.81640625" style="130" hidden="1" customWidth="1"/>
    <col min="129" max="129" width="6.81640625" style="130" hidden="1" customWidth="1"/>
    <col min="130" max="130" width="6.453125" style="130" hidden="1" customWidth="1"/>
    <col min="131" max="131" width="7.26953125" style="130" customWidth="1"/>
    <col min="132" max="134" width="8.453125" style="130" hidden="1" customWidth="1"/>
    <col min="135" max="135" width="5.453125" style="130" hidden="1" customWidth="1"/>
    <col min="136" max="136" width="2.7265625" style="130" hidden="1" customWidth="1"/>
    <col min="137" max="137" width="6.54296875" style="130" customWidth="1"/>
    <col min="138" max="138" width="6.81640625" style="130" customWidth="1"/>
    <col min="139" max="139" width="7.54296875" style="130" hidden="1" customWidth="1"/>
    <col min="140" max="140" width="8.7265625" style="130" hidden="1" customWidth="1"/>
    <col min="141" max="141" width="11.26953125" style="130" hidden="1" customWidth="1"/>
    <col min="142" max="142" width="8.7265625" style="130" hidden="1" customWidth="1"/>
    <col min="143" max="143" width="0.453125" style="130" hidden="1" customWidth="1"/>
    <col min="144" max="146" width="8.7265625" style="130" hidden="1" customWidth="1"/>
    <col min="147" max="147" width="8.7265625" style="130" customWidth="1"/>
    <col min="148" max="148" width="13.6328125" style="130" customWidth="1"/>
    <col min="149" max="150" width="8.7265625" style="130"/>
    <col min="151" max="151" width="24.1796875" style="130" customWidth="1"/>
    <col min="152" max="16384" width="8.7265625" style="130"/>
  </cols>
  <sheetData>
    <row r="1" spans="1:148">
      <c r="A1" s="1023" t="s">
        <v>86</v>
      </c>
      <c r="B1" s="1043">
        <v>2012</v>
      </c>
      <c r="C1" s="1044"/>
      <c r="D1" s="1044"/>
      <c r="E1" s="1044"/>
      <c r="F1" s="1044"/>
      <c r="G1" s="1044"/>
      <c r="H1" s="1044"/>
      <c r="I1" s="1044"/>
      <c r="J1" s="1044"/>
      <c r="K1" s="1044"/>
      <c r="L1" s="1044"/>
      <c r="M1" s="1044"/>
      <c r="N1" s="1045"/>
      <c r="O1" s="1039">
        <v>2013</v>
      </c>
      <c r="P1" s="1040"/>
      <c r="Q1" s="1040"/>
      <c r="R1" s="1040"/>
      <c r="S1" s="1040"/>
      <c r="T1" s="1040"/>
      <c r="U1" s="1040"/>
      <c r="V1" s="1040"/>
      <c r="W1" s="1040"/>
      <c r="X1" s="1040"/>
      <c r="Y1" s="1040"/>
      <c r="Z1" s="1040"/>
      <c r="AA1" s="1041"/>
      <c r="AB1" s="1039">
        <v>2014</v>
      </c>
      <c r="AC1" s="1040"/>
      <c r="AD1" s="1040"/>
      <c r="AE1" s="1040"/>
      <c r="AF1" s="1040"/>
      <c r="AG1" s="1040"/>
      <c r="AH1" s="1040"/>
      <c r="AI1" s="1040"/>
      <c r="AJ1" s="1040"/>
      <c r="AK1" s="1040"/>
      <c r="AL1" s="1040"/>
      <c r="AM1" s="1040"/>
      <c r="AN1" s="1041"/>
      <c r="AO1" s="1039">
        <v>2015</v>
      </c>
      <c r="AP1" s="1040"/>
      <c r="AQ1" s="1040"/>
      <c r="AR1" s="1040"/>
      <c r="AS1" s="1040"/>
      <c r="AT1" s="1040"/>
      <c r="AU1" s="1040"/>
      <c r="AV1" s="1040"/>
      <c r="AW1" s="1040"/>
      <c r="AX1" s="1040"/>
      <c r="AY1" s="1040"/>
      <c r="AZ1" s="1040"/>
      <c r="BA1" s="1041"/>
      <c r="BB1" s="1039">
        <v>2016</v>
      </c>
      <c r="BC1" s="1040"/>
      <c r="BD1" s="1040"/>
      <c r="BE1" s="1040"/>
      <c r="BF1" s="1040"/>
      <c r="BG1" s="1040"/>
      <c r="BH1" s="1040"/>
      <c r="BI1" s="1040"/>
      <c r="BJ1" s="1040"/>
      <c r="BK1" s="1040"/>
      <c r="BL1" s="1040"/>
      <c r="BM1" s="1040"/>
      <c r="BN1" s="1040"/>
      <c r="BO1" s="1041"/>
      <c r="BP1" s="1039">
        <v>2017</v>
      </c>
      <c r="BQ1" s="1040"/>
      <c r="BR1" s="1040"/>
      <c r="BS1" s="1040"/>
      <c r="BT1" s="1040"/>
      <c r="BU1" s="1040"/>
      <c r="BV1" s="1040"/>
      <c r="BW1" s="1040"/>
      <c r="BX1" s="1040"/>
      <c r="BY1" s="1040"/>
      <c r="BZ1" s="1040"/>
      <c r="CA1" s="1040"/>
      <c r="CB1" s="1040"/>
      <c r="CC1" s="1041"/>
      <c r="CD1" s="1039">
        <v>2018</v>
      </c>
      <c r="CE1" s="1040"/>
      <c r="CF1" s="1040"/>
      <c r="CG1" s="1040"/>
      <c r="CH1" s="1040"/>
      <c r="CI1" s="1040"/>
      <c r="CJ1" s="1040"/>
      <c r="CK1" s="1040"/>
      <c r="CL1" s="1040"/>
      <c r="CM1" s="1040"/>
      <c r="CN1" s="1040"/>
      <c r="CO1" s="1040"/>
      <c r="CP1" s="1041"/>
      <c r="CQ1" s="1039">
        <v>2019</v>
      </c>
      <c r="CR1" s="1040"/>
      <c r="CS1" s="1040"/>
      <c r="CT1" s="1040"/>
      <c r="CU1" s="1040"/>
      <c r="CV1" s="1040"/>
      <c r="CW1" s="1040"/>
      <c r="CX1" s="1040"/>
      <c r="CY1" s="1040"/>
      <c r="CZ1" s="1040"/>
      <c r="DA1" s="1040"/>
      <c r="DB1" s="1040"/>
      <c r="DC1" s="1040"/>
      <c r="DD1" s="1040"/>
      <c r="DE1" s="1019">
        <v>2020</v>
      </c>
      <c r="DF1" s="1019"/>
      <c r="DG1" s="1019"/>
      <c r="DH1" s="1019"/>
      <c r="DI1" s="1019"/>
      <c r="DJ1" s="1019"/>
      <c r="DK1" s="1019"/>
      <c r="DL1" s="1019"/>
      <c r="DM1" s="1019"/>
      <c r="DN1" s="1019"/>
      <c r="DO1" s="1019"/>
      <c r="DP1" s="1019"/>
      <c r="DQ1" s="1019"/>
      <c r="DR1" s="1019"/>
      <c r="DS1" s="1042">
        <v>2021</v>
      </c>
      <c r="DT1" s="1042"/>
      <c r="DU1" s="1042"/>
      <c r="DV1" s="1042"/>
      <c r="DW1" s="1042"/>
      <c r="DX1" s="1042"/>
      <c r="DY1" s="1042"/>
      <c r="DZ1" s="1042"/>
      <c r="EA1" s="1042"/>
      <c r="EB1" s="1042"/>
      <c r="EC1" s="1042"/>
      <c r="ED1" s="1042"/>
      <c r="EE1" s="1042"/>
      <c r="EF1" s="1042"/>
      <c r="EG1" s="1042"/>
      <c r="EH1" s="1042"/>
    </row>
    <row r="2" spans="1:148">
      <c r="A2" s="1023"/>
      <c r="B2" s="1030" t="s">
        <v>9</v>
      </c>
      <c r="C2" s="1029" t="s">
        <v>1</v>
      </c>
      <c r="D2" s="1029" t="s">
        <v>2</v>
      </c>
      <c r="E2" s="131" t="s">
        <v>10</v>
      </c>
      <c r="F2" s="1029" t="s">
        <v>4</v>
      </c>
      <c r="G2" s="1029" t="s">
        <v>5</v>
      </c>
      <c r="H2" s="131" t="s">
        <v>10</v>
      </c>
      <c r="I2" s="1029" t="s">
        <v>11</v>
      </c>
      <c r="J2" s="1029" t="s">
        <v>12</v>
      </c>
      <c r="K2" s="131" t="s">
        <v>10</v>
      </c>
      <c r="L2" s="1029" t="s">
        <v>13</v>
      </c>
      <c r="M2" s="1029" t="s">
        <v>14</v>
      </c>
      <c r="N2" s="1029" t="s">
        <v>15</v>
      </c>
      <c r="O2" s="1037" t="s">
        <v>9</v>
      </c>
      <c r="P2" s="1029" t="s">
        <v>1</v>
      </c>
      <c r="Q2" s="1029" t="s">
        <v>2</v>
      </c>
      <c r="R2" s="131" t="s">
        <v>10</v>
      </c>
      <c r="S2" s="1029" t="s">
        <v>4</v>
      </c>
      <c r="T2" s="1029" t="s">
        <v>5</v>
      </c>
      <c r="U2" s="131" t="s">
        <v>10</v>
      </c>
      <c r="V2" s="1029" t="s">
        <v>11</v>
      </c>
      <c r="W2" s="1029" t="s">
        <v>12</v>
      </c>
      <c r="X2" s="131" t="s">
        <v>10</v>
      </c>
      <c r="Y2" s="1029" t="s">
        <v>13</v>
      </c>
      <c r="Z2" s="1029" t="s">
        <v>14</v>
      </c>
      <c r="AA2" s="1029" t="s">
        <v>15</v>
      </c>
      <c r="AB2" s="1037" t="s">
        <v>9</v>
      </c>
      <c r="AC2" s="1029" t="s">
        <v>1</v>
      </c>
      <c r="AD2" s="1029" t="s">
        <v>2</v>
      </c>
      <c r="AE2" s="131" t="s">
        <v>10</v>
      </c>
      <c r="AF2" s="1029" t="s">
        <v>4</v>
      </c>
      <c r="AG2" s="1029" t="s">
        <v>5</v>
      </c>
      <c r="AH2" s="131" t="s">
        <v>10</v>
      </c>
      <c r="AI2" s="1029" t="s">
        <v>11</v>
      </c>
      <c r="AJ2" s="1029" t="s">
        <v>12</v>
      </c>
      <c r="AK2" s="131" t="s">
        <v>10</v>
      </c>
      <c r="AL2" s="1029" t="s">
        <v>13</v>
      </c>
      <c r="AM2" s="1029" t="s">
        <v>14</v>
      </c>
      <c r="AN2" s="1029" t="s">
        <v>15</v>
      </c>
      <c r="AO2" s="1037" t="s">
        <v>9</v>
      </c>
      <c r="AP2" s="1029" t="s">
        <v>1</v>
      </c>
      <c r="AQ2" s="1029" t="s">
        <v>2</v>
      </c>
      <c r="AR2" s="131" t="s">
        <v>10</v>
      </c>
      <c r="AS2" s="1029" t="s">
        <v>4</v>
      </c>
      <c r="AT2" s="1029" t="s">
        <v>5</v>
      </c>
      <c r="AU2" s="131" t="s">
        <v>10</v>
      </c>
      <c r="AV2" s="1029" t="s">
        <v>11</v>
      </c>
      <c r="AW2" s="1029" t="s">
        <v>12</v>
      </c>
      <c r="AX2" s="131" t="s">
        <v>10</v>
      </c>
      <c r="AY2" s="1029" t="s">
        <v>13</v>
      </c>
      <c r="AZ2" s="1029" t="s">
        <v>14</v>
      </c>
      <c r="BA2" s="1029" t="s">
        <v>15</v>
      </c>
      <c r="BB2" s="1037" t="s">
        <v>9</v>
      </c>
      <c r="BC2" s="1029" t="s">
        <v>17</v>
      </c>
      <c r="BD2" s="1029" t="s">
        <v>1</v>
      </c>
      <c r="BE2" s="1029" t="s">
        <v>2</v>
      </c>
      <c r="BF2" s="131" t="s">
        <v>10</v>
      </c>
      <c r="BG2" s="1029" t="s">
        <v>4</v>
      </c>
      <c r="BH2" s="1029" t="s">
        <v>5</v>
      </c>
      <c r="BI2" s="131" t="s">
        <v>10</v>
      </c>
      <c r="BJ2" s="1029" t="s">
        <v>11</v>
      </c>
      <c r="BK2" s="1029" t="s">
        <v>12</v>
      </c>
      <c r="BL2" s="131" t="s">
        <v>10</v>
      </c>
      <c r="BM2" s="1029" t="s">
        <v>13</v>
      </c>
      <c r="BN2" s="1029" t="s">
        <v>14</v>
      </c>
      <c r="BO2" s="1029" t="s">
        <v>15</v>
      </c>
      <c r="BP2" s="1037" t="s">
        <v>9</v>
      </c>
      <c r="BQ2" s="1029" t="s">
        <v>17</v>
      </c>
      <c r="BR2" s="1029" t="s">
        <v>1</v>
      </c>
      <c r="BS2" s="1029" t="s">
        <v>2</v>
      </c>
      <c r="BT2" s="131" t="s">
        <v>10</v>
      </c>
      <c r="BU2" s="1029" t="s">
        <v>4</v>
      </c>
      <c r="BV2" s="1029" t="s">
        <v>5</v>
      </c>
      <c r="BW2" s="131" t="s">
        <v>10</v>
      </c>
      <c r="BX2" s="1029" t="s">
        <v>11</v>
      </c>
      <c r="BY2" s="1029" t="s">
        <v>12</v>
      </c>
      <c r="BZ2" s="131" t="s">
        <v>87</v>
      </c>
      <c r="CA2" s="1029" t="s">
        <v>13</v>
      </c>
      <c r="CB2" s="1029" t="s">
        <v>14</v>
      </c>
      <c r="CC2" s="1029" t="s">
        <v>15</v>
      </c>
      <c r="CD2" s="1037" t="s">
        <v>9</v>
      </c>
      <c r="CE2" s="1029" t="s">
        <v>1</v>
      </c>
      <c r="CF2" s="1029" t="s">
        <v>2</v>
      </c>
      <c r="CG2" s="1032" t="s">
        <v>18</v>
      </c>
      <c r="CH2" s="1032" t="s">
        <v>4</v>
      </c>
      <c r="CI2" s="1032" t="s">
        <v>5</v>
      </c>
      <c r="CJ2" s="1032" t="s">
        <v>19</v>
      </c>
      <c r="CK2" s="1032" t="s">
        <v>11</v>
      </c>
      <c r="CL2" s="1032" t="s">
        <v>12</v>
      </c>
      <c r="CM2" s="1032" t="s">
        <v>88</v>
      </c>
      <c r="CN2" s="1032" t="s">
        <v>13</v>
      </c>
      <c r="CO2" s="1032" t="s">
        <v>14</v>
      </c>
      <c r="CP2" s="1032" t="s">
        <v>15</v>
      </c>
      <c r="CQ2" s="1034" t="s">
        <v>9</v>
      </c>
      <c r="CR2" s="1029" t="s">
        <v>17</v>
      </c>
      <c r="CS2" s="1029" t="s">
        <v>1</v>
      </c>
      <c r="CT2" s="1029" t="s">
        <v>2</v>
      </c>
      <c r="CU2" s="1032" t="s">
        <v>18</v>
      </c>
      <c r="CV2" s="1032" t="s">
        <v>4</v>
      </c>
      <c r="CW2" s="1032" t="s">
        <v>21</v>
      </c>
      <c r="CX2" s="1032" t="s">
        <v>19</v>
      </c>
      <c r="CY2" s="1032" t="s">
        <v>11</v>
      </c>
      <c r="CZ2" s="1032" t="s">
        <v>12</v>
      </c>
      <c r="DA2" s="131" t="s">
        <v>10</v>
      </c>
      <c r="DB2" s="1029" t="s">
        <v>13</v>
      </c>
      <c r="DC2" s="1029" t="s">
        <v>14</v>
      </c>
      <c r="DD2" s="1029" t="s">
        <v>15</v>
      </c>
      <c r="DE2" s="1025" t="s">
        <v>89</v>
      </c>
      <c r="DF2" s="1010" t="s">
        <v>90</v>
      </c>
      <c r="DG2" s="1023" t="s">
        <v>1</v>
      </c>
      <c r="DH2" s="1023" t="s">
        <v>2</v>
      </c>
      <c r="DI2" s="1010" t="s">
        <v>18</v>
      </c>
      <c r="DJ2" s="1010" t="s">
        <v>4</v>
      </c>
      <c r="DK2" s="1010" t="s">
        <v>21</v>
      </c>
      <c r="DL2" s="1010" t="s">
        <v>19</v>
      </c>
      <c r="DM2" s="1010" t="s">
        <v>11</v>
      </c>
      <c r="DN2" s="1010" t="s">
        <v>12</v>
      </c>
      <c r="DO2" s="12" t="s">
        <v>10</v>
      </c>
      <c r="DP2" s="1010" t="s">
        <v>13</v>
      </c>
      <c r="DQ2" s="1010" t="s">
        <v>14</v>
      </c>
      <c r="DR2" s="1010" t="s">
        <v>22</v>
      </c>
      <c r="DS2" s="1010" t="s">
        <v>9</v>
      </c>
      <c r="DT2" s="1010" t="s">
        <v>90</v>
      </c>
      <c r="DU2" s="1010" t="s">
        <v>1</v>
      </c>
      <c r="DV2" s="1023" t="s">
        <v>2</v>
      </c>
      <c r="DW2" s="1010" t="s">
        <v>18</v>
      </c>
      <c r="DX2" s="1023" t="s">
        <v>4</v>
      </c>
      <c r="DY2" s="1023" t="s">
        <v>5</v>
      </c>
      <c r="DZ2" s="1010" t="s">
        <v>18</v>
      </c>
      <c r="EA2" s="1023" t="s">
        <v>11</v>
      </c>
      <c r="EB2" s="1023" t="s">
        <v>12</v>
      </c>
      <c r="EC2" s="1023" t="s">
        <v>25</v>
      </c>
      <c r="ED2" s="1023" t="s">
        <v>13</v>
      </c>
      <c r="EE2" s="1023" t="s">
        <v>14</v>
      </c>
      <c r="EF2" s="1023" t="s">
        <v>26</v>
      </c>
      <c r="EG2" s="1025" t="s">
        <v>27</v>
      </c>
      <c r="EH2" s="1025" t="s">
        <v>91</v>
      </c>
    </row>
    <row r="3" spans="1:148">
      <c r="A3" s="1024"/>
      <c r="B3" s="1030"/>
      <c r="C3" s="1030"/>
      <c r="D3" s="1030"/>
      <c r="E3" s="131" t="s">
        <v>30</v>
      </c>
      <c r="F3" s="1030"/>
      <c r="G3" s="1036"/>
      <c r="H3" s="131" t="s">
        <v>31</v>
      </c>
      <c r="I3" s="1036"/>
      <c r="J3" s="1036"/>
      <c r="K3" s="131" t="s">
        <v>32</v>
      </c>
      <c r="L3" s="1036"/>
      <c r="M3" s="1036"/>
      <c r="N3" s="1030"/>
      <c r="O3" s="1038"/>
      <c r="P3" s="1036"/>
      <c r="Q3" s="1036"/>
      <c r="R3" s="131" t="s">
        <v>30</v>
      </c>
      <c r="S3" s="1036"/>
      <c r="T3" s="1036"/>
      <c r="U3" s="131" t="s">
        <v>31</v>
      </c>
      <c r="V3" s="1036"/>
      <c r="W3" s="1036"/>
      <c r="X3" s="131" t="s">
        <v>32</v>
      </c>
      <c r="Y3" s="1036"/>
      <c r="Z3" s="1036"/>
      <c r="AA3" s="1030"/>
      <c r="AB3" s="1038"/>
      <c r="AC3" s="1036"/>
      <c r="AD3" s="1036"/>
      <c r="AE3" s="131" t="s">
        <v>30</v>
      </c>
      <c r="AF3" s="1036"/>
      <c r="AG3" s="1036"/>
      <c r="AH3" s="131" t="s">
        <v>31</v>
      </c>
      <c r="AI3" s="1036"/>
      <c r="AJ3" s="1036"/>
      <c r="AK3" s="131" t="s">
        <v>32</v>
      </c>
      <c r="AL3" s="1036"/>
      <c r="AM3" s="1036"/>
      <c r="AN3" s="1030"/>
      <c r="AO3" s="1038"/>
      <c r="AP3" s="1036"/>
      <c r="AQ3" s="1036"/>
      <c r="AR3" s="131" t="s">
        <v>30</v>
      </c>
      <c r="AS3" s="1036"/>
      <c r="AT3" s="1036"/>
      <c r="AU3" s="131" t="s">
        <v>31</v>
      </c>
      <c r="AV3" s="1030"/>
      <c r="AW3" s="1036"/>
      <c r="AX3" s="131" t="s">
        <v>32</v>
      </c>
      <c r="AY3" s="1030"/>
      <c r="AZ3" s="1030"/>
      <c r="BA3" s="1030"/>
      <c r="BB3" s="1038"/>
      <c r="BC3" s="1030"/>
      <c r="BD3" s="1030"/>
      <c r="BE3" s="1036"/>
      <c r="BF3" s="131" t="s">
        <v>30</v>
      </c>
      <c r="BG3" s="1030"/>
      <c r="BH3" s="1030"/>
      <c r="BI3" s="131" t="s">
        <v>31</v>
      </c>
      <c r="BJ3" s="1030"/>
      <c r="BK3" s="1036"/>
      <c r="BL3" s="131" t="s">
        <v>32</v>
      </c>
      <c r="BM3" s="1036"/>
      <c r="BN3" s="1036"/>
      <c r="BO3" s="1036"/>
      <c r="BP3" s="1038"/>
      <c r="BQ3" s="1030"/>
      <c r="BR3" s="1036"/>
      <c r="BS3" s="1036"/>
      <c r="BT3" s="131" t="s">
        <v>30</v>
      </c>
      <c r="BU3" s="1036"/>
      <c r="BV3" s="1036"/>
      <c r="BW3" s="131" t="s">
        <v>31</v>
      </c>
      <c r="BX3" s="1030"/>
      <c r="BY3" s="1030"/>
      <c r="BZ3" s="131" t="s">
        <v>32</v>
      </c>
      <c r="CA3" s="1036"/>
      <c r="CB3" s="1036"/>
      <c r="CC3" s="1030"/>
      <c r="CD3" s="1038"/>
      <c r="CE3" s="1036"/>
      <c r="CF3" s="1036"/>
      <c r="CG3" s="1033"/>
      <c r="CH3" s="1033"/>
      <c r="CI3" s="1033"/>
      <c r="CJ3" s="1033"/>
      <c r="CK3" s="1033"/>
      <c r="CL3" s="1033"/>
      <c r="CM3" s="1033"/>
      <c r="CN3" s="1033"/>
      <c r="CO3" s="1033"/>
      <c r="CP3" s="1033"/>
      <c r="CQ3" s="1035"/>
      <c r="CR3" s="1030"/>
      <c r="CS3" s="1036"/>
      <c r="CT3" s="1036"/>
      <c r="CU3" s="1033"/>
      <c r="CV3" s="1033"/>
      <c r="CW3" s="1033"/>
      <c r="CX3" s="1033"/>
      <c r="CY3" s="1033"/>
      <c r="CZ3" s="1033"/>
      <c r="DA3" s="131" t="s">
        <v>32</v>
      </c>
      <c r="DB3" s="1030"/>
      <c r="DC3" s="1030"/>
      <c r="DD3" s="1030"/>
      <c r="DE3" s="1025"/>
      <c r="DF3" s="1027"/>
      <c r="DG3" s="1024"/>
      <c r="DH3" s="1031"/>
      <c r="DI3" s="1028"/>
      <c r="DJ3" s="1028"/>
      <c r="DK3" s="1028"/>
      <c r="DL3" s="1028"/>
      <c r="DM3" s="1028"/>
      <c r="DN3" s="1028"/>
      <c r="DO3" s="990" t="s">
        <v>32</v>
      </c>
      <c r="DP3" s="1028"/>
      <c r="DQ3" s="1028"/>
      <c r="DR3" s="1028"/>
      <c r="DS3" s="1027"/>
      <c r="DT3" s="1027"/>
      <c r="DU3" s="1027"/>
      <c r="DV3" s="1024"/>
      <c r="DW3" s="1028"/>
      <c r="DX3" s="1024"/>
      <c r="DY3" s="1024"/>
      <c r="DZ3" s="1027"/>
      <c r="EA3" s="1024"/>
      <c r="EB3" s="1024"/>
      <c r="EC3" s="1024"/>
      <c r="ED3" s="1024"/>
      <c r="EE3" s="1024"/>
      <c r="EF3" s="1024"/>
      <c r="EG3" s="1026"/>
      <c r="EH3" s="1026"/>
      <c r="EI3" s="735" t="s">
        <v>1072</v>
      </c>
    </row>
    <row r="4" spans="1:148" ht="14.5" customHeight="1">
      <c r="A4" s="105" t="s">
        <v>92</v>
      </c>
      <c r="B4" s="132">
        <v>17418.2485636276</v>
      </c>
      <c r="C4" s="132">
        <v>1121.7585653560213</v>
      </c>
      <c r="D4" s="132">
        <v>2364.8221493560213</v>
      </c>
      <c r="E4" s="132">
        <v>3643.0483123560211</v>
      </c>
      <c r="F4" s="132">
        <v>4890.6252433560212</v>
      </c>
      <c r="G4" s="132">
        <v>6074.0002873560215</v>
      </c>
      <c r="H4" s="132">
        <v>7595.2157843560217</v>
      </c>
      <c r="I4" s="132">
        <v>8651.1387673560203</v>
      </c>
      <c r="J4" s="132">
        <v>9829.2126083560215</v>
      </c>
      <c r="K4" s="132">
        <v>11301.04455435602</v>
      </c>
      <c r="L4" s="132">
        <v>12597.821247356022</v>
      </c>
      <c r="M4" s="132">
        <v>13719.700188356022</v>
      </c>
      <c r="N4" s="132">
        <v>15885.933759356019</v>
      </c>
      <c r="O4" s="132">
        <v>18136.750954588002</v>
      </c>
      <c r="P4" s="132">
        <v>1146.0453470000002</v>
      </c>
      <c r="Q4" s="132">
        <v>2409.5569420000002</v>
      </c>
      <c r="R4" s="132">
        <v>4240.0050279999996</v>
      </c>
      <c r="S4" s="132">
        <v>5186.0554665499994</v>
      </c>
      <c r="T4" s="132">
        <v>6517.3788275500001</v>
      </c>
      <c r="U4" s="132">
        <v>7776.6712724273784</v>
      </c>
      <c r="V4" s="132">
        <v>8710.9285485500004</v>
      </c>
      <c r="W4" s="132">
        <v>10589.862079549999</v>
      </c>
      <c r="X4" s="132">
        <v>11304</v>
      </c>
      <c r="Y4" s="132">
        <v>13398.53671455</v>
      </c>
      <c r="Z4" s="132">
        <v>14637.62643255</v>
      </c>
      <c r="AA4" s="132">
        <v>16600.68168555</v>
      </c>
      <c r="AB4" s="132">
        <v>18486.344313477606</v>
      </c>
      <c r="AC4" s="132">
        <v>1260.1158849999999</v>
      </c>
      <c r="AD4" s="132">
        <v>2712.8779239999999</v>
      </c>
      <c r="AE4" s="132">
        <v>4082.1369420000001</v>
      </c>
      <c r="AF4" s="132">
        <v>5461.6335200000003</v>
      </c>
      <c r="AG4" s="132">
        <v>6915.9104720000005</v>
      </c>
      <c r="AH4" s="132">
        <v>8361.6355600000006</v>
      </c>
      <c r="AI4" s="132">
        <v>9526.4677670000001</v>
      </c>
      <c r="AJ4" s="132">
        <v>10773.749083999999</v>
      </c>
      <c r="AK4" s="132">
        <v>12469.605764</v>
      </c>
      <c r="AL4" s="132">
        <v>13521.741058</v>
      </c>
      <c r="AM4" s="132">
        <v>14789.184789999999</v>
      </c>
      <c r="AN4" s="132">
        <v>17171.505576164691</v>
      </c>
      <c r="AO4" s="132">
        <v>18760</v>
      </c>
      <c r="AP4" s="132">
        <v>1007</v>
      </c>
      <c r="AQ4" s="132">
        <v>2513.9457940000002</v>
      </c>
      <c r="AR4" s="132">
        <v>4176.6263791263136</v>
      </c>
      <c r="AS4" s="132">
        <v>5231.1339752499998</v>
      </c>
      <c r="AT4" s="132">
        <v>6636.8519272500007</v>
      </c>
      <c r="AU4" s="132">
        <v>8499.5601429866529</v>
      </c>
      <c r="AV4" s="132">
        <v>9423.7461652500006</v>
      </c>
      <c r="AW4" s="132">
        <v>10795.77687725</v>
      </c>
      <c r="AX4" s="132">
        <v>12509.200990187914</v>
      </c>
      <c r="AY4" s="132">
        <v>13431.252406</v>
      </c>
      <c r="AZ4" s="132">
        <v>14788.10049425</v>
      </c>
      <c r="BA4" s="132">
        <v>17529.932374280004</v>
      </c>
      <c r="BB4" s="132">
        <v>20380.051187000001</v>
      </c>
      <c r="BC4" s="132">
        <v>18251.857760570001</v>
      </c>
      <c r="BD4" s="132">
        <v>1249.9204662400002</v>
      </c>
      <c r="BE4" s="132">
        <v>2757.7596910699999</v>
      </c>
      <c r="BF4" s="132">
        <v>4505.36754462307</v>
      </c>
      <c r="BG4" s="132">
        <v>7217.8205347499998</v>
      </c>
      <c r="BH4" s="132">
        <v>7195.4855889900009</v>
      </c>
      <c r="BI4" s="132">
        <v>9042.8116218300001</v>
      </c>
      <c r="BJ4" s="132">
        <v>10033.362631889999</v>
      </c>
      <c r="BK4" s="132">
        <v>11494.687912559999</v>
      </c>
      <c r="BL4" s="132">
        <v>13111.115791893319</v>
      </c>
      <c r="BM4" s="132">
        <v>14330.312567999999</v>
      </c>
      <c r="BN4" s="132">
        <v>15710.309176000002</v>
      </c>
      <c r="BO4" s="132">
        <v>18364.716349009999</v>
      </c>
      <c r="BP4" s="132">
        <v>20724.044204624999</v>
      </c>
      <c r="BQ4" s="132">
        <v>20331.044205999999</v>
      </c>
      <c r="BR4" s="132">
        <v>1230.8299482899999</v>
      </c>
      <c r="BS4" s="132">
        <v>2722.4684059599999</v>
      </c>
      <c r="BT4" s="132">
        <v>4452.0620280500007</v>
      </c>
      <c r="BU4" s="132">
        <v>5821.51232635</v>
      </c>
      <c r="BV4" s="132">
        <v>7382.3974727799996</v>
      </c>
      <c r="BW4" s="132">
        <v>9071.0799771811817</v>
      </c>
      <c r="BX4" s="132">
        <v>10530.50645913</v>
      </c>
      <c r="BY4" s="132">
        <v>12240.79196189</v>
      </c>
      <c r="BZ4" s="132">
        <v>13898.520357384668</v>
      </c>
      <c r="CA4" s="132">
        <v>14849.01751736</v>
      </c>
      <c r="CB4" s="132">
        <v>16194.545432709998</v>
      </c>
      <c r="CC4" s="132">
        <v>18890.85096969</v>
      </c>
      <c r="CD4" s="132">
        <v>21665.789807410001</v>
      </c>
      <c r="CE4" s="132">
        <v>1278.5686679999999</v>
      </c>
      <c r="CF4" s="132">
        <v>2706.8485190000001</v>
      </c>
      <c r="CG4" s="132">
        <v>4514.1291670000001</v>
      </c>
      <c r="CH4" s="132">
        <v>6070.293756850001</v>
      </c>
      <c r="CI4" s="132">
        <v>7905.7124369999992</v>
      </c>
      <c r="CJ4" s="132">
        <v>9566.2061049999993</v>
      </c>
      <c r="CK4" s="132">
        <v>10883.06200064411</v>
      </c>
      <c r="CL4" s="132">
        <v>12337.672039999999</v>
      </c>
      <c r="CM4" s="132">
        <v>14326.4284035</v>
      </c>
      <c r="CN4" s="132">
        <v>15399.468638</v>
      </c>
      <c r="CO4" s="132">
        <v>16912.963526000003</v>
      </c>
      <c r="CP4" s="132">
        <v>19580.434158</v>
      </c>
      <c r="CQ4" s="132">
        <v>23206.87695786</v>
      </c>
      <c r="CR4" s="132">
        <v>23206.876957999997</v>
      </c>
      <c r="CS4" s="132">
        <v>1457.3246809999998</v>
      </c>
      <c r="CT4" s="132">
        <v>3183.1829687700001</v>
      </c>
      <c r="CU4" s="132">
        <v>4998.3229343099993</v>
      </c>
      <c r="CV4" s="132">
        <v>6755.6400513099998</v>
      </c>
      <c r="CW4" s="132">
        <v>8474.0454353099994</v>
      </c>
      <c r="CX4" s="132">
        <v>10101.53968631</v>
      </c>
      <c r="CY4" s="132">
        <v>11759.689348309999</v>
      </c>
      <c r="CZ4" s="132">
        <v>13473.586316309998</v>
      </c>
      <c r="DA4" s="132">
        <v>15106.954906309998</v>
      </c>
      <c r="DB4" s="132">
        <v>16834.021059309998</v>
      </c>
      <c r="DC4" s="132">
        <v>18404.772766309998</v>
      </c>
      <c r="DD4" s="132">
        <v>21176.56329631</v>
      </c>
      <c r="DE4" s="132">
        <v>23999.909333475</v>
      </c>
      <c r="DF4" s="132">
        <v>23647.624434000001</v>
      </c>
      <c r="DG4" s="132">
        <v>1550.99775</v>
      </c>
      <c r="DH4" s="132">
        <v>3347.1515139999997</v>
      </c>
      <c r="DI4" s="132">
        <v>5097.7184289999996</v>
      </c>
      <c r="DJ4" s="132">
        <v>6758.9461729999994</v>
      </c>
      <c r="DK4" s="132">
        <v>8483.7113089999984</v>
      </c>
      <c r="DL4" s="132">
        <v>10283.774267000001</v>
      </c>
      <c r="DM4" s="132">
        <v>12052.501936000001</v>
      </c>
      <c r="DN4" s="132">
        <v>13849.089792999999</v>
      </c>
      <c r="DO4" s="132">
        <v>15779.73927</v>
      </c>
      <c r="DP4" s="132">
        <v>17659.986965</v>
      </c>
      <c r="DQ4" s="132">
        <v>19249.108028000002</v>
      </c>
      <c r="DR4" s="132">
        <v>21569.100390000003</v>
      </c>
      <c r="DS4" s="132">
        <f>+DS5+DS6</f>
        <v>24230.012386999999</v>
      </c>
      <c r="DT4" s="132">
        <f>+DT5+DT6</f>
        <v>24479.538951999999</v>
      </c>
      <c r="DU4" s="132">
        <v>1548.968445</v>
      </c>
      <c r="DV4" s="132">
        <v>3216.1288559999998</v>
      </c>
      <c r="DW4" s="132">
        <v>5192.5589529999997</v>
      </c>
      <c r="DX4" s="132">
        <v>7058.877144</v>
      </c>
      <c r="DY4" s="132">
        <v>8839.1312890000008</v>
      </c>
      <c r="DZ4" s="132">
        <f>+DZ5+DZ6</f>
        <v>10673.187997000001</v>
      </c>
      <c r="EA4" s="132">
        <f>+EA5+EA6</f>
        <v>12467.852366000001</v>
      </c>
      <c r="EB4" s="133"/>
      <c r="EC4" s="133"/>
      <c r="ED4" s="133"/>
      <c r="EE4" s="133"/>
      <c r="EF4" s="133"/>
      <c r="EG4" s="134">
        <f>+EA4/DT4*100</f>
        <v>50.931728699822457</v>
      </c>
      <c r="EH4" s="134">
        <f>+(EA4/DM4-1)*100</f>
        <v>3.4461760073182468</v>
      </c>
      <c r="EI4" s="971">
        <f>+EA4-DM4</f>
        <v>415.35043000000042</v>
      </c>
    </row>
    <row r="5" spans="1:148" ht="15" customHeight="1">
      <c r="A5" s="105" t="s">
        <v>93</v>
      </c>
      <c r="B5" s="132">
        <v>16552.014826680701</v>
      </c>
      <c r="C5" s="132">
        <v>1100.1125903560212</v>
      </c>
      <c r="D5" s="132">
        <v>2307.0661893560214</v>
      </c>
      <c r="E5" s="132">
        <v>3531.0810993560208</v>
      </c>
      <c r="F5" s="132">
        <v>4719.8145553560207</v>
      </c>
      <c r="G5" s="132">
        <v>5873.477834356021</v>
      </c>
      <c r="H5" s="132">
        <v>7265.4895103560211</v>
      </c>
      <c r="I5" s="132">
        <v>8298.4174033560212</v>
      </c>
      <c r="J5" s="132">
        <v>9407.6405033560204</v>
      </c>
      <c r="K5" s="132">
        <v>10838.484380356022</v>
      </c>
      <c r="L5" s="132">
        <v>12114.97141535602</v>
      </c>
      <c r="M5" s="132">
        <v>13208.160148356023</v>
      </c>
      <c r="N5" s="132">
        <v>15114.011227356021</v>
      </c>
      <c r="O5" s="132">
        <v>17191.892230084002</v>
      </c>
      <c r="P5" s="132">
        <v>1128.1387880000002</v>
      </c>
      <c r="Q5" s="132">
        <v>2370.8941440000003</v>
      </c>
      <c r="R5" s="132">
        <v>4035.8087399999999</v>
      </c>
      <c r="S5" s="132">
        <v>4971.8878919999997</v>
      </c>
      <c r="T5" s="132">
        <v>6265.764913</v>
      </c>
      <c r="U5" s="132">
        <v>7291.7618611566359</v>
      </c>
      <c r="V5" s="132">
        <v>8193.5489429999998</v>
      </c>
      <c r="W5" s="132">
        <v>10007.866549999999</v>
      </c>
      <c r="X5" s="132">
        <v>10709</v>
      </c>
      <c r="Y5" s="132">
        <v>12697.497184</v>
      </c>
      <c r="Z5" s="132">
        <v>13904.084618999999</v>
      </c>
      <c r="AA5" s="132">
        <v>15666.881256000001</v>
      </c>
      <c r="AB5" s="132">
        <v>17464.727277439979</v>
      </c>
      <c r="AC5" s="132">
        <v>1238.4132769999999</v>
      </c>
      <c r="AD5" s="132">
        <v>2520.0621329999999</v>
      </c>
      <c r="AE5" s="132">
        <v>3795.3806439999998</v>
      </c>
      <c r="AF5" s="132">
        <v>5091.4051290000007</v>
      </c>
      <c r="AG5" s="132">
        <v>6420.3550450000002</v>
      </c>
      <c r="AH5" s="132">
        <v>7806.3866980000003</v>
      </c>
      <c r="AI5" s="132">
        <v>8951.1014540000015</v>
      </c>
      <c r="AJ5" s="132">
        <v>10144.679043</v>
      </c>
      <c r="AK5" s="132">
        <v>11740.323441</v>
      </c>
      <c r="AL5" s="132">
        <v>12774.571199999998</v>
      </c>
      <c r="AM5" s="132">
        <v>14009.608253</v>
      </c>
      <c r="AN5" s="132">
        <v>16027.943997424314</v>
      </c>
      <c r="AO5" s="132">
        <v>17660.717841000001</v>
      </c>
      <c r="AP5" s="132">
        <v>991</v>
      </c>
      <c r="AQ5" s="132">
        <v>2330</v>
      </c>
      <c r="AR5" s="132">
        <v>3878.628482394869</v>
      </c>
      <c r="AS5" s="132">
        <v>4897.4362012499996</v>
      </c>
      <c r="AT5" s="132">
        <v>6165.4761802500007</v>
      </c>
      <c r="AU5" s="132">
        <v>7906.3801346993623</v>
      </c>
      <c r="AV5" s="132">
        <v>8775.3734572499998</v>
      </c>
      <c r="AW5" s="132">
        <v>10106.26593125</v>
      </c>
      <c r="AX5" s="132">
        <v>11737.104598254829</v>
      </c>
      <c r="AY5" s="132">
        <v>12645.746762000001</v>
      </c>
      <c r="AZ5" s="132">
        <v>13914.96460725</v>
      </c>
      <c r="BA5" s="132">
        <v>16345.356003080002</v>
      </c>
      <c r="BB5" s="132">
        <v>19023.206425</v>
      </c>
      <c r="BC5" s="132">
        <v>16895.01299857</v>
      </c>
      <c r="BD5" s="132">
        <v>1223.4818202399999</v>
      </c>
      <c r="BE5" s="132">
        <v>2533.3676690699999</v>
      </c>
      <c r="BF5" s="132">
        <v>4212.7546362552421</v>
      </c>
      <c r="BG5" s="132">
        <v>6686.4686467499996</v>
      </c>
      <c r="BH5" s="132">
        <v>6651.7448139900007</v>
      </c>
      <c r="BI5" s="132">
        <v>8481.3816248300009</v>
      </c>
      <c r="BJ5" s="132">
        <v>9385.5625668899993</v>
      </c>
      <c r="BK5" s="132">
        <v>10700.704942559998</v>
      </c>
      <c r="BL5" s="132">
        <v>12235.186972516363</v>
      </c>
      <c r="BM5" s="132">
        <v>13359.882224999999</v>
      </c>
      <c r="BN5" s="132">
        <v>14674.506335000002</v>
      </c>
      <c r="BO5" s="132">
        <v>17133.492975010002</v>
      </c>
      <c r="BP5" s="132">
        <v>19314.796495524999</v>
      </c>
      <c r="BQ5" s="132">
        <v>18921.796496899999</v>
      </c>
      <c r="BR5" s="132">
        <v>1210.6250785899999</v>
      </c>
      <c r="BS5" s="132">
        <v>2598.7327917299999</v>
      </c>
      <c r="BT5" s="132">
        <v>4085.7629116500002</v>
      </c>
      <c r="BU5" s="132">
        <v>5395.5326188500003</v>
      </c>
      <c r="BV5" s="132">
        <v>6882.8355611099996</v>
      </c>
      <c r="BW5" s="132">
        <v>8452.0291224024004</v>
      </c>
      <c r="BX5" s="132">
        <v>9755.2882506177011</v>
      </c>
      <c r="BY5" s="132">
        <v>11395.631014377703</v>
      </c>
      <c r="BZ5" s="132">
        <v>12979.103069887644</v>
      </c>
      <c r="CA5" s="132">
        <v>13917.266940447702</v>
      </c>
      <c r="CB5" s="132">
        <v>15225.261248397699</v>
      </c>
      <c r="CC5" s="132">
        <v>17609.195662640002</v>
      </c>
      <c r="CD5" s="132">
        <v>20198.19180841</v>
      </c>
      <c r="CE5" s="132">
        <v>1259.1251050000001</v>
      </c>
      <c r="CF5" s="132">
        <v>2640.0861199999999</v>
      </c>
      <c r="CG5" s="132">
        <v>4363.277666</v>
      </c>
      <c r="CH5" s="132">
        <v>5736.3242773500006</v>
      </c>
      <c r="CI5" s="132">
        <v>7196.9012779999994</v>
      </c>
      <c r="CJ5" s="132">
        <v>8789.7481619999999</v>
      </c>
      <c r="CK5" s="132">
        <v>10071.721669326766</v>
      </c>
      <c r="CL5" s="132">
        <v>11491.749420999999</v>
      </c>
      <c r="CM5" s="132">
        <v>13401.05849175</v>
      </c>
      <c r="CN5" s="132">
        <v>14459.23177</v>
      </c>
      <c r="CO5" s="132">
        <v>15919.326806000003</v>
      </c>
      <c r="CP5" s="132">
        <v>18276.035036000001</v>
      </c>
      <c r="CQ5" s="132">
        <v>21608.345315859999</v>
      </c>
      <c r="CR5" s="132">
        <v>21608.345315859999</v>
      </c>
      <c r="CS5" s="132">
        <v>1422.9438339999999</v>
      </c>
      <c r="CT5" s="132">
        <v>3013.435774</v>
      </c>
      <c r="CU5" s="132">
        <v>4664.2627849999999</v>
      </c>
      <c r="CV5" s="132">
        <v>6247.4274439999999</v>
      </c>
      <c r="CW5" s="132">
        <v>7791.8662789999998</v>
      </c>
      <c r="CX5" s="132">
        <v>9371.0986799999991</v>
      </c>
      <c r="CY5" s="132">
        <v>10856.499663999999</v>
      </c>
      <c r="CZ5" s="132">
        <v>12412.557327</v>
      </c>
      <c r="DA5" s="132">
        <v>13978.210803</v>
      </c>
      <c r="DB5" s="132">
        <v>15495.790860999999</v>
      </c>
      <c r="DC5" s="132">
        <v>16996.127757999999</v>
      </c>
      <c r="DD5" s="132">
        <v>19221.984219000002</v>
      </c>
      <c r="DE5" s="132">
        <v>22118.768587474999</v>
      </c>
      <c r="DF5" s="132">
        <v>21704.945671000001</v>
      </c>
      <c r="DG5" s="132">
        <v>1509.6973330000001</v>
      </c>
      <c r="DH5" s="132">
        <v>3122.1795159999997</v>
      </c>
      <c r="DI5" s="132">
        <v>4801.1834600000002</v>
      </c>
      <c r="DJ5" s="132">
        <v>6384.0837629999996</v>
      </c>
      <c r="DK5" s="132">
        <v>8045.7956379999987</v>
      </c>
      <c r="DL5" s="132">
        <v>9684.4674379999997</v>
      </c>
      <c r="DM5" s="132">
        <v>11313.805513000001</v>
      </c>
      <c r="DN5" s="132">
        <v>12883.569321999999</v>
      </c>
      <c r="DO5" s="132">
        <v>14568.770289999999</v>
      </c>
      <c r="DP5" s="132">
        <v>16212.066481</v>
      </c>
      <c r="DQ5" s="132">
        <v>17687.551150000003</v>
      </c>
      <c r="DR5" s="132">
        <v>19674.308701000002</v>
      </c>
      <c r="DS5" s="132">
        <f>+' AI _Execução Despesas jul'!C5/1000000</f>
        <v>22192.61519</v>
      </c>
      <c r="DT5" s="132">
        <v>22379.570136999999</v>
      </c>
      <c r="DU5" s="132">
        <v>1520.334926</v>
      </c>
      <c r="DV5" s="132">
        <v>3123.601087</v>
      </c>
      <c r="DW5" s="132">
        <v>4930.0591100000001</v>
      </c>
      <c r="DX5" s="132">
        <v>6541.233064</v>
      </c>
      <c r="DY5" s="132">
        <v>8253.0429330000006</v>
      </c>
      <c r="DZ5" s="132">
        <v>10013.205319000001</v>
      </c>
      <c r="EA5" s="132">
        <f>+' AI _Execução Despesas jul'!$F$5/1000000</f>
        <v>11748.023218</v>
      </c>
      <c r="EB5" s="133"/>
      <c r="EC5" s="133"/>
      <c r="ED5" s="133"/>
      <c r="EE5" s="133"/>
      <c r="EF5" s="133"/>
      <c r="EG5" s="134">
        <f t="shared" ref="EG5:EG23" si="0">+EA5/DT5*100</f>
        <v>52.494409615924972</v>
      </c>
      <c r="EH5" s="134">
        <f t="shared" ref="EH5:EH17" si="1">+(EA5/DM5-1)*100</f>
        <v>3.8379456364268094</v>
      </c>
      <c r="EI5" s="971">
        <f t="shared" ref="EI5:EI23" si="2">+EA5-DM5</f>
        <v>434.21770499999911</v>
      </c>
    </row>
    <row r="6" spans="1:148" ht="15" customHeight="1">
      <c r="A6" s="105" t="s">
        <v>94</v>
      </c>
      <c r="B6" s="132">
        <v>866.23373694689997</v>
      </c>
      <c r="C6" s="132">
        <v>21.645975</v>
      </c>
      <c r="D6" s="132">
        <v>57.755960000000002</v>
      </c>
      <c r="E6" s="132">
        <v>111.967213</v>
      </c>
      <c r="F6" s="132">
        <v>170.81068799999997</v>
      </c>
      <c r="G6" s="132">
        <v>200.52245299999998</v>
      </c>
      <c r="H6" s="132">
        <v>329.72627399999999</v>
      </c>
      <c r="I6" s="132">
        <v>352.72136399999999</v>
      </c>
      <c r="J6" s="132">
        <v>421.57210500000002</v>
      </c>
      <c r="K6" s="132">
        <v>462.56017399999996</v>
      </c>
      <c r="L6" s="132">
        <v>482.84983199999999</v>
      </c>
      <c r="M6" s="132">
        <v>511.54003999999998</v>
      </c>
      <c r="N6" s="132">
        <v>771.92253200000005</v>
      </c>
      <c r="O6" s="132">
        <v>944.85872450399995</v>
      </c>
      <c r="P6" s="132">
        <v>17.906559000000001</v>
      </c>
      <c r="Q6" s="132">
        <v>38.662797999999995</v>
      </c>
      <c r="R6" s="132">
        <v>204.19628800000001</v>
      </c>
      <c r="S6" s="132">
        <v>214.16757455000001</v>
      </c>
      <c r="T6" s="132">
        <v>251.61391455</v>
      </c>
      <c r="U6" s="132">
        <v>484.90941127074302</v>
      </c>
      <c r="V6" s="132">
        <v>517.37960554999995</v>
      </c>
      <c r="W6" s="132">
        <v>581.99552955000001</v>
      </c>
      <c r="X6" s="132">
        <v>595</v>
      </c>
      <c r="Y6" s="132">
        <v>701.03953054999999</v>
      </c>
      <c r="Z6" s="132">
        <v>733.54181355000003</v>
      </c>
      <c r="AA6" s="132">
        <v>933.80042954999999</v>
      </c>
      <c r="AB6" s="132">
        <v>1021.6170360376267</v>
      </c>
      <c r="AC6" s="132">
        <v>21.702608000000001</v>
      </c>
      <c r="AD6" s="132">
        <v>192.81579099999999</v>
      </c>
      <c r="AE6" s="132">
        <v>286.75629800000002</v>
      </c>
      <c r="AF6" s="132">
        <v>370.22839099999999</v>
      </c>
      <c r="AG6" s="132">
        <v>495.55542700000001</v>
      </c>
      <c r="AH6" s="132">
        <v>555.24886200000003</v>
      </c>
      <c r="AI6" s="132">
        <v>575.36631299999999</v>
      </c>
      <c r="AJ6" s="132">
        <v>629.07004099999995</v>
      </c>
      <c r="AK6" s="132">
        <v>729.28232300000002</v>
      </c>
      <c r="AL6" s="132">
        <v>747.16985799999998</v>
      </c>
      <c r="AM6" s="132">
        <v>779.57653699999992</v>
      </c>
      <c r="AN6" s="132">
        <v>1143.5615787403763</v>
      </c>
      <c r="AO6" s="132">
        <v>1099.2821590000001</v>
      </c>
      <c r="AP6" s="132">
        <v>15</v>
      </c>
      <c r="AQ6" s="132">
        <v>183.94579400000001</v>
      </c>
      <c r="AR6" s="132">
        <v>297.99789673144454</v>
      </c>
      <c r="AS6" s="132">
        <v>333.69777399999998</v>
      </c>
      <c r="AT6" s="132">
        <v>471.37574700000005</v>
      </c>
      <c r="AU6" s="132">
        <v>593.18000828729021</v>
      </c>
      <c r="AV6" s="132">
        <v>648.37270799999999</v>
      </c>
      <c r="AW6" s="132">
        <v>689.51094599999999</v>
      </c>
      <c r="AX6" s="132">
        <v>772.0963919330834</v>
      </c>
      <c r="AY6" s="132">
        <v>785.50564399999996</v>
      </c>
      <c r="AZ6" s="132">
        <v>873.13588700000003</v>
      </c>
      <c r="BA6" s="132">
        <v>1184.5763712</v>
      </c>
      <c r="BB6" s="132">
        <v>1356.8447620000002</v>
      </c>
      <c r="BC6" s="132">
        <v>1356.8447620000002</v>
      </c>
      <c r="BD6" s="132">
        <v>26.438646000000002</v>
      </c>
      <c r="BE6" s="132">
        <v>224.392022</v>
      </c>
      <c r="BF6" s="132">
        <v>292.61290836782808</v>
      </c>
      <c r="BG6" s="132">
        <v>531.35188800000003</v>
      </c>
      <c r="BH6" s="132">
        <v>543.74077499999999</v>
      </c>
      <c r="BI6" s="132">
        <v>561.42999699999996</v>
      </c>
      <c r="BJ6" s="132">
        <v>647.80006500000002</v>
      </c>
      <c r="BK6" s="132">
        <v>793.98297000000002</v>
      </c>
      <c r="BL6" s="132">
        <v>875.92881937695552</v>
      </c>
      <c r="BM6" s="132">
        <v>970.43034299999999</v>
      </c>
      <c r="BN6" s="132">
        <v>1035.8028409999999</v>
      </c>
      <c r="BO6" s="132">
        <v>1231.2233740000001</v>
      </c>
      <c r="BP6" s="132">
        <v>1409.2477091000001</v>
      </c>
      <c r="BQ6" s="132">
        <v>1409.2477091000001</v>
      </c>
      <c r="BR6" s="132">
        <v>20.2048697</v>
      </c>
      <c r="BS6" s="132">
        <v>123.73561423000001</v>
      </c>
      <c r="BT6" s="132">
        <v>366.2991164</v>
      </c>
      <c r="BU6" s="132">
        <v>425.97970749999996</v>
      </c>
      <c r="BV6" s="132">
        <v>499.56191166999997</v>
      </c>
      <c r="BW6" s="132">
        <v>619.05085477878163</v>
      </c>
      <c r="BX6" s="132">
        <v>775.21820851229768</v>
      </c>
      <c r="BY6" s="132">
        <v>845.16094751229753</v>
      </c>
      <c r="BZ6" s="132">
        <v>919.41728749702463</v>
      </c>
      <c r="CA6" s="132">
        <v>931.75057691229745</v>
      </c>
      <c r="CB6" s="132">
        <v>969.2841843122975</v>
      </c>
      <c r="CC6" s="132">
        <v>1281.6553070500001</v>
      </c>
      <c r="CD6" s="132">
        <v>1467.5979989999998</v>
      </c>
      <c r="CE6" s="132">
        <v>19.443563000000001</v>
      </c>
      <c r="CF6" s="132">
        <v>66.762399000000002</v>
      </c>
      <c r="CG6" s="132">
        <v>150.85150100000001</v>
      </c>
      <c r="CH6" s="132">
        <v>333.96947950000003</v>
      </c>
      <c r="CI6" s="132">
        <v>708.81115899999998</v>
      </c>
      <c r="CJ6" s="132">
        <v>776.457943</v>
      </c>
      <c r="CK6" s="132">
        <v>811.34033131734407</v>
      </c>
      <c r="CL6" s="132">
        <v>845.92261899999994</v>
      </c>
      <c r="CM6" s="132">
        <v>925.36991175000003</v>
      </c>
      <c r="CN6" s="132">
        <v>940.23686799999996</v>
      </c>
      <c r="CO6" s="132">
        <v>993.63671999999997</v>
      </c>
      <c r="CP6" s="132">
        <v>1304.399122</v>
      </c>
      <c r="CQ6" s="132">
        <v>1598.5316419999999</v>
      </c>
      <c r="CR6" s="132">
        <v>1598.5316419999999</v>
      </c>
      <c r="CS6" s="132">
        <v>34.380847000000003</v>
      </c>
      <c r="CT6" s="132">
        <v>169.74719476999996</v>
      </c>
      <c r="CU6" s="132">
        <v>334.06014930999999</v>
      </c>
      <c r="CV6" s="132">
        <v>508.21260731000001</v>
      </c>
      <c r="CW6" s="132">
        <v>682.17915630999994</v>
      </c>
      <c r="CX6" s="132">
        <v>730.44100630999992</v>
      </c>
      <c r="CY6" s="132">
        <v>903.18968430999985</v>
      </c>
      <c r="CZ6" s="132">
        <v>1061.02898931</v>
      </c>
      <c r="DA6" s="132">
        <v>1128.7441033099999</v>
      </c>
      <c r="DB6" s="132">
        <v>1338.2301983100001</v>
      </c>
      <c r="DC6" s="132">
        <v>1408.6450083099999</v>
      </c>
      <c r="DD6" s="132">
        <v>1954.57907731</v>
      </c>
      <c r="DE6" s="132">
        <v>1881.140746</v>
      </c>
      <c r="DF6" s="132">
        <v>1942.6787630000001</v>
      </c>
      <c r="DG6" s="132">
        <v>41.300416999999996</v>
      </c>
      <c r="DH6" s="132">
        <v>224.97199799999999</v>
      </c>
      <c r="DI6" s="132">
        <v>296.53496899999999</v>
      </c>
      <c r="DJ6" s="132">
        <v>374.86241000000001</v>
      </c>
      <c r="DK6" s="132">
        <v>437.91567099999997</v>
      </c>
      <c r="DL6" s="132">
        <v>599.30682899999999</v>
      </c>
      <c r="DM6" s="132">
        <v>738.69642299999998</v>
      </c>
      <c r="DN6" s="132">
        <v>965.52047100000004</v>
      </c>
      <c r="DO6" s="132">
        <v>1210.9689800000001</v>
      </c>
      <c r="DP6" s="132">
        <v>1447.920484</v>
      </c>
      <c r="DQ6" s="132">
        <v>1561.5568780000001</v>
      </c>
      <c r="DR6" s="132">
        <v>1894.7916889999999</v>
      </c>
      <c r="DS6" s="132">
        <f>+' AI _Execução Despesas jul'!C6/1000000</f>
        <v>2037.397197</v>
      </c>
      <c r="DT6" s="132">
        <v>2099.9688150000002</v>
      </c>
      <c r="DU6" s="132">
        <v>28.633519</v>
      </c>
      <c r="DV6" s="132">
        <v>92.527769000000006</v>
      </c>
      <c r="DW6" s="132">
        <v>262.499843</v>
      </c>
      <c r="DX6" s="132">
        <v>517.64408000000003</v>
      </c>
      <c r="DY6" s="132">
        <v>586.08835599999998</v>
      </c>
      <c r="DZ6" s="132">
        <v>659.98267799999996</v>
      </c>
      <c r="EA6" s="132">
        <f>+' AI _Execução Despesas jul'!$F$6/1000000</f>
        <v>719.82914800000003</v>
      </c>
      <c r="EB6" s="133"/>
      <c r="EC6" s="133"/>
      <c r="ED6" s="133"/>
      <c r="EE6" s="133"/>
      <c r="EF6" s="133"/>
      <c r="EG6" s="134">
        <f t="shared" si="0"/>
        <v>34.278087505789934</v>
      </c>
      <c r="EH6" s="134">
        <f t="shared" si="1"/>
        <v>-2.554131089924061</v>
      </c>
      <c r="EI6" s="971">
        <f t="shared" si="2"/>
        <v>-18.86727499999995</v>
      </c>
      <c r="ER6" s="137"/>
    </row>
    <row r="7" spans="1:148" ht="15" customHeight="1">
      <c r="A7" s="105" t="s">
        <v>95</v>
      </c>
      <c r="B7" s="132">
        <v>6619.9807429850498</v>
      </c>
      <c r="C7" s="132">
        <v>77.552519494959995</v>
      </c>
      <c r="D7" s="132">
        <v>239.80597849495999</v>
      </c>
      <c r="E7" s="132">
        <v>497.67568249496003</v>
      </c>
      <c r="F7" s="132">
        <v>724.74099780647998</v>
      </c>
      <c r="G7" s="132">
        <v>971.74889666647994</v>
      </c>
      <c r="H7" s="132">
        <v>1344.75037666648</v>
      </c>
      <c r="I7" s="132">
        <v>1659.37444066648</v>
      </c>
      <c r="J7" s="132">
        <v>2162.4856688160066</v>
      </c>
      <c r="K7" s="132">
        <v>2555.8950611039068</v>
      </c>
      <c r="L7" s="132">
        <v>3026.6471101039069</v>
      </c>
      <c r="M7" s="132">
        <v>3583.5426746281191</v>
      </c>
      <c r="N7" s="132">
        <v>4994.8710806281197</v>
      </c>
      <c r="O7" s="132">
        <v>8479.5745609999994</v>
      </c>
      <c r="P7" s="132">
        <v>77.920172000000008</v>
      </c>
      <c r="Q7" s="132">
        <v>290.58282700000001</v>
      </c>
      <c r="R7" s="132">
        <v>879.71322899999996</v>
      </c>
      <c r="S7" s="132">
        <v>900.37508899999989</v>
      </c>
      <c r="T7" s="132">
        <v>1278.085321</v>
      </c>
      <c r="U7" s="132">
        <v>1851.2942848552548</v>
      </c>
      <c r="V7" s="132">
        <v>1976.7813019999999</v>
      </c>
      <c r="W7" s="132">
        <v>2368.0869463600002</v>
      </c>
      <c r="X7" s="132">
        <v>2850</v>
      </c>
      <c r="Y7" s="132">
        <v>3161.69012479</v>
      </c>
      <c r="Z7" s="132">
        <v>3527.7488117900002</v>
      </c>
      <c r="AA7" s="132">
        <v>5061.5339533599999</v>
      </c>
      <c r="AB7" s="132">
        <v>8395.8515215980242</v>
      </c>
      <c r="AC7" s="132">
        <v>146.34195199999999</v>
      </c>
      <c r="AD7" s="132">
        <v>422.458797</v>
      </c>
      <c r="AE7" s="132">
        <v>720.68237799999997</v>
      </c>
      <c r="AF7" s="132">
        <v>1084.544789</v>
      </c>
      <c r="AG7" s="132">
        <v>1394.453295</v>
      </c>
      <c r="AH7" s="132">
        <v>1791.6906100000001</v>
      </c>
      <c r="AI7" s="132">
        <v>1915.4469569999999</v>
      </c>
      <c r="AJ7" s="132">
        <v>2201.7985800000001</v>
      </c>
      <c r="AK7" s="132">
        <v>3152.1598640000002</v>
      </c>
      <c r="AL7" s="132">
        <v>2961.7888780600001</v>
      </c>
      <c r="AM7" s="132">
        <v>3392.1955800599999</v>
      </c>
      <c r="AN7" s="132">
        <v>5744.1135562627496</v>
      </c>
      <c r="AO7" s="132">
        <v>8588</v>
      </c>
      <c r="AP7" s="132">
        <v>89</v>
      </c>
      <c r="AQ7" s="132">
        <v>285</v>
      </c>
      <c r="AR7" s="132">
        <v>987.04931411762709</v>
      </c>
      <c r="AS7" s="132">
        <v>1047.3361009999999</v>
      </c>
      <c r="AT7" s="132">
        <v>1491.285676</v>
      </c>
      <c r="AU7" s="132">
        <v>2543.7741522117676</v>
      </c>
      <c r="AV7" s="132">
        <v>2526.8370409999998</v>
      </c>
      <c r="AW7" s="132">
        <v>2984.6275479999999</v>
      </c>
      <c r="AX7" s="132">
        <v>4227.404882033783</v>
      </c>
      <c r="AY7" s="132">
        <v>3899.1861790000003</v>
      </c>
      <c r="AZ7" s="132">
        <v>4452.4963422700002</v>
      </c>
      <c r="BA7" s="132">
        <v>7433.2766981000004</v>
      </c>
      <c r="BB7" s="132">
        <v>9810.5102330000009</v>
      </c>
      <c r="BC7" s="132">
        <v>6770.3631319150008</v>
      </c>
      <c r="BD7" s="132">
        <v>95.799769010000006</v>
      </c>
      <c r="BE7" s="132">
        <v>350.34941934</v>
      </c>
      <c r="BF7" s="132">
        <v>1164.5064298730213</v>
      </c>
      <c r="BG7" s="132">
        <v>1399.7307362700003</v>
      </c>
      <c r="BH7" s="132">
        <v>1518.069213345</v>
      </c>
      <c r="BI7" s="132">
        <v>2440.7836974249999</v>
      </c>
      <c r="BJ7" s="132">
        <v>2264.877073785</v>
      </c>
      <c r="BK7" s="132">
        <v>2611.0464998850002</v>
      </c>
      <c r="BL7" s="132">
        <v>4036.5195016097387</v>
      </c>
      <c r="BM7" s="132">
        <v>3479.0325543299996</v>
      </c>
      <c r="BN7" s="132">
        <v>3957.4167217400004</v>
      </c>
      <c r="BO7" s="132">
        <v>7562.7395483200007</v>
      </c>
      <c r="BP7" s="132">
        <v>8985.9390535400016</v>
      </c>
      <c r="BQ7" s="132">
        <v>8047.5870620000005</v>
      </c>
      <c r="BR7" s="132">
        <v>90.187001629999997</v>
      </c>
      <c r="BS7" s="132">
        <v>341.12873998999999</v>
      </c>
      <c r="BT7" s="132">
        <v>867.40539749999994</v>
      </c>
      <c r="BU7" s="132">
        <v>987.40175704000012</v>
      </c>
      <c r="BV7" s="132">
        <v>1363.2996877099999</v>
      </c>
      <c r="BW7" s="132">
        <v>2156.4412509132121</v>
      </c>
      <c r="BX7" s="132">
        <v>2070.8492839600003</v>
      </c>
      <c r="BY7" s="132">
        <v>2548.0314100400001</v>
      </c>
      <c r="BZ7" s="132">
        <v>3914.8997512903393</v>
      </c>
      <c r="CA7" s="132">
        <v>3330.7121413999998</v>
      </c>
      <c r="CB7" s="132">
        <v>3973.2343998199995</v>
      </c>
      <c r="CC7" s="132">
        <v>6960.6098057299996</v>
      </c>
      <c r="CD7" s="132">
        <v>9204.3599493399997</v>
      </c>
      <c r="CE7" s="132">
        <v>102.72132000000001</v>
      </c>
      <c r="CF7" s="132">
        <v>472.31006600000001</v>
      </c>
      <c r="CG7" s="132">
        <v>1162.2342840000001</v>
      </c>
      <c r="CH7" s="132">
        <v>1563.0151779349999</v>
      </c>
      <c r="CI7" s="132">
        <v>2093.2232509999999</v>
      </c>
      <c r="CJ7" s="132">
        <v>2598.6308669999999</v>
      </c>
      <c r="CK7" s="132">
        <v>3154.8509098343961</v>
      </c>
      <c r="CL7" s="132">
        <v>3684.6339470000003</v>
      </c>
      <c r="CM7" s="132">
        <v>4383.8375575</v>
      </c>
      <c r="CN7" s="132">
        <v>4867.4095649999999</v>
      </c>
      <c r="CO7" s="132">
        <v>5747.9975670000003</v>
      </c>
      <c r="CP7" s="132">
        <v>7505.0486490000003</v>
      </c>
      <c r="CQ7" s="132">
        <v>10790.152629304999</v>
      </c>
      <c r="CR7" s="132">
        <v>9217.3121449639912</v>
      </c>
      <c r="CS7" s="132">
        <v>295.06072499999999</v>
      </c>
      <c r="CT7" s="132">
        <v>818.30550500000004</v>
      </c>
      <c r="CU7" s="132">
        <v>1341.0084001</v>
      </c>
      <c r="CV7" s="132">
        <v>1927.1726990999998</v>
      </c>
      <c r="CW7" s="132">
        <v>2499.2347880999996</v>
      </c>
      <c r="CX7" s="132">
        <v>3078.3761010999997</v>
      </c>
      <c r="CY7" s="132">
        <v>3682.6318310999995</v>
      </c>
      <c r="CZ7" s="132">
        <v>4233.6125530999998</v>
      </c>
      <c r="DA7" s="132">
        <v>4842.1842691000002</v>
      </c>
      <c r="DB7" s="132">
        <v>5566.3660210999997</v>
      </c>
      <c r="DC7" s="132">
        <v>6436.4276540999999</v>
      </c>
      <c r="DD7" s="132">
        <v>9248.3028621000012</v>
      </c>
      <c r="DE7" s="132">
        <v>13374.57913428</v>
      </c>
      <c r="DF7" s="132">
        <v>15438.382281999999</v>
      </c>
      <c r="DG7" s="132">
        <v>171.81163599999999</v>
      </c>
      <c r="DH7" s="132">
        <v>760.00392499999998</v>
      </c>
      <c r="DI7" s="132">
        <v>1476.001546</v>
      </c>
      <c r="DJ7" s="132">
        <v>2037.9119769999998</v>
      </c>
      <c r="DK7" s="132">
        <v>2715.2540209999997</v>
      </c>
      <c r="DL7" s="132">
        <v>3341.2315120000003</v>
      </c>
      <c r="DM7" s="132">
        <v>4079.2955609999999</v>
      </c>
      <c r="DN7" s="132">
        <v>4579.8343690000002</v>
      </c>
      <c r="DO7" s="132">
        <v>5823.4771620000001</v>
      </c>
      <c r="DP7" s="132">
        <v>6661.808231</v>
      </c>
      <c r="DQ7" s="132">
        <v>7719.1017629999997</v>
      </c>
      <c r="DR7" s="132">
        <v>10148.008776999999</v>
      </c>
      <c r="DS7" s="132">
        <f>+' AI _Execução Despesas jul'!C10/1000000</f>
        <v>11372.349899999999</v>
      </c>
      <c r="DT7" s="132">
        <v>12291.885581</v>
      </c>
      <c r="DU7" s="132">
        <v>81.159509999999997</v>
      </c>
      <c r="DV7" s="132">
        <v>743.20300299999997</v>
      </c>
      <c r="DW7" s="132">
        <v>1466.4630810000001</v>
      </c>
      <c r="DX7" s="132">
        <v>2156.6820899999998</v>
      </c>
      <c r="DY7" s="132">
        <v>2898.536126</v>
      </c>
      <c r="DZ7" s="132">
        <v>3601.6302190000001</v>
      </c>
      <c r="EA7" s="132">
        <f>+' AI _Execução Despesas jul'!$F$10/1000000</f>
        <v>4365.2989610000004</v>
      </c>
      <c r="EB7" s="133"/>
      <c r="EC7" s="133"/>
      <c r="ED7" s="133"/>
      <c r="EE7" s="133"/>
      <c r="EF7" s="133"/>
      <c r="EG7" s="134">
        <f t="shared" si="0"/>
        <v>35.513664134228492</v>
      </c>
      <c r="EH7" s="134">
        <f>+(EA7/DM7-1)*100</f>
        <v>7.0110977673284669</v>
      </c>
      <c r="EI7" s="971">
        <f t="shared" si="2"/>
        <v>286.00340000000051</v>
      </c>
    </row>
    <row r="8" spans="1:148" ht="15" customHeight="1">
      <c r="A8" s="105" t="s">
        <v>96</v>
      </c>
      <c r="B8" s="132">
        <v>2474.3400540000002</v>
      </c>
      <c r="C8" s="132">
        <v>84.583600000000004</v>
      </c>
      <c r="D8" s="132">
        <v>23985.892040361854</v>
      </c>
      <c r="E8" s="132">
        <v>788.30059400000005</v>
      </c>
      <c r="F8" s="132">
        <v>955.42771800000003</v>
      </c>
      <c r="G8" s="132">
        <v>1357.4235370000001</v>
      </c>
      <c r="H8" s="132">
        <v>1555.4596740000002</v>
      </c>
      <c r="I8" s="132">
        <v>1617.5324599999999</v>
      </c>
      <c r="J8" s="132">
        <v>1934.410975</v>
      </c>
      <c r="K8" s="132">
        <v>2123.8815030000001</v>
      </c>
      <c r="L8" s="132">
        <v>2347.248317</v>
      </c>
      <c r="M8" s="132">
        <v>2554.954381</v>
      </c>
      <c r="N8" s="132">
        <v>2857.7293870000003</v>
      </c>
      <c r="O8" s="132">
        <v>3680.8274840000004</v>
      </c>
      <c r="P8" s="132">
        <v>237.66050598999999</v>
      </c>
      <c r="Q8" s="132">
        <v>433.24364799</v>
      </c>
      <c r="R8" s="132">
        <v>702.97429398999998</v>
      </c>
      <c r="S8" s="132">
        <v>950.91419098999995</v>
      </c>
      <c r="T8" s="132">
        <v>1459.6045029899999</v>
      </c>
      <c r="U8" s="132">
        <v>1699.1071762633283</v>
      </c>
      <c r="V8" s="132">
        <v>1963.51106899</v>
      </c>
      <c r="W8" s="132">
        <v>2176.3758229900004</v>
      </c>
      <c r="X8" s="132">
        <v>2424.3817140000001</v>
      </c>
      <c r="Y8" s="132">
        <v>2726.55854099</v>
      </c>
      <c r="Z8" s="132">
        <v>3019.4207239899997</v>
      </c>
      <c r="AA8" s="132">
        <v>3383.2951849900001</v>
      </c>
      <c r="AB8" s="132">
        <v>4200.4167829999997</v>
      </c>
      <c r="AC8" s="132">
        <v>229.51840299999998</v>
      </c>
      <c r="AD8" s="132">
        <v>418.80856899999998</v>
      </c>
      <c r="AE8" s="132">
        <v>743.22185500000001</v>
      </c>
      <c r="AF8" s="132">
        <v>952.33776099999989</v>
      </c>
      <c r="AG8" s="132">
        <v>1549.1416570000001</v>
      </c>
      <c r="AH8" s="132">
        <v>1780.451444</v>
      </c>
      <c r="AI8" s="132">
        <v>2023.3469599999999</v>
      </c>
      <c r="AJ8" s="132">
        <v>2267.6469406711058</v>
      </c>
      <c r="AK8" s="132">
        <v>2626.7092109999999</v>
      </c>
      <c r="AL8" s="132">
        <v>2895.3900679999997</v>
      </c>
      <c r="AM8" s="132">
        <v>3171.51037</v>
      </c>
      <c r="AN8" s="132">
        <v>3444.0178460000002</v>
      </c>
      <c r="AO8" s="132">
        <v>4185</v>
      </c>
      <c r="AP8" s="132">
        <v>333.21386200000001</v>
      </c>
      <c r="AQ8" s="132">
        <v>553.39200600000004</v>
      </c>
      <c r="AR8" s="132">
        <v>1008.6420359999998</v>
      </c>
      <c r="AS8" s="132">
        <v>1125.456835</v>
      </c>
      <c r="AT8" s="132">
        <v>1704.0417480000001</v>
      </c>
      <c r="AU8" s="132">
        <v>2210.1521319999997</v>
      </c>
      <c r="AV8" s="132">
        <v>2313.6044449999999</v>
      </c>
      <c r="AW8" s="132">
        <v>2696.150995</v>
      </c>
      <c r="AX8" s="132">
        <v>3158.6423929999996</v>
      </c>
      <c r="AY8" s="132">
        <v>3389</v>
      </c>
      <c r="AZ8" s="132">
        <v>3794.6687305952751</v>
      </c>
      <c r="BA8" s="132">
        <v>4134.2079789999998</v>
      </c>
      <c r="BB8" s="132">
        <v>4261</v>
      </c>
      <c r="BC8" s="132">
        <v>4223.468071865962</v>
      </c>
      <c r="BD8" s="132">
        <v>272.96856100000002</v>
      </c>
      <c r="BE8" s="132">
        <v>514.78894600000001</v>
      </c>
      <c r="BF8" s="132">
        <v>979.88059599999997</v>
      </c>
      <c r="BG8" s="132">
        <v>1979.9670839999999</v>
      </c>
      <c r="BH8" s="132">
        <v>1979.9670839999999</v>
      </c>
      <c r="BI8" s="132">
        <v>2293.9814663450593</v>
      </c>
      <c r="BJ8" s="132">
        <v>2595.3415729999997</v>
      </c>
      <c r="BK8" s="132">
        <v>2840.4261179999999</v>
      </c>
      <c r="BL8" s="132">
        <v>3335.7963558377942</v>
      </c>
      <c r="BM8" s="132">
        <v>3671.26532</v>
      </c>
      <c r="BN8" s="132">
        <v>3991.7807440000001</v>
      </c>
      <c r="BO8" s="132">
        <v>4223.0582979999999</v>
      </c>
      <c r="BP8" s="132">
        <v>4709</v>
      </c>
      <c r="BQ8" s="132">
        <v>4769</v>
      </c>
      <c r="BR8" s="132">
        <v>335.03950399999997</v>
      </c>
      <c r="BS8" s="132">
        <v>540.14010299999995</v>
      </c>
      <c r="BT8" s="132">
        <v>1097.7339100000002</v>
      </c>
      <c r="BU8" s="132">
        <v>2111.2708845418224</v>
      </c>
      <c r="BV8" s="132">
        <v>2091.6753629999998</v>
      </c>
      <c r="BW8" s="132">
        <v>2393.9277851599995</v>
      </c>
      <c r="BX8" s="132">
        <v>2727.4232291719318</v>
      </c>
      <c r="BY8" s="132">
        <v>3377.0046325611061</v>
      </c>
      <c r="BZ8" s="132">
        <v>3495.8351771511516</v>
      </c>
      <c r="CA8" s="132">
        <v>3827.3229705279882</v>
      </c>
      <c r="CB8" s="132">
        <v>4214.7521927916077</v>
      </c>
      <c r="CC8" s="132">
        <v>4523.463565</v>
      </c>
      <c r="CD8" s="132">
        <v>5496.2687900000001</v>
      </c>
      <c r="CE8" s="132">
        <v>329.37177833543501</v>
      </c>
      <c r="CF8" s="132">
        <v>529.91043615397507</v>
      </c>
      <c r="CG8" s="132">
        <v>901.9496320508631</v>
      </c>
      <c r="CH8" s="132">
        <v>1426.749468329298</v>
      </c>
      <c r="CI8" s="132">
        <v>2118.3432608634107</v>
      </c>
      <c r="CJ8" s="132">
        <v>2391.2088949999998</v>
      </c>
      <c r="CK8" s="132">
        <v>2781.5047720000002</v>
      </c>
      <c r="CL8" s="132">
        <v>2996.0351780000001</v>
      </c>
      <c r="CM8" s="132">
        <v>3554.3866420000004</v>
      </c>
      <c r="CN8" s="132">
        <v>4012.3596494198359</v>
      </c>
      <c r="CO8" s="132">
        <v>4386.6945629999991</v>
      </c>
      <c r="CP8" s="132">
        <v>4733.4072530000003</v>
      </c>
      <c r="CQ8" s="132">
        <v>5636.5699080000004</v>
      </c>
      <c r="CR8" s="132">
        <v>5636.5699080000004</v>
      </c>
      <c r="CS8" s="132">
        <v>340.86056100000002</v>
      </c>
      <c r="CT8" s="132">
        <v>740.69149375298275</v>
      </c>
      <c r="CU8" s="132">
        <v>1182.4087913599528</v>
      </c>
      <c r="CV8" s="132">
        <v>1579.531804</v>
      </c>
      <c r="CW8" s="132">
        <v>2278.5422285202353</v>
      </c>
      <c r="CX8" s="132">
        <v>2581.1990719999999</v>
      </c>
      <c r="CY8" s="132">
        <v>2994.0047600000003</v>
      </c>
      <c r="CZ8" s="132">
        <v>3225.9752279999998</v>
      </c>
      <c r="DA8" s="132">
        <v>3869.9272880000003</v>
      </c>
      <c r="DB8" s="132">
        <v>4290.0153470000005</v>
      </c>
      <c r="DC8" s="132">
        <v>4616.6573520000002</v>
      </c>
      <c r="DD8" s="132">
        <v>4991.2831809999998</v>
      </c>
      <c r="DE8" s="132">
        <v>5662</v>
      </c>
      <c r="DF8" s="132">
        <v>5186.8378890000004</v>
      </c>
      <c r="DG8" s="132">
        <v>419.58211659611891</v>
      </c>
      <c r="DH8" s="132">
        <v>788.57912199999998</v>
      </c>
      <c r="DI8" s="132">
        <v>1252.979507</v>
      </c>
      <c r="DJ8" s="132">
        <v>1678.9946091857871</v>
      </c>
      <c r="DK8" s="132">
        <v>2357.7417140000002</v>
      </c>
      <c r="DL8" s="132">
        <v>2694.8409508394757</v>
      </c>
      <c r="DM8" s="132">
        <v>3105.6935436380459</v>
      </c>
      <c r="DN8" s="132">
        <v>3320.3244610000002</v>
      </c>
      <c r="DO8" s="132">
        <v>3754.0924051380466</v>
      </c>
      <c r="DP8" s="132">
        <v>4179.2937056057099</v>
      </c>
      <c r="DQ8" s="132">
        <v>4451.7935428379142</v>
      </c>
      <c r="DR8" s="132">
        <v>4808.1108655611097</v>
      </c>
      <c r="DS8" s="132">
        <f>+DS9+DS10+DS11</f>
        <v>5462.7073419999997</v>
      </c>
      <c r="DT8" s="132">
        <f>+DT9+DT10+DT11</f>
        <v>4485.0032689999998</v>
      </c>
      <c r="DU8" s="132">
        <v>367.45873900000004</v>
      </c>
      <c r="DV8" s="132">
        <v>579.76672301755207</v>
      </c>
      <c r="DW8" s="132">
        <v>974.54652199999998</v>
      </c>
      <c r="DX8" s="132">
        <v>1713.2877380000002</v>
      </c>
      <c r="DY8" s="132">
        <v>1738.3569640000001</v>
      </c>
      <c r="DZ8" s="132">
        <f>+DZ9+DZ10+DZ11</f>
        <v>2056.644667</v>
      </c>
      <c r="EA8" s="132">
        <f>+EA9+EA10+EA11</f>
        <v>2439.028198</v>
      </c>
      <c r="EB8" s="133"/>
      <c r="EC8" s="133"/>
      <c r="ED8" s="133"/>
      <c r="EE8" s="133"/>
      <c r="EF8" s="133"/>
      <c r="EG8" s="134">
        <f t="shared" si="0"/>
        <v>54.3818599834336</v>
      </c>
      <c r="EH8" s="134">
        <f t="shared" si="1"/>
        <v>-21.465908862891425</v>
      </c>
      <c r="EI8" s="971">
        <f t="shared" si="2"/>
        <v>-666.66534563804589</v>
      </c>
    </row>
    <row r="9" spans="1:148" ht="15" customHeight="1">
      <c r="A9" s="105" t="s">
        <v>97</v>
      </c>
      <c r="B9" s="132">
        <v>1409.5480520000001</v>
      </c>
      <c r="C9" s="132">
        <v>0</v>
      </c>
      <c r="D9" s="132">
        <v>116.740692</v>
      </c>
      <c r="E9" s="132">
        <v>359.72348</v>
      </c>
      <c r="F9" s="132">
        <v>546.55735700000002</v>
      </c>
      <c r="G9" s="132">
        <v>734.23746000000006</v>
      </c>
      <c r="H9" s="132">
        <v>872.28881000000001</v>
      </c>
      <c r="I9" s="132">
        <v>872.28881000000001</v>
      </c>
      <c r="J9" s="132">
        <v>1088.944227</v>
      </c>
      <c r="K9" s="132">
        <v>1149.8815030000001</v>
      </c>
      <c r="L9" s="132">
        <v>1278.773993</v>
      </c>
      <c r="M9" s="132">
        <v>1418.677205</v>
      </c>
      <c r="N9" s="132">
        <v>1715.3223190000001</v>
      </c>
      <c r="O9" s="132">
        <v>1849.586436</v>
      </c>
      <c r="P9" s="132">
        <v>119.195042</v>
      </c>
      <c r="Q9" s="132">
        <v>236.646747</v>
      </c>
      <c r="R9" s="132">
        <v>314.41066799999999</v>
      </c>
      <c r="S9" s="132">
        <v>465.896547</v>
      </c>
      <c r="T9" s="132">
        <v>653.09097999999994</v>
      </c>
      <c r="U9" s="132">
        <v>850.58262500000001</v>
      </c>
      <c r="V9" s="132">
        <v>992.37105899999995</v>
      </c>
      <c r="W9" s="132">
        <v>1128.6489630000001</v>
      </c>
      <c r="X9" s="132">
        <v>1206.388715</v>
      </c>
      <c r="Y9" s="132">
        <v>1376.5658659999999</v>
      </c>
      <c r="Z9" s="132">
        <v>1583.5518689999999</v>
      </c>
      <c r="AA9" s="132">
        <v>1438.2323789899999</v>
      </c>
      <c r="AB9" s="132">
        <v>2266.0587070000001</v>
      </c>
      <c r="AC9" s="132">
        <v>157.21280999999999</v>
      </c>
      <c r="AD9" s="132">
        <v>280.61629299999998</v>
      </c>
      <c r="AE9" s="132">
        <v>367.65566699999999</v>
      </c>
      <c r="AF9" s="132">
        <v>509.78312799999998</v>
      </c>
      <c r="AG9" s="132">
        <v>731.24734899999999</v>
      </c>
      <c r="AH9" s="132">
        <v>923.615227</v>
      </c>
      <c r="AI9" s="132">
        <v>1069.2760430000001</v>
      </c>
      <c r="AJ9" s="132">
        <v>1230.785237671106</v>
      </c>
      <c r="AK9" s="132">
        <v>1328.05745</v>
      </c>
      <c r="AL9" s="132">
        <v>1488.5725910000001</v>
      </c>
      <c r="AM9" s="132">
        <v>1655.3224090000001</v>
      </c>
      <c r="AN9" s="132">
        <v>1909.717126</v>
      </c>
      <c r="AO9" s="132">
        <v>2269</v>
      </c>
      <c r="AP9" s="132">
        <v>245.80758299999999</v>
      </c>
      <c r="AQ9" s="132">
        <v>389.55045799999999</v>
      </c>
      <c r="AR9" s="132">
        <v>536.28968799999996</v>
      </c>
      <c r="AS9" s="132">
        <v>536.28968799999996</v>
      </c>
      <c r="AT9" s="132">
        <v>716.27140899999995</v>
      </c>
      <c r="AU9" s="132">
        <v>1140.961587</v>
      </c>
      <c r="AV9" s="132">
        <v>1140.961587</v>
      </c>
      <c r="AW9" s="132">
        <v>1477.3053199999999</v>
      </c>
      <c r="AX9" s="132">
        <v>1651.1101630000001</v>
      </c>
      <c r="AY9" s="132">
        <v>1806</v>
      </c>
      <c r="AZ9" s="132">
        <v>2089.8433720264857</v>
      </c>
      <c r="BA9" s="132">
        <v>2373.9876629999999</v>
      </c>
      <c r="BB9" s="132">
        <v>2415</v>
      </c>
      <c r="BC9" s="132">
        <v>1748.0737758659618</v>
      </c>
      <c r="BD9" s="132">
        <v>195.90518299999999</v>
      </c>
      <c r="BE9" s="132">
        <v>353.72884800000003</v>
      </c>
      <c r="BF9" s="132">
        <v>522.27619300000003</v>
      </c>
      <c r="BG9" s="132">
        <v>976.58333200000004</v>
      </c>
      <c r="BH9" s="132">
        <v>976.58333200000004</v>
      </c>
      <c r="BI9" s="132">
        <v>1193.3237810000001</v>
      </c>
      <c r="BJ9" s="132">
        <v>1397.552236</v>
      </c>
      <c r="BK9" s="132">
        <v>1563.8371079999999</v>
      </c>
      <c r="BL9" s="132">
        <v>1745.642167</v>
      </c>
      <c r="BM9" s="132">
        <v>1970.165013</v>
      </c>
      <c r="BN9" s="132">
        <v>2225.7838230000002</v>
      </c>
      <c r="BO9" s="132">
        <v>2455.3942969999998</v>
      </c>
      <c r="BP9" s="132">
        <v>2005</v>
      </c>
      <c r="BQ9" s="132">
        <v>2650</v>
      </c>
      <c r="BR9" s="132">
        <v>228.76065199999999</v>
      </c>
      <c r="BS9" s="132">
        <v>381.50765200000001</v>
      </c>
      <c r="BT9" s="132">
        <v>592.78893300000004</v>
      </c>
      <c r="BU9" s="132">
        <v>1103.3784565418227</v>
      </c>
      <c r="BV9" s="132">
        <v>1103.378459</v>
      </c>
      <c r="BW9" s="132">
        <v>1325.096102</v>
      </c>
      <c r="BX9" s="132">
        <v>1566.3226293363432</v>
      </c>
      <c r="BY9" s="132">
        <v>1724.6669400000001</v>
      </c>
      <c r="BZ9" s="132">
        <v>1514.9141731511513</v>
      </c>
      <c r="CA9" s="132">
        <v>2193.256935716734</v>
      </c>
      <c r="CB9" s="132">
        <v>2465.7096294199764</v>
      </c>
      <c r="CC9" s="132">
        <v>2683.592846</v>
      </c>
      <c r="CD9" s="132">
        <v>3268</v>
      </c>
      <c r="CE9" s="132">
        <v>234.11349200000001</v>
      </c>
      <c r="CF9" s="132">
        <v>399.04959500000001</v>
      </c>
      <c r="CG9" s="132">
        <v>292.81958505086311</v>
      </c>
      <c r="CH9" s="132">
        <v>876.34233074656481</v>
      </c>
      <c r="CI9" s="132">
        <v>1143.1868020599977</v>
      </c>
      <c r="CJ9" s="132">
        <v>1333.5411389999999</v>
      </c>
      <c r="CK9" s="132">
        <v>1629.3328160000001</v>
      </c>
      <c r="CL9" s="132">
        <v>1794.7147520000001</v>
      </c>
      <c r="CM9" s="132">
        <v>1525.5834609999999</v>
      </c>
      <c r="CN9" s="132">
        <v>2332.8505184198357</v>
      </c>
      <c r="CO9" s="132">
        <v>2608.2905409999998</v>
      </c>
      <c r="CP9" s="132">
        <v>2863.324987</v>
      </c>
      <c r="CQ9" s="132">
        <v>3405.958705</v>
      </c>
      <c r="CR9" s="132">
        <v>3405.958705</v>
      </c>
      <c r="CS9" s="132">
        <v>291.12688100000003</v>
      </c>
      <c r="CT9" s="132">
        <v>461.64745435995292</v>
      </c>
      <c r="CU9" s="132">
        <v>698.72606735995294</v>
      </c>
      <c r="CV9" s="132">
        <v>1012.214189</v>
      </c>
      <c r="CW9" s="132">
        <v>1273.4535535202356</v>
      </c>
      <c r="CX9" s="132">
        <v>1467.1403680000001</v>
      </c>
      <c r="CY9" s="132">
        <v>1817.7898560000001</v>
      </c>
      <c r="CZ9" s="132">
        <v>1987.7948080000001</v>
      </c>
      <c r="DA9" s="132">
        <v>1585.014934</v>
      </c>
      <c r="DB9" s="132">
        <v>2595.8809980000001</v>
      </c>
      <c r="DC9" s="132">
        <v>2850.1235369999999</v>
      </c>
      <c r="DD9" s="132">
        <v>3083.3259979999998</v>
      </c>
      <c r="DE9" s="132">
        <v>3337</v>
      </c>
      <c r="DF9" s="132">
        <v>3337</v>
      </c>
      <c r="DG9" s="132">
        <v>328.1449335961189</v>
      </c>
      <c r="DH9" s="132">
        <v>500.22540700000002</v>
      </c>
      <c r="DI9" s="132">
        <v>775.02366300000006</v>
      </c>
      <c r="DJ9" s="132">
        <v>1087.2441081857871</v>
      </c>
      <c r="DK9" s="132">
        <v>1335.2240899999999</v>
      </c>
      <c r="DL9" s="132">
        <v>1552.4025738394753</v>
      </c>
      <c r="DM9" s="132">
        <v>1878.0733066380462</v>
      </c>
      <c r="DN9" s="132">
        <v>2051.7495570000001</v>
      </c>
      <c r="DO9" s="132">
        <v>2336.7477741380462</v>
      </c>
      <c r="DP9" s="132">
        <v>2664.03840260571</v>
      </c>
      <c r="DQ9" s="132">
        <v>2921.7936387656155</v>
      </c>
      <c r="DR9" s="132">
        <v>3155.988198</v>
      </c>
      <c r="DS9" s="132">
        <f>+' AI _Execução Despesas jul'!C12/1000000</f>
        <v>3343.139181</v>
      </c>
      <c r="DT9" s="132">
        <v>3343.139181</v>
      </c>
      <c r="DU9" s="132">
        <v>295.76703500000002</v>
      </c>
      <c r="DV9" s="132">
        <v>482.49632501755212</v>
      </c>
      <c r="DW9" s="132">
        <v>744.73208599999998</v>
      </c>
      <c r="DX9" s="132">
        <v>1378.117283</v>
      </c>
      <c r="DY9" s="132">
        <v>1339.133754</v>
      </c>
      <c r="DZ9" s="132">
        <v>1567.426794</v>
      </c>
      <c r="EA9" s="132">
        <f>+' AI _Execução Despesas jul'!$F$12/1000000</f>
        <v>1884.233524</v>
      </c>
      <c r="EB9" s="132">
        <f>+' AI _Execução Despesas jul'!$F$12/1000000</f>
        <v>1884.233524</v>
      </c>
      <c r="EC9" s="132">
        <f>+' AI _Execução Despesas jul'!$F$12/1000000</f>
        <v>1884.233524</v>
      </c>
      <c r="ED9" s="132">
        <f>+' AI _Execução Despesas jul'!$F$12/1000000</f>
        <v>1884.233524</v>
      </c>
      <c r="EE9" s="132">
        <f>+' AI _Execução Despesas jul'!$F$12/1000000</f>
        <v>1884.233524</v>
      </c>
      <c r="EF9" s="132">
        <f>+' AI _Execução Despesas jul'!$F$12/1000000</f>
        <v>1884.233524</v>
      </c>
      <c r="EG9" s="134">
        <f t="shared" si="0"/>
        <v>56.361204903123053</v>
      </c>
      <c r="EH9" s="134">
        <f t="shared" si="1"/>
        <v>0.32800729024689002</v>
      </c>
      <c r="EI9" s="971">
        <f t="shared" si="2"/>
        <v>6.1602173619537552</v>
      </c>
    </row>
    <row r="10" spans="1:148" ht="15" customHeight="1">
      <c r="A10" s="105" t="s">
        <v>98</v>
      </c>
      <c r="B10" s="132">
        <v>1000.176483</v>
      </c>
      <c r="C10" s="132">
        <v>84.583600000000004</v>
      </c>
      <c r="D10" s="132">
        <v>181.757744</v>
      </c>
      <c r="E10" s="132">
        <v>428.57711399999999</v>
      </c>
      <c r="F10" s="132">
        <v>408.870361</v>
      </c>
      <c r="G10" s="132">
        <v>618.57055800000001</v>
      </c>
      <c r="H10" s="132">
        <v>683.17086400000005</v>
      </c>
      <c r="I10" s="132">
        <v>745.24365</v>
      </c>
      <c r="J10" s="132">
        <v>845.46674800000005</v>
      </c>
      <c r="K10" s="132">
        <v>974</v>
      </c>
      <c r="L10" s="132">
        <v>1068.474324</v>
      </c>
      <c r="M10" s="132">
        <v>1136.2771760000001</v>
      </c>
      <c r="N10" s="132">
        <v>1142.407068</v>
      </c>
      <c r="O10" s="132">
        <v>1753.2410480000001</v>
      </c>
      <c r="P10" s="132">
        <v>118.46546399</v>
      </c>
      <c r="Q10" s="132">
        <v>196.59690099000002</v>
      </c>
      <c r="R10" s="132">
        <v>383.16781799</v>
      </c>
      <c r="S10" s="132">
        <v>484.29984499</v>
      </c>
      <c r="T10" s="132">
        <v>800.52635198999997</v>
      </c>
      <c r="U10" s="132">
        <v>837.31892099000004</v>
      </c>
      <c r="V10" s="132">
        <v>965.15283898999996</v>
      </c>
      <c r="W10" s="132">
        <v>1041.7396889900001</v>
      </c>
      <c r="X10" s="132">
        <v>1205.0393180000001</v>
      </c>
      <c r="Y10" s="132">
        <v>1337.0389939900001</v>
      </c>
      <c r="Z10" s="132">
        <v>1422.9151739900001</v>
      </c>
      <c r="AA10" s="132">
        <v>1877.7175549999999</v>
      </c>
      <c r="AB10" s="132">
        <v>1837.9972459999999</v>
      </c>
      <c r="AC10" s="132">
        <v>72.305593000000002</v>
      </c>
      <c r="AD10" s="132">
        <v>138.19227599999999</v>
      </c>
      <c r="AE10" s="132">
        <v>375.56618800000001</v>
      </c>
      <c r="AF10" s="132">
        <v>438.95051999999998</v>
      </c>
      <c r="AG10" s="132">
        <v>814.29019500000004</v>
      </c>
      <c r="AH10" s="132">
        <v>853.23210400000005</v>
      </c>
      <c r="AI10" s="132">
        <v>950.198667</v>
      </c>
      <c r="AJ10" s="132">
        <v>1027.394685</v>
      </c>
      <c r="AK10" s="132">
        <v>1288.7987430000001</v>
      </c>
      <c r="AL10" s="132">
        <v>1396.964459</v>
      </c>
      <c r="AM10" s="132">
        <v>1506.159085</v>
      </c>
      <c r="AN10" s="132">
        <v>1518.2637010000001</v>
      </c>
      <c r="AO10" s="132">
        <v>1820</v>
      </c>
      <c r="AP10" s="132">
        <v>87.406278999999998</v>
      </c>
      <c r="AQ10" s="132">
        <v>163.81993600000001</v>
      </c>
      <c r="AR10" s="132">
        <v>466.27501799999999</v>
      </c>
      <c r="AS10" s="132">
        <v>572.96150599999999</v>
      </c>
      <c r="AT10" s="132">
        <v>970.65063399999997</v>
      </c>
      <c r="AU10" s="132">
        <v>1052.9849039999999</v>
      </c>
      <c r="AV10" s="132">
        <v>1151.5861990000001</v>
      </c>
      <c r="AW10" s="132">
        <v>1197.7890159999999</v>
      </c>
      <c r="AX10" s="132">
        <v>1479.8905319999999</v>
      </c>
      <c r="AY10" s="132">
        <v>1555</v>
      </c>
      <c r="AZ10" s="132">
        <v>1676.6046905687895</v>
      </c>
      <c r="BA10" s="132">
        <v>1723.5442820000001</v>
      </c>
      <c r="BB10" s="132">
        <v>1750</v>
      </c>
      <c r="BC10" s="132">
        <v>2455.3942959999999</v>
      </c>
      <c r="BD10" s="132">
        <v>77.063378</v>
      </c>
      <c r="BE10" s="132">
        <v>161.06009800000001</v>
      </c>
      <c r="BF10" s="132">
        <v>457.60440299999999</v>
      </c>
      <c r="BG10" s="132">
        <v>983.38375199999996</v>
      </c>
      <c r="BH10" s="132">
        <v>983.38375199999996</v>
      </c>
      <c r="BI10" s="132">
        <v>1080.6576853450592</v>
      </c>
      <c r="BJ10" s="132">
        <v>1177.7893369999999</v>
      </c>
      <c r="BK10" s="132">
        <v>1256.5890099999999</v>
      </c>
      <c r="BL10" s="132">
        <v>1570.1541888377944</v>
      </c>
      <c r="BM10" s="132">
        <v>1681.1003069999999</v>
      </c>
      <c r="BN10" s="132">
        <v>1745.9969209999999</v>
      </c>
      <c r="BO10" s="132">
        <v>1747.6640010000001</v>
      </c>
      <c r="BP10" s="132">
        <v>2590</v>
      </c>
      <c r="BQ10" s="132">
        <v>2005</v>
      </c>
      <c r="BR10" s="132">
        <v>101.324073</v>
      </c>
      <c r="BS10" s="132">
        <v>148.650679</v>
      </c>
      <c r="BT10" s="132">
        <v>494.96320500000002</v>
      </c>
      <c r="BU10" s="132">
        <v>994.87694199999999</v>
      </c>
      <c r="BV10" s="132">
        <v>975.28141800000003</v>
      </c>
      <c r="BW10" s="132">
        <v>1055.81619716</v>
      </c>
      <c r="BX10" s="132">
        <v>1148.0851138355888</v>
      </c>
      <c r="BY10" s="132">
        <v>1604.5294865611061</v>
      </c>
      <c r="BZ10" s="132">
        <v>1933.1127980000001</v>
      </c>
      <c r="CA10" s="132">
        <v>1586.2578288112541</v>
      </c>
      <c r="CB10" s="132">
        <v>1701.2343573716314</v>
      </c>
      <c r="CC10" s="132">
        <v>1789.932348</v>
      </c>
      <c r="CD10" s="132">
        <v>2126</v>
      </c>
      <c r="CE10" s="132">
        <v>95.258286335435017</v>
      </c>
      <c r="CF10" s="132">
        <v>130.860841153975</v>
      </c>
      <c r="CG10" s="132">
        <v>609.13004699999999</v>
      </c>
      <c r="CH10" s="132">
        <v>550.4071375827333</v>
      </c>
      <c r="CI10" s="132">
        <v>958.84196680341313</v>
      </c>
      <c r="CJ10" s="132">
        <v>1032.9198859999999</v>
      </c>
      <c r="CK10" s="132">
        <v>1127.424086</v>
      </c>
      <c r="CL10" s="132">
        <v>1176.5725560000001</v>
      </c>
      <c r="CM10" s="132">
        <v>2004.0553110000001</v>
      </c>
      <c r="CN10" s="132">
        <v>1646.1496090000001</v>
      </c>
      <c r="CO10" s="132">
        <v>1736.178073</v>
      </c>
      <c r="CP10" s="132">
        <v>1827.787527</v>
      </c>
      <c r="CQ10" s="132">
        <v>2128.156974</v>
      </c>
      <c r="CR10" s="132">
        <v>2128.156974</v>
      </c>
      <c r="CS10" s="132">
        <v>49.73368</v>
      </c>
      <c r="CT10" s="132">
        <v>270.08536939302985</v>
      </c>
      <c r="CU10" s="132">
        <v>474.12218000000001</v>
      </c>
      <c r="CV10" s="132">
        <v>557.69197699999995</v>
      </c>
      <c r="CW10" s="132">
        <v>995.46303699999999</v>
      </c>
      <c r="CX10" s="132">
        <v>1094.90191</v>
      </c>
      <c r="CY10" s="132">
        <v>1157.0581099999999</v>
      </c>
      <c r="CZ10" s="132">
        <v>1219.0236259999999</v>
      </c>
      <c r="DA10" s="132">
        <v>2265.7555600000001</v>
      </c>
      <c r="DB10" s="132">
        <v>1674.9775549999999</v>
      </c>
      <c r="DC10" s="132">
        <v>1747.377021</v>
      </c>
      <c r="DD10" s="132">
        <v>1866.8186479999999</v>
      </c>
      <c r="DE10" s="132">
        <v>2229</v>
      </c>
      <c r="DF10" s="132">
        <v>1753.8378889999999</v>
      </c>
      <c r="DG10" s="132">
        <v>90.870407</v>
      </c>
      <c r="DH10" s="132">
        <v>287.78693900000002</v>
      </c>
      <c r="DI10" s="132">
        <v>477.38906800000001</v>
      </c>
      <c r="DJ10" s="132">
        <v>591.18372499999998</v>
      </c>
      <c r="DK10" s="132">
        <v>1021.950848</v>
      </c>
      <c r="DL10" s="132">
        <v>1141.8716010000001</v>
      </c>
      <c r="DM10" s="132">
        <v>1213.99479</v>
      </c>
      <c r="DN10" s="132">
        <v>1245.1579999999999</v>
      </c>
      <c r="DO10" s="132">
        <v>1393.927727</v>
      </c>
      <c r="DP10" s="132">
        <v>1491.838399</v>
      </c>
      <c r="DQ10" s="132">
        <v>1506.5830000722992</v>
      </c>
      <c r="DR10" s="132">
        <v>1604.5294865611099</v>
      </c>
      <c r="DS10" s="132">
        <f>+' AI _Execução Despesas jul'!C11/1000000</f>
        <v>2023.4576199999999</v>
      </c>
      <c r="DT10" s="132">
        <v>1044.053547</v>
      </c>
      <c r="DU10" s="132">
        <v>71.691704000000001</v>
      </c>
      <c r="DV10" s="132">
        <v>97.270398</v>
      </c>
      <c r="DW10" s="132">
        <v>229.814436</v>
      </c>
      <c r="DX10" s="132">
        <v>324.50555200000002</v>
      </c>
      <c r="DY10" s="132">
        <v>388.55830700000001</v>
      </c>
      <c r="DZ10" s="132">
        <v>478.36216400000001</v>
      </c>
      <c r="EA10" s="132">
        <f>+' AI _Execução Despesas jul'!$F$11/1000000</f>
        <v>543.93896500000005</v>
      </c>
      <c r="EB10" s="133"/>
      <c r="EC10" s="133"/>
      <c r="ED10" s="133"/>
      <c r="EE10" s="133"/>
      <c r="EF10" s="133"/>
      <c r="EG10" s="134">
        <f t="shared" si="0"/>
        <v>52.09876127167643</v>
      </c>
      <c r="EH10" s="134">
        <f t="shared" si="1"/>
        <v>-55.194291649307644</v>
      </c>
      <c r="EI10" s="971">
        <f t="shared" si="2"/>
        <v>-670.05582499999991</v>
      </c>
    </row>
    <row r="11" spans="1:148" ht="15" customHeight="1">
      <c r="A11" s="79" t="s">
        <v>99</v>
      </c>
      <c r="B11" s="132">
        <v>64.615519000000006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78</v>
      </c>
      <c r="P11" s="132">
        <v>0</v>
      </c>
      <c r="Q11" s="132">
        <v>0</v>
      </c>
      <c r="R11" s="132">
        <v>5.3958079999999997</v>
      </c>
      <c r="S11" s="132">
        <v>0.71779899999999996</v>
      </c>
      <c r="T11" s="132">
        <v>5.987171</v>
      </c>
      <c r="U11" s="132">
        <v>11.20563027332803</v>
      </c>
      <c r="V11" s="132">
        <v>5.987171</v>
      </c>
      <c r="W11" s="132">
        <v>5.987171</v>
      </c>
      <c r="X11" s="132">
        <v>12.953681</v>
      </c>
      <c r="Y11" s="132">
        <v>12.953681</v>
      </c>
      <c r="Z11" s="132">
        <v>12.953681</v>
      </c>
      <c r="AA11" s="132">
        <v>67.345251000000005</v>
      </c>
      <c r="AB11" s="132">
        <v>96.360830000000007</v>
      </c>
      <c r="AC11" s="132">
        <v>0</v>
      </c>
      <c r="AD11" s="132">
        <v>0</v>
      </c>
      <c r="AE11" s="132">
        <v>0</v>
      </c>
      <c r="AF11" s="132">
        <v>3.6041129999999999</v>
      </c>
      <c r="AG11" s="132">
        <v>3.6041129999999999</v>
      </c>
      <c r="AH11" s="132">
        <v>3.6041129999999999</v>
      </c>
      <c r="AI11" s="132">
        <v>3.8722500000000002</v>
      </c>
      <c r="AJ11" s="132">
        <v>9.4670179999999995</v>
      </c>
      <c r="AK11" s="132">
        <v>9.8530180000000005</v>
      </c>
      <c r="AL11" s="132">
        <v>9.8530180000000005</v>
      </c>
      <c r="AM11" s="132">
        <v>10.028876</v>
      </c>
      <c r="AN11" s="132">
        <v>16.037019000000001</v>
      </c>
      <c r="AO11" s="132">
        <v>96</v>
      </c>
      <c r="AP11" s="132">
        <v>0</v>
      </c>
      <c r="AQ11" s="132">
        <v>2.1611999999999999E-2</v>
      </c>
      <c r="AR11" s="132">
        <v>6.0773299999999999</v>
      </c>
      <c r="AS11" s="132">
        <v>16.205641</v>
      </c>
      <c r="AT11" s="132">
        <v>17.119705</v>
      </c>
      <c r="AU11" s="132">
        <v>16.205641</v>
      </c>
      <c r="AV11" s="132">
        <v>21.056659</v>
      </c>
      <c r="AW11" s="132">
        <v>21.056659</v>
      </c>
      <c r="AX11" s="132">
        <v>27.641698000000002</v>
      </c>
      <c r="AY11" s="132">
        <v>28.220668</v>
      </c>
      <c r="AZ11" s="132">
        <v>28.220668</v>
      </c>
      <c r="BA11" s="132">
        <v>36.676034000000001</v>
      </c>
      <c r="BB11" s="132">
        <v>96</v>
      </c>
      <c r="BC11" s="132">
        <v>20</v>
      </c>
      <c r="BD11" s="132">
        <v>0</v>
      </c>
      <c r="BE11" s="132">
        <v>0</v>
      </c>
      <c r="BF11" s="132">
        <v>0</v>
      </c>
      <c r="BG11" s="132">
        <v>20</v>
      </c>
      <c r="BH11" s="132">
        <v>20</v>
      </c>
      <c r="BI11" s="132">
        <v>20</v>
      </c>
      <c r="BJ11" s="132">
        <v>20</v>
      </c>
      <c r="BK11" s="132">
        <v>20</v>
      </c>
      <c r="BL11" s="132">
        <v>20</v>
      </c>
      <c r="BM11" s="132">
        <v>20</v>
      </c>
      <c r="BN11" s="132">
        <v>20</v>
      </c>
      <c r="BO11" s="132">
        <v>20</v>
      </c>
      <c r="BP11" s="132">
        <v>114</v>
      </c>
      <c r="BQ11" s="132">
        <v>114</v>
      </c>
      <c r="BR11" s="132">
        <v>4.9547790000000003</v>
      </c>
      <c r="BS11" s="132">
        <v>9.9817719999999994</v>
      </c>
      <c r="BT11" s="132">
        <v>9.9817719999999994</v>
      </c>
      <c r="BU11" s="132">
        <v>13.015485999999999</v>
      </c>
      <c r="BV11" s="132">
        <v>13.015485999999999</v>
      </c>
      <c r="BW11" s="132">
        <v>13.015485999999999</v>
      </c>
      <c r="BX11" s="132">
        <v>13.015485999999999</v>
      </c>
      <c r="BY11" s="132">
        <v>47.808205999999998</v>
      </c>
      <c r="BZ11" s="132">
        <v>47.808205999999998</v>
      </c>
      <c r="CA11" s="132">
        <v>47.808205999999998</v>
      </c>
      <c r="CB11" s="132">
        <v>47.808205999999998</v>
      </c>
      <c r="CC11" s="132">
        <v>49.938370999999997</v>
      </c>
      <c r="CD11" s="132">
        <v>102.26879</v>
      </c>
      <c r="CE11" s="132">
        <v>0</v>
      </c>
      <c r="CF11" s="132">
        <v>0</v>
      </c>
      <c r="CG11" s="132">
        <v>0</v>
      </c>
      <c r="CH11" s="132">
        <v>0</v>
      </c>
      <c r="CI11" s="132">
        <v>16.314492000000001</v>
      </c>
      <c r="CJ11" s="132">
        <v>24.747869999999999</v>
      </c>
      <c r="CK11" s="132">
        <v>24.747869999999999</v>
      </c>
      <c r="CL11" s="132">
        <v>24.747869999999999</v>
      </c>
      <c r="CM11" s="132">
        <v>24.747869999999999</v>
      </c>
      <c r="CN11" s="132">
        <v>33.359521999999998</v>
      </c>
      <c r="CO11" s="132">
        <v>42.225949</v>
      </c>
      <c r="CP11" s="132">
        <v>42.294739</v>
      </c>
      <c r="CQ11" s="132">
        <v>102.454229</v>
      </c>
      <c r="CR11" s="132">
        <v>102.454229</v>
      </c>
      <c r="CS11" s="132">
        <v>0</v>
      </c>
      <c r="CT11" s="132">
        <v>8.9586699999999997</v>
      </c>
      <c r="CU11" s="132">
        <v>9.5605440000000002</v>
      </c>
      <c r="CV11" s="132">
        <v>9.6256380000000004</v>
      </c>
      <c r="CW11" s="132">
        <v>9.6256380000000004</v>
      </c>
      <c r="CX11" s="132">
        <v>19.156794000000001</v>
      </c>
      <c r="CY11" s="132">
        <v>19.156794000000001</v>
      </c>
      <c r="CZ11" s="132">
        <v>19.156794000000001</v>
      </c>
      <c r="DA11" s="132">
        <v>19.156794000000001</v>
      </c>
      <c r="DB11" s="132">
        <v>19.156794000000001</v>
      </c>
      <c r="DC11" s="132">
        <v>19.156794000000001</v>
      </c>
      <c r="DD11" s="132">
        <v>41.138534999999997</v>
      </c>
      <c r="DE11" s="132">
        <v>96</v>
      </c>
      <c r="DF11" s="132">
        <v>96</v>
      </c>
      <c r="DG11" s="132">
        <v>0.56677599999999995</v>
      </c>
      <c r="DH11" s="132">
        <v>0.56677599999999995</v>
      </c>
      <c r="DI11" s="132">
        <v>0.56677599999999995</v>
      </c>
      <c r="DJ11" s="132">
        <v>0.56677599999999995</v>
      </c>
      <c r="DK11" s="132">
        <v>0.56677599999999995</v>
      </c>
      <c r="DL11" s="132">
        <v>0.56677599999999995</v>
      </c>
      <c r="DM11" s="132">
        <v>13.625446999999999</v>
      </c>
      <c r="DN11" s="132">
        <v>23.416903999999999</v>
      </c>
      <c r="DO11" s="132">
        <v>23.416903999999999</v>
      </c>
      <c r="DP11" s="132">
        <v>23.416903999999999</v>
      </c>
      <c r="DQ11" s="132">
        <v>23.416903999999999</v>
      </c>
      <c r="DR11" s="132">
        <v>47.593181000000001</v>
      </c>
      <c r="DS11" s="132">
        <f>+' AI _Execução Despesas jul'!C13/1000000</f>
        <v>96.110540999999998</v>
      </c>
      <c r="DT11" s="132">
        <v>97.810541000000001</v>
      </c>
      <c r="DU11" s="132">
        <v>0</v>
      </c>
      <c r="DV11" s="132">
        <v>0</v>
      </c>
      <c r="DW11" s="132">
        <v>0</v>
      </c>
      <c r="DX11" s="132">
        <v>10.664903000000001</v>
      </c>
      <c r="DY11" s="132">
        <v>10.664903000000001</v>
      </c>
      <c r="DZ11" s="132">
        <v>10.855708999999999</v>
      </c>
      <c r="EA11" s="132">
        <f>+' AI _Execução Despesas jul'!$F$13/1000000</f>
        <v>10.855708999999999</v>
      </c>
      <c r="EB11" s="133"/>
      <c r="EC11" s="133"/>
      <c r="ED11" s="133"/>
      <c r="EE11" s="133"/>
      <c r="EF11" s="133"/>
      <c r="EG11" s="134">
        <f t="shared" si="0"/>
        <v>11.098710720759636</v>
      </c>
      <c r="EH11" s="134">
        <f t="shared" si="1"/>
        <v>-20.327685396302964</v>
      </c>
      <c r="EI11" s="971">
        <f t="shared" si="2"/>
        <v>-2.7697380000000003</v>
      </c>
    </row>
    <row r="12" spans="1:148" ht="15" customHeight="1">
      <c r="A12" s="105" t="s">
        <v>100</v>
      </c>
      <c r="B12" s="132">
        <v>438.512</v>
      </c>
      <c r="C12" s="132">
        <v>6.9593340000000001</v>
      </c>
      <c r="D12" s="132">
        <v>17.252001</v>
      </c>
      <c r="E12" s="132">
        <v>21.294668000000001</v>
      </c>
      <c r="F12" s="132">
        <v>25.337334999999999</v>
      </c>
      <c r="G12" s="132">
        <v>176.32123000000001</v>
      </c>
      <c r="H12" s="132">
        <v>179.56122999999999</v>
      </c>
      <c r="I12" s="132">
        <v>193.47989799999999</v>
      </c>
      <c r="J12" s="132">
        <v>203.92856399999999</v>
      </c>
      <c r="K12" s="132">
        <v>210.88789800000001</v>
      </c>
      <c r="L12" s="132">
        <v>233.04165800000001</v>
      </c>
      <c r="M12" s="132">
        <v>250.000992</v>
      </c>
      <c r="N12" s="132">
        <v>274.46032600000001</v>
      </c>
      <c r="O12" s="132">
        <v>450.24197400000003</v>
      </c>
      <c r="P12" s="132">
        <v>16.959333999999998</v>
      </c>
      <c r="Q12" s="132">
        <v>31.418668</v>
      </c>
      <c r="R12" s="132">
        <v>38.378002000000002</v>
      </c>
      <c r="S12" s="132">
        <v>38.378002000000002</v>
      </c>
      <c r="T12" s="132">
        <v>52.296669999999999</v>
      </c>
      <c r="U12" s="132">
        <v>59.256003999999997</v>
      </c>
      <c r="V12" s="132">
        <v>66.215338000000003</v>
      </c>
      <c r="W12" s="132">
        <v>73.174672000000001</v>
      </c>
      <c r="X12" s="132">
        <v>80.134005999999999</v>
      </c>
      <c r="Y12" s="132">
        <v>87.093339999999998</v>
      </c>
      <c r="Z12" s="132">
        <v>94.052673999999996</v>
      </c>
      <c r="AA12" s="132">
        <v>101.012</v>
      </c>
      <c r="AB12" s="132">
        <v>170.241974</v>
      </c>
      <c r="AC12" s="132">
        <v>0</v>
      </c>
      <c r="AD12" s="132">
        <v>10.159333999999999</v>
      </c>
      <c r="AE12" s="132">
        <v>29.422190000000001</v>
      </c>
      <c r="AF12" s="132">
        <v>34.987014000000002</v>
      </c>
      <c r="AG12" s="132">
        <v>48.982795000000003</v>
      </c>
      <c r="AH12" s="132">
        <v>55.942129000000001</v>
      </c>
      <c r="AI12" s="132">
        <v>64.914741000000006</v>
      </c>
      <c r="AJ12" s="132">
        <v>71.874075000000005</v>
      </c>
      <c r="AK12" s="132">
        <v>80.853408999999999</v>
      </c>
      <c r="AL12" s="132">
        <v>89.412743000000006</v>
      </c>
      <c r="AM12" s="132">
        <v>96.372077000000004</v>
      </c>
      <c r="AN12" s="132">
        <v>106.525159</v>
      </c>
      <c r="AO12" s="132">
        <v>97</v>
      </c>
      <c r="AP12" s="132">
        <v>6.9593340000000001</v>
      </c>
      <c r="AQ12" s="132">
        <v>6.9593340000000001</v>
      </c>
      <c r="AR12" s="132">
        <v>20.878001999999999</v>
      </c>
      <c r="AS12" s="132">
        <v>45.215645000000002</v>
      </c>
      <c r="AT12" s="132">
        <v>54.000643000000004</v>
      </c>
      <c r="AU12" s="132">
        <v>74.880630999999994</v>
      </c>
      <c r="AV12" s="132">
        <v>102.732079</v>
      </c>
      <c r="AW12" s="132">
        <v>114.580443</v>
      </c>
      <c r="AX12" s="132">
        <v>127.391746</v>
      </c>
      <c r="AY12" s="132">
        <v>134.35108</v>
      </c>
      <c r="AZ12" s="132">
        <v>141.31041400000001</v>
      </c>
      <c r="BA12" s="132">
        <v>161.27067100000002</v>
      </c>
      <c r="BB12" s="132">
        <v>245.58922799999999</v>
      </c>
      <c r="BC12" s="132">
        <v>159.96068500000001</v>
      </c>
      <c r="BD12" s="132">
        <v>7.1563340000000002</v>
      </c>
      <c r="BE12" s="132">
        <v>18.365641</v>
      </c>
      <c r="BF12" s="132">
        <v>37.968665000000001</v>
      </c>
      <c r="BG12" s="132">
        <v>86.887331000000003</v>
      </c>
      <c r="BH12" s="132">
        <v>86.887331000000003</v>
      </c>
      <c r="BI12" s="132">
        <v>96.641090000000005</v>
      </c>
      <c r="BJ12" s="132">
        <v>111.092564</v>
      </c>
      <c r="BK12" s="132">
        <v>129.381989</v>
      </c>
      <c r="BL12" s="132">
        <v>136.34132199999999</v>
      </c>
      <c r="BM12" s="132">
        <v>145.84067100000001</v>
      </c>
      <c r="BN12" s="132">
        <v>152.800004</v>
      </c>
      <c r="BO12" s="132">
        <v>166.95046099999999</v>
      </c>
      <c r="BP12" s="132">
        <v>232.57962600000002</v>
      </c>
      <c r="BQ12" s="132">
        <v>232.57962600000002</v>
      </c>
      <c r="BR12" s="132">
        <v>9.0593330000000005</v>
      </c>
      <c r="BS12" s="132">
        <v>16.936070000000001</v>
      </c>
      <c r="BT12" s="132">
        <v>35.400793</v>
      </c>
      <c r="BU12" s="132">
        <v>42.360126000000001</v>
      </c>
      <c r="BV12" s="132">
        <v>55.199458999999997</v>
      </c>
      <c r="BW12" s="132">
        <v>59.242125999999999</v>
      </c>
      <c r="BX12" s="132">
        <v>64.584793000000005</v>
      </c>
      <c r="BY12" s="132">
        <v>73.157599000000005</v>
      </c>
      <c r="BZ12" s="132">
        <v>84.850404999999995</v>
      </c>
      <c r="CA12" s="132">
        <v>94.223211000000006</v>
      </c>
      <c r="CB12" s="132">
        <v>98.265878000000001</v>
      </c>
      <c r="CC12" s="132">
        <v>124.076301</v>
      </c>
      <c r="CD12" s="132">
        <v>252.67362600000001</v>
      </c>
      <c r="CE12" s="132">
        <v>8.5426669999999998</v>
      </c>
      <c r="CF12" s="132">
        <v>17.085334</v>
      </c>
      <c r="CG12" s="132">
        <v>27.448001000000001</v>
      </c>
      <c r="CH12" s="132">
        <v>35.990667999999999</v>
      </c>
      <c r="CI12" s="132">
        <v>44.533335000000001</v>
      </c>
      <c r="CJ12" s="132">
        <v>54.817971999999997</v>
      </c>
      <c r="CK12" s="132">
        <v>71.473288999999994</v>
      </c>
      <c r="CL12" s="132">
        <v>84.443755999999993</v>
      </c>
      <c r="CM12" s="132">
        <v>120.901833</v>
      </c>
      <c r="CN12" s="132">
        <v>134.46449999999999</v>
      </c>
      <c r="CO12" s="132">
        <v>143.50716700000001</v>
      </c>
      <c r="CP12" s="132">
        <v>152.54982999999999</v>
      </c>
      <c r="CQ12" s="132">
        <v>578.96722</v>
      </c>
      <c r="CR12" s="132">
        <v>578.96722</v>
      </c>
      <c r="CS12" s="132">
        <v>9.0426669999999998</v>
      </c>
      <c r="CT12" s="132">
        <v>18.085334</v>
      </c>
      <c r="CU12" s="132">
        <v>33.139133000000001</v>
      </c>
      <c r="CV12" s="132">
        <v>42.321800000000003</v>
      </c>
      <c r="CW12" s="132">
        <v>60.135891000000001</v>
      </c>
      <c r="CX12" s="132">
        <v>69.178557999999995</v>
      </c>
      <c r="CY12" s="132">
        <v>79.721225000000004</v>
      </c>
      <c r="CZ12" s="132">
        <v>123.61389200000001</v>
      </c>
      <c r="DA12" s="132">
        <v>132.65655899999999</v>
      </c>
      <c r="DB12" s="132">
        <v>141.99922599999999</v>
      </c>
      <c r="DC12" s="132">
        <v>151.04189299999999</v>
      </c>
      <c r="DD12" s="132">
        <v>160.08456000000001</v>
      </c>
      <c r="DE12" s="132">
        <v>728.98601099999996</v>
      </c>
      <c r="DF12" s="132">
        <v>890.90100800000005</v>
      </c>
      <c r="DG12" s="132">
        <v>9.0426669999999998</v>
      </c>
      <c r="DH12" s="132">
        <v>69.832317000000003</v>
      </c>
      <c r="DI12" s="132">
        <v>91.308252999999993</v>
      </c>
      <c r="DJ12" s="132">
        <v>200.35092</v>
      </c>
      <c r="DK12" s="132">
        <v>209.393587</v>
      </c>
      <c r="DL12" s="132">
        <v>275.73625399999997</v>
      </c>
      <c r="DM12" s="132">
        <v>339.77892100000003</v>
      </c>
      <c r="DN12" s="132">
        <v>293.82158800000002</v>
      </c>
      <c r="DO12" s="132">
        <v>410.24538799999999</v>
      </c>
      <c r="DP12" s="132">
        <v>444.28805499999999</v>
      </c>
      <c r="DQ12" s="132">
        <v>573.33072200000004</v>
      </c>
      <c r="DR12" s="132">
        <v>628.24989900000003</v>
      </c>
      <c r="DS12" s="132">
        <f>+' AI _Execução Despesas jul'!C17/1000000</f>
        <v>628.54395599999998</v>
      </c>
      <c r="DT12" s="132">
        <v>1115.847698</v>
      </c>
      <c r="DU12" s="132">
        <v>9.0426669999999998</v>
      </c>
      <c r="DV12" s="132">
        <v>69.395133999999999</v>
      </c>
      <c r="DW12" s="132">
        <v>104.747601</v>
      </c>
      <c r="DX12" s="132">
        <v>529.18600600000002</v>
      </c>
      <c r="DY12" s="132">
        <v>569.53847299999995</v>
      </c>
      <c r="DZ12" s="132">
        <v>599.89094</v>
      </c>
      <c r="EA12" s="132">
        <f>+' AI _Execução Despesas jul'!$F$17/1000000</f>
        <v>690.24340700000005</v>
      </c>
      <c r="EB12" s="133"/>
      <c r="EC12" s="133"/>
      <c r="ED12" s="133"/>
      <c r="EE12" s="133"/>
      <c r="EF12" s="133"/>
      <c r="EG12" s="134">
        <f t="shared" si="0"/>
        <v>61.858209524217713</v>
      </c>
      <c r="EH12" s="134">
        <f t="shared" si="1"/>
        <v>103.14485812379162</v>
      </c>
      <c r="EI12" s="971">
        <f t="shared" si="2"/>
        <v>350.46448600000002</v>
      </c>
    </row>
    <row r="13" spans="1:148" ht="15" customHeight="1">
      <c r="A13" s="105" t="s">
        <v>101</v>
      </c>
      <c r="B13" s="132">
        <v>4495.5618694204004</v>
      </c>
      <c r="C13" s="132">
        <v>258.437073</v>
      </c>
      <c r="D13" s="132">
        <v>535.25861700000007</v>
      </c>
      <c r="E13" s="132">
        <v>887.88210599999991</v>
      </c>
      <c r="F13" s="132">
        <v>1190.952978</v>
      </c>
      <c r="G13" s="132">
        <v>1572.2391180000002</v>
      </c>
      <c r="H13" s="132">
        <v>1689.538168</v>
      </c>
      <c r="I13" s="132">
        <v>2041.7438970000001</v>
      </c>
      <c r="J13" s="132">
        <v>2526.3130249999999</v>
      </c>
      <c r="K13" s="132">
        <v>2827.9194630000002</v>
      </c>
      <c r="L13" s="132">
        <v>3247.5760989999999</v>
      </c>
      <c r="M13" s="132">
        <v>3563.3703630000005</v>
      </c>
      <c r="N13" s="132">
        <v>3909.9548009999999</v>
      </c>
      <c r="O13" s="132">
        <v>4636.7396239999998</v>
      </c>
      <c r="P13" s="132">
        <v>286.39060000000001</v>
      </c>
      <c r="Q13" s="132">
        <v>559.06560500000001</v>
      </c>
      <c r="R13" s="132">
        <v>899.36783100000002</v>
      </c>
      <c r="S13" s="132">
        <v>958.41321600000003</v>
      </c>
      <c r="T13" s="132">
        <v>1544.1208839999999</v>
      </c>
      <c r="U13" s="132">
        <v>1871.2527495278066</v>
      </c>
      <c r="V13" s="132">
        <v>2211.604292</v>
      </c>
      <c r="W13" s="132">
        <v>2534.3686889999999</v>
      </c>
      <c r="X13" s="132">
        <v>2882.9289720000002</v>
      </c>
      <c r="Y13" s="132">
        <v>3233.2274630000002</v>
      </c>
      <c r="Z13" s="132">
        <v>3549.0192539999998</v>
      </c>
      <c r="AA13" s="132">
        <v>4074.4664990000001</v>
      </c>
      <c r="AB13" s="132">
        <v>5370.6789662297106</v>
      </c>
      <c r="AC13" s="132">
        <v>269.416045</v>
      </c>
      <c r="AD13" s="132">
        <v>567.38669500000003</v>
      </c>
      <c r="AE13" s="132">
        <v>861.00159899999994</v>
      </c>
      <c r="AF13" s="132">
        <v>1209.0652239999999</v>
      </c>
      <c r="AG13" s="132">
        <v>1578.2776529999999</v>
      </c>
      <c r="AH13" s="132">
        <v>1906.3547570000001</v>
      </c>
      <c r="AI13" s="132">
        <v>2377.2549719999997</v>
      </c>
      <c r="AJ13" s="132">
        <v>2706.1716820000001</v>
      </c>
      <c r="AK13" s="132">
        <v>2873</v>
      </c>
      <c r="AL13" s="132">
        <v>3468.475058</v>
      </c>
      <c r="AM13" s="132">
        <v>3809.5305439999997</v>
      </c>
      <c r="AN13" s="132">
        <v>4389.2856759999995</v>
      </c>
      <c r="AO13" s="132">
        <v>5185.0930259999996</v>
      </c>
      <c r="AP13" s="132">
        <v>329.79077999999998</v>
      </c>
      <c r="AQ13" s="132">
        <v>659.09181899999999</v>
      </c>
      <c r="AR13" s="132">
        <v>1030.695052418333</v>
      </c>
      <c r="AS13" s="132">
        <v>1494.3484080000001</v>
      </c>
      <c r="AT13" s="132">
        <v>1856.4412050000001</v>
      </c>
      <c r="AU13" s="132">
        <v>2425.4286023332329</v>
      </c>
      <c r="AV13" s="132">
        <v>2694.56619</v>
      </c>
      <c r="AW13" s="132">
        <v>3124.9822280000003</v>
      </c>
      <c r="AX13" s="132">
        <v>3392.2941659577159</v>
      </c>
      <c r="AY13" s="132">
        <v>3802.6685329999996</v>
      </c>
      <c r="AZ13" s="132">
        <v>4168.8426520000003</v>
      </c>
      <c r="BA13" s="132">
        <v>4754.699834</v>
      </c>
      <c r="BB13" s="132">
        <v>6265.1496420000003</v>
      </c>
      <c r="BC13" s="132">
        <v>4903.4316044899997</v>
      </c>
      <c r="BD13" s="132">
        <v>277.273031</v>
      </c>
      <c r="BE13" s="132">
        <v>674.70480499999996</v>
      </c>
      <c r="BF13" s="132">
        <v>1241.8333602918242</v>
      </c>
      <c r="BG13" s="132">
        <v>1960.2146940099999</v>
      </c>
      <c r="BH13" s="132">
        <v>1919.2645084300002</v>
      </c>
      <c r="BI13" s="132">
        <v>2275.4123054299998</v>
      </c>
      <c r="BJ13" s="132">
        <v>2642.89860249</v>
      </c>
      <c r="BK13" s="132">
        <v>3063.1557644899999</v>
      </c>
      <c r="BL13" s="132">
        <v>3604.0848386861067</v>
      </c>
      <c r="BM13" s="132">
        <v>3837.9933844900002</v>
      </c>
      <c r="BN13" s="132">
        <v>4198.5020974900008</v>
      </c>
      <c r="BO13" s="132">
        <v>4895.38570549</v>
      </c>
      <c r="BP13" s="132">
        <v>6078.4196014499994</v>
      </c>
      <c r="BQ13" s="132">
        <v>6078.4196014499994</v>
      </c>
      <c r="BR13" s="132">
        <v>291.521725</v>
      </c>
      <c r="BS13" s="132">
        <v>622.6170709999999</v>
      </c>
      <c r="BT13" s="132">
        <v>1021.2130569999999</v>
      </c>
      <c r="BU13" s="132">
        <v>1371.4494420000001</v>
      </c>
      <c r="BV13" s="132">
        <v>1703.0140060000001</v>
      </c>
      <c r="BW13" s="132">
        <v>2108.380836982567</v>
      </c>
      <c r="BX13" s="132">
        <v>2412.4124220000003</v>
      </c>
      <c r="BY13" s="132">
        <v>2815.9075940000002</v>
      </c>
      <c r="BZ13" s="132">
        <v>3349.7844698567578</v>
      </c>
      <c r="CA13" s="132">
        <v>3638.7283520000001</v>
      </c>
      <c r="CB13" s="132">
        <v>4066.6043209999998</v>
      </c>
      <c r="CC13" s="132">
        <v>6001.3392239999994</v>
      </c>
      <c r="CD13" s="132">
        <v>6920.5577835399999</v>
      </c>
      <c r="CE13" s="132">
        <v>471.38994099999996</v>
      </c>
      <c r="CF13" s="132">
        <v>818.019183</v>
      </c>
      <c r="CG13" s="132">
        <v>1254.788305</v>
      </c>
      <c r="CH13" s="132">
        <v>1631.6704579350001</v>
      </c>
      <c r="CI13" s="132">
        <v>2066.0503450000001</v>
      </c>
      <c r="CJ13" s="132">
        <v>2565.5676269999999</v>
      </c>
      <c r="CK13" s="132">
        <v>2594.6796516483441</v>
      </c>
      <c r="CL13" s="132">
        <v>3540.0819379999998</v>
      </c>
      <c r="CM13" s="132">
        <v>4149.0743149999998</v>
      </c>
      <c r="CN13" s="132">
        <v>4557.5688960000007</v>
      </c>
      <c r="CO13" s="132">
        <v>5313.1979039999997</v>
      </c>
      <c r="CP13" s="132">
        <v>6344.759556</v>
      </c>
      <c r="CQ13" s="132">
        <v>6155.8846055700005</v>
      </c>
      <c r="CR13" s="132">
        <v>6155.8846055700005</v>
      </c>
      <c r="CS13" s="132">
        <v>310.62248799999998</v>
      </c>
      <c r="CT13" s="132">
        <v>721.93018299999994</v>
      </c>
      <c r="CU13" s="132">
        <v>1208.7757859999999</v>
      </c>
      <c r="CV13" s="132">
        <v>1707.330956</v>
      </c>
      <c r="CW13" s="132">
        <v>2216.4719279999999</v>
      </c>
      <c r="CX13" s="132">
        <v>2651.3312960000003</v>
      </c>
      <c r="CY13" s="132">
        <v>3172.7659960000005</v>
      </c>
      <c r="CZ13" s="132">
        <v>3651.195174</v>
      </c>
      <c r="DA13" s="132">
        <v>4136.9074689999998</v>
      </c>
      <c r="DB13" s="132">
        <v>4628.5088949999999</v>
      </c>
      <c r="DC13" s="132">
        <v>5115.1454640000002</v>
      </c>
      <c r="DD13" s="132">
        <v>6041.0864980000006</v>
      </c>
      <c r="DE13" s="132">
        <v>7013.3922520850001</v>
      </c>
      <c r="DF13" s="132">
        <v>8071.996631</v>
      </c>
      <c r="DG13" s="132">
        <v>364.94490300000001</v>
      </c>
      <c r="DH13" s="132">
        <v>933.26432399999999</v>
      </c>
      <c r="DI13" s="132">
        <v>1441.326656</v>
      </c>
      <c r="DJ13" s="132">
        <v>1900.619631</v>
      </c>
      <c r="DK13" s="132">
        <v>2313.0668479999999</v>
      </c>
      <c r="DL13" s="132">
        <v>2809.3614170000001</v>
      </c>
      <c r="DM13" s="132">
        <v>3317.3432330000001</v>
      </c>
      <c r="DN13" s="132">
        <v>3926.5131569999994</v>
      </c>
      <c r="DO13" s="132">
        <v>4513.7310109999999</v>
      </c>
      <c r="DP13" s="132">
        <v>5097.0330909999993</v>
      </c>
      <c r="DQ13" s="132">
        <v>5734.4859480000005</v>
      </c>
      <c r="DR13" s="132">
        <v>6481.6380339999996</v>
      </c>
      <c r="DS13" s="132">
        <f>+DS14+DS15+DS16</f>
        <v>7388.8962700000002</v>
      </c>
      <c r="DT13" s="132">
        <f>+DT14+DT15+DT16</f>
        <v>7846.673785</v>
      </c>
      <c r="DU13" s="132">
        <v>386.22414499999996</v>
      </c>
      <c r="DV13" s="132">
        <v>935.360499</v>
      </c>
      <c r="DW13" s="132">
        <v>1352.1162340000001</v>
      </c>
      <c r="DX13" s="132">
        <v>1810.2053599999999</v>
      </c>
      <c r="DY13" s="132">
        <v>2252.2015739999997</v>
      </c>
      <c r="DZ13" s="132">
        <f>+DZ14+DZ15+DZ16</f>
        <v>2643.7914350000001</v>
      </c>
      <c r="EA13" s="132">
        <f>+EA14+EA15+EA16</f>
        <v>3084.0779510000002</v>
      </c>
      <c r="EB13" s="133"/>
      <c r="EC13" s="133"/>
      <c r="ED13" s="133"/>
      <c r="EE13" s="133"/>
      <c r="EF13" s="133"/>
      <c r="EG13" s="134">
        <f t="shared" si="0"/>
        <v>39.304271281108193</v>
      </c>
      <c r="EH13" s="134">
        <f t="shared" si="1"/>
        <v>-7.0316896870827872</v>
      </c>
      <c r="EI13" s="971">
        <f t="shared" si="2"/>
        <v>-233.26528199999984</v>
      </c>
    </row>
    <row r="14" spans="1:148" ht="15" customHeight="1">
      <c r="A14" s="105" t="s">
        <v>102</v>
      </c>
      <c r="B14" s="132">
        <v>0</v>
      </c>
      <c r="C14" s="132">
        <v>0</v>
      </c>
      <c r="D14" s="132">
        <v>0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0</v>
      </c>
      <c r="N14" s="132">
        <v>0</v>
      </c>
      <c r="O14" s="132">
        <v>0</v>
      </c>
      <c r="P14" s="132">
        <v>0</v>
      </c>
      <c r="Q14" s="132">
        <v>0</v>
      </c>
      <c r="R14" s="132">
        <v>0</v>
      </c>
      <c r="S14" s="132">
        <v>0</v>
      </c>
      <c r="T14" s="132">
        <v>0</v>
      </c>
      <c r="U14" s="132">
        <v>0</v>
      </c>
      <c r="V14" s="132">
        <v>0</v>
      </c>
      <c r="W14" s="132">
        <v>0</v>
      </c>
      <c r="X14" s="132">
        <v>0</v>
      </c>
      <c r="Y14" s="132">
        <v>0</v>
      </c>
      <c r="Z14" s="132">
        <v>0</v>
      </c>
      <c r="AA14" s="132">
        <v>0</v>
      </c>
      <c r="AB14" s="132">
        <v>0</v>
      </c>
      <c r="AC14" s="132">
        <v>0</v>
      </c>
      <c r="AD14" s="132">
        <v>0</v>
      </c>
      <c r="AE14" s="132">
        <v>0</v>
      </c>
      <c r="AF14" s="132">
        <v>0</v>
      </c>
      <c r="AG14" s="132">
        <v>0</v>
      </c>
      <c r="AH14" s="132">
        <v>0</v>
      </c>
      <c r="AI14" s="132">
        <v>0</v>
      </c>
      <c r="AJ14" s="132">
        <v>0</v>
      </c>
      <c r="AK14" s="132">
        <v>0</v>
      </c>
      <c r="AL14" s="132">
        <v>0</v>
      </c>
      <c r="AM14" s="132">
        <v>0</v>
      </c>
      <c r="AN14" s="132">
        <v>0</v>
      </c>
      <c r="AO14" s="132">
        <v>0</v>
      </c>
      <c r="AP14" s="132">
        <v>0</v>
      </c>
      <c r="AQ14" s="132">
        <v>0</v>
      </c>
      <c r="AR14" s="132">
        <v>0</v>
      </c>
      <c r="AS14" s="132">
        <v>0</v>
      </c>
      <c r="AT14" s="132">
        <v>0</v>
      </c>
      <c r="AU14" s="132">
        <v>0</v>
      </c>
      <c r="AV14" s="132">
        <v>0</v>
      </c>
      <c r="AW14" s="132">
        <v>0</v>
      </c>
      <c r="AX14" s="132">
        <v>0</v>
      </c>
      <c r="AY14" s="132">
        <v>0</v>
      </c>
      <c r="AZ14" s="132">
        <v>0</v>
      </c>
      <c r="BA14" s="132">
        <v>0</v>
      </c>
      <c r="BB14" s="132">
        <v>0</v>
      </c>
      <c r="BC14" s="132">
        <v>0</v>
      </c>
      <c r="BD14" s="132">
        <v>0</v>
      </c>
      <c r="BE14" s="132">
        <v>0</v>
      </c>
      <c r="BF14" s="132">
        <v>0</v>
      </c>
      <c r="BG14" s="132">
        <v>0</v>
      </c>
      <c r="BH14" s="132">
        <v>0</v>
      </c>
      <c r="BI14" s="132">
        <v>0</v>
      </c>
      <c r="BJ14" s="132">
        <v>0</v>
      </c>
      <c r="BK14" s="132">
        <v>0</v>
      </c>
      <c r="BL14" s="132">
        <v>0</v>
      </c>
      <c r="BM14" s="132">
        <v>0</v>
      </c>
      <c r="BN14" s="132">
        <v>0</v>
      </c>
      <c r="BO14" s="132">
        <v>220.45531399999999</v>
      </c>
      <c r="BP14" s="132">
        <v>0</v>
      </c>
      <c r="BQ14" s="132">
        <v>0</v>
      </c>
      <c r="BR14" s="132">
        <v>0</v>
      </c>
      <c r="BS14" s="132">
        <v>0.25890000000000002</v>
      </c>
      <c r="BT14" s="132">
        <v>0</v>
      </c>
      <c r="BU14" s="132">
        <v>0.25890000000000002</v>
      </c>
      <c r="BV14" s="132">
        <v>9.7411849999999998</v>
      </c>
      <c r="BW14" s="132">
        <v>0</v>
      </c>
      <c r="BX14" s="132">
        <v>0</v>
      </c>
      <c r="BY14" s="132">
        <v>0</v>
      </c>
      <c r="BZ14" s="132">
        <v>0</v>
      </c>
      <c r="CA14" s="132">
        <v>0</v>
      </c>
      <c r="CB14" s="132">
        <v>26.5246</v>
      </c>
      <c r="CC14" s="132">
        <v>68.362195999999997</v>
      </c>
      <c r="CD14" s="132">
        <v>142.202865</v>
      </c>
      <c r="CE14" s="132">
        <v>0</v>
      </c>
      <c r="CF14" s="132">
        <v>0</v>
      </c>
      <c r="CG14" s="132">
        <v>0.15</v>
      </c>
      <c r="CH14" s="132">
        <v>12.369300000000001</v>
      </c>
      <c r="CI14" s="132">
        <v>12.369300000000001</v>
      </c>
      <c r="CJ14" s="132">
        <v>0</v>
      </c>
      <c r="CK14" s="132">
        <v>0.25</v>
      </c>
      <c r="CL14" s="132">
        <v>17.979150000000001</v>
      </c>
      <c r="CM14" s="132">
        <v>0</v>
      </c>
      <c r="CN14" s="132">
        <v>19.106760000000001</v>
      </c>
      <c r="CO14" s="132">
        <v>29.242787</v>
      </c>
      <c r="CP14" s="132">
        <v>163.86076300000002</v>
      </c>
      <c r="CQ14" s="132">
        <v>217.20394900000002</v>
      </c>
      <c r="CR14" s="132">
        <v>217.20394900000002</v>
      </c>
      <c r="CS14" s="132">
        <v>5.0552840000000003</v>
      </c>
      <c r="CT14" s="132">
        <v>11.923133999999999</v>
      </c>
      <c r="CU14" s="132">
        <v>0.1</v>
      </c>
      <c r="CV14" s="132">
        <v>13.499134</v>
      </c>
      <c r="CW14" s="132">
        <v>22.470523999999997</v>
      </c>
      <c r="CX14" s="132">
        <v>0</v>
      </c>
      <c r="CY14" s="132">
        <v>33.464252000000002</v>
      </c>
      <c r="CZ14" s="132">
        <v>38.599912000000003</v>
      </c>
      <c r="DA14" s="132">
        <v>0</v>
      </c>
      <c r="DB14" s="132">
        <v>41.305466000000003</v>
      </c>
      <c r="DC14" s="132">
        <v>73.756112000000002</v>
      </c>
      <c r="DD14" s="132">
        <v>168.91045899999997</v>
      </c>
      <c r="DE14" s="132">
        <v>211.23639700000001</v>
      </c>
      <c r="DF14" s="132">
        <v>819.71066299999995</v>
      </c>
      <c r="DG14" s="132">
        <v>0</v>
      </c>
      <c r="DH14" s="132">
        <v>13.581277999999999</v>
      </c>
      <c r="DI14" s="132">
        <v>28.458438000000001</v>
      </c>
      <c r="DJ14" s="132">
        <v>28.458438000000001</v>
      </c>
      <c r="DK14" s="132">
        <v>35.700873999999999</v>
      </c>
      <c r="DL14" s="132">
        <v>40.336587999999999</v>
      </c>
      <c r="DM14" s="132">
        <v>52.252276000000002</v>
      </c>
      <c r="DN14" s="132">
        <v>56.549731000000001</v>
      </c>
      <c r="DO14" s="132">
        <v>64.007723999999996</v>
      </c>
      <c r="DP14" s="132">
        <v>65.895702999999997</v>
      </c>
      <c r="DQ14" s="132">
        <v>87.995702999999992</v>
      </c>
      <c r="DR14" s="132">
        <v>0</v>
      </c>
      <c r="DS14" s="132">
        <f>+' AI _Execução Despesas jul'!C18/1000000</f>
        <v>433.472488</v>
      </c>
      <c r="DT14" s="132">
        <v>1187.736165</v>
      </c>
      <c r="DU14" s="132">
        <v>1.4838640000000001</v>
      </c>
      <c r="DV14" s="132">
        <v>2.5382410000000002</v>
      </c>
      <c r="DW14" s="132">
        <v>8.3241499999999995</v>
      </c>
      <c r="DX14" s="132">
        <v>8.6321359999999991</v>
      </c>
      <c r="DY14" s="132">
        <v>15.823696999999999</v>
      </c>
      <c r="DZ14" s="132">
        <v>28.709686000000001</v>
      </c>
      <c r="EA14" s="132">
        <f>+' AI _Execução Despesas jul'!$F$18/1000000</f>
        <v>33.052638999999999</v>
      </c>
      <c r="EB14" s="132">
        <f>+' AI _Execução Despesas jul'!$F$18/1000000</f>
        <v>33.052638999999999</v>
      </c>
      <c r="EC14" s="132">
        <f>+' AI _Execução Despesas jul'!$F$18/1000000</f>
        <v>33.052638999999999</v>
      </c>
      <c r="ED14" s="132">
        <f>+' AI _Execução Despesas jul'!$F$18/1000000</f>
        <v>33.052638999999999</v>
      </c>
      <c r="EE14" s="132">
        <f>+' AI _Execução Despesas jul'!$F$18/1000000</f>
        <v>33.052638999999999</v>
      </c>
      <c r="EF14" s="132">
        <f>+' AI _Execução Despesas jul'!$F$18/1000000</f>
        <v>33.052638999999999</v>
      </c>
      <c r="EG14" s="134">
        <f t="shared" si="0"/>
        <v>2.7828266894609541</v>
      </c>
      <c r="EH14" s="134">
        <f t="shared" si="1"/>
        <v>-36.744116179743067</v>
      </c>
      <c r="EI14" s="971">
        <f t="shared" si="2"/>
        <v>-19.199637000000003</v>
      </c>
    </row>
    <row r="15" spans="1:148" ht="15" customHeight="1">
      <c r="A15" s="79" t="s">
        <v>103</v>
      </c>
      <c r="B15" s="132">
        <v>364.46487200000001</v>
      </c>
      <c r="C15" s="132">
        <v>15.604043000000001</v>
      </c>
      <c r="D15" s="132">
        <v>15.604043000000001</v>
      </c>
      <c r="E15" s="132">
        <v>27.182010999999999</v>
      </c>
      <c r="F15" s="132">
        <v>31.646155999999998</v>
      </c>
      <c r="G15" s="132">
        <v>31.646155999999998</v>
      </c>
      <c r="H15" s="132">
        <v>31.902323000000003</v>
      </c>
      <c r="I15" s="132">
        <v>32.871256000000002</v>
      </c>
      <c r="J15" s="132">
        <v>39.944766000000001</v>
      </c>
      <c r="K15" s="132">
        <v>59.262742000000003</v>
      </c>
      <c r="L15" s="132">
        <v>133.175443</v>
      </c>
      <c r="M15" s="132">
        <v>141.92764500000001</v>
      </c>
      <c r="N15" s="132">
        <v>277.388283</v>
      </c>
      <c r="O15" s="132">
        <v>496.34416499999958</v>
      </c>
      <c r="P15" s="132">
        <v>39.324236999999997</v>
      </c>
      <c r="Q15" s="132">
        <v>39.360258999999999</v>
      </c>
      <c r="R15" s="132">
        <v>44.542096999999998</v>
      </c>
      <c r="S15" s="132">
        <v>46.872419999999998</v>
      </c>
      <c r="T15" s="132">
        <v>52.732790000000001</v>
      </c>
      <c r="U15" s="132">
        <v>56.649512999999999</v>
      </c>
      <c r="V15" s="132">
        <v>72.845279000000005</v>
      </c>
      <c r="W15" s="132">
        <v>78.741239000000007</v>
      </c>
      <c r="X15" s="132">
        <v>110.928972</v>
      </c>
      <c r="Y15" s="132">
        <v>111.424295</v>
      </c>
      <c r="Z15" s="132">
        <v>135.95600000000002</v>
      </c>
      <c r="AA15" s="132">
        <v>247.64968400000001</v>
      </c>
      <c r="AB15" s="132">
        <v>409.50372200000004</v>
      </c>
      <c r="AC15" s="132">
        <v>0</v>
      </c>
      <c r="AD15" s="132">
        <v>1.38212</v>
      </c>
      <c r="AE15" s="132">
        <v>9.9517249999999997</v>
      </c>
      <c r="AF15" s="132">
        <v>11.496072</v>
      </c>
      <c r="AG15" s="132">
        <v>17.905518999999998</v>
      </c>
      <c r="AH15" s="132">
        <v>41.320775999999995</v>
      </c>
      <c r="AI15" s="132">
        <v>27.344439999999999</v>
      </c>
      <c r="AJ15" s="132">
        <v>29.344439999999999</v>
      </c>
      <c r="AK15" s="132">
        <v>75</v>
      </c>
      <c r="AL15" s="132">
        <v>30.163077000000001</v>
      </c>
      <c r="AM15" s="132">
        <v>52.695918999999996</v>
      </c>
      <c r="AN15" s="132">
        <v>188.9</v>
      </c>
      <c r="AO15" s="132">
        <v>397.19076100000001</v>
      </c>
      <c r="AP15" s="132">
        <v>0</v>
      </c>
      <c r="AQ15" s="132">
        <v>4</v>
      </c>
      <c r="AR15" s="132">
        <v>48.869394</v>
      </c>
      <c r="AS15" s="132">
        <v>229.62601600000002</v>
      </c>
      <c r="AT15" s="132">
        <v>56.310782000000003</v>
      </c>
      <c r="AU15" s="132">
        <v>205.978881</v>
      </c>
      <c r="AV15" s="132">
        <v>114.713471</v>
      </c>
      <c r="AW15" s="132">
        <v>116.569288</v>
      </c>
      <c r="AX15" s="132">
        <v>203.64865700000001</v>
      </c>
      <c r="AY15" s="132">
        <v>140.775507</v>
      </c>
      <c r="AZ15" s="132">
        <v>151.21847600000001</v>
      </c>
      <c r="BA15" s="132">
        <v>295.66800699999999</v>
      </c>
      <c r="BB15" s="132">
        <v>429.56225700000005</v>
      </c>
      <c r="BC15" s="132">
        <v>0</v>
      </c>
      <c r="BD15" s="132">
        <v>5.0736999999999997E-2</v>
      </c>
      <c r="BE15" s="132">
        <v>11.729382000000001</v>
      </c>
      <c r="BF15" s="132">
        <v>28.355493000000003</v>
      </c>
      <c r="BG15" s="132">
        <v>113.65582101</v>
      </c>
      <c r="BH15" s="132">
        <v>57.493996010000004</v>
      </c>
      <c r="BI15" s="132">
        <v>153.27258301000001</v>
      </c>
      <c r="BJ15" s="132">
        <v>59.493541490000005</v>
      </c>
      <c r="BK15" s="132">
        <v>91.564617490000003</v>
      </c>
      <c r="BL15" s="132">
        <v>321.58055449</v>
      </c>
      <c r="BM15" s="132">
        <v>103.60737048999999</v>
      </c>
      <c r="BN15" s="132">
        <v>105.34019649000001</v>
      </c>
      <c r="BO15" s="132">
        <v>110.26403248999999</v>
      </c>
      <c r="BP15" s="132">
        <v>539.90433599999994</v>
      </c>
      <c r="BQ15" s="132">
        <v>539.90433599999994</v>
      </c>
      <c r="BR15" s="132">
        <v>2.6950970000000001</v>
      </c>
      <c r="BS15" s="132">
        <v>3.5805409999999998</v>
      </c>
      <c r="BT15" s="132">
        <v>56.214269000000002</v>
      </c>
      <c r="BU15" s="132">
        <v>62.614649999999997</v>
      </c>
      <c r="BV15" s="132">
        <v>62.731670999999999</v>
      </c>
      <c r="BW15" s="132">
        <v>71.919274000000001</v>
      </c>
      <c r="BX15" s="132">
        <v>65.915519000000003</v>
      </c>
      <c r="BY15" s="132">
        <v>78.117224999999991</v>
      </c>
      <c r="BZ15" s="132">
        <v>222.36702600000001</v>
      </c>
      <c r="CA15" s="132">
        <v>215.06657300000001</v>
      </c>
      <c r="CB15" s="132">
        <v>215.177333</v>
      </c>
      <c r="CC15" s="132">
        <v>234.589258</v>
      </c>
      <c r="CD15" s="132">
        <v>423.36758700000001</v>
      </c>
      <c r="CE15" s="132">
        <v>46.370241000000007</v>
      </c>
      <c r="CF15" s="132">
        <v>50.171099999999996</v>
      </c>
      <c r="CG15" s="132">
        <v>48.547606999999999</v>
      </c>
      <c r="CH15" s="132">
        <v>58.565168999999997</v>
      </c>
      <c r="CI15" s="132">
        <v>70.373080000000002</v>
      </c>
      <c r="CJ15" s="132">
        <v>74.093530999999999</v>
      </c>
      <c r="CK15" s="132">
        <v>79.671451999999988</v>
      </c>
      <c r="CL15" s="132">
        <v>116.82143500000001</v>
      </c>
      <c r="CM15" s="132">
        <v>122.74371600000001</v>
      </c>
      <c r="CN15" s="132">
        <v>137.81223599999998</v>
      </c>
      <c r="CO15" s="132">
        <v>139.982665</v>
      </c>
      <c r="CP15" s="132">
        <v>206.59236600000003</v>
      </c>
      <c r="CQ15" s="132">
        <v>435.43415399999998</v>
      </c>
      <c r="CR15" s="132">
        <v>435.43415399999998</v>
      </c>
      <c r="CS15" s="132">
        <v>1.0927929999999999</v>
      </c>
      <c r="CT15" s="132">
        <v>4.9325260000000002</v>
      </c>
      <c r="CU15" s="132">
        <v>21.397272999999998</v>
      </c>
      <c r="CV15" s="132">
        <v>10.625306</v>
      </c>
      <c r="CW15" s="132">
        <v>18.122979000000001</v>
      </c>
      <c r="CX15" s="132">
        <v>58.024408000000001</v>
      </c>
      <c r="CY15" s="132">
        <v>51.930844999999998</v>
      </c>
      <c r="CZ15" s="132">
        <v>52.610216999999999</v>
      </c>
      <c r="DA15" s="132">
        <v>99.459787000000006</v>
      </c>
      <c r="DB15" s="132">
        <v>78.856782999999993</v>
      </c>
      <c r="DC15" s="132">
        <v>118.024135</v>
      </c>
      <c r="DD15" s="132">
        <v>152.73218199999999</v>
      </c>
      <c r="DE15" s="132">
        <v>493.30647800000003</v>
      </c>
      <c r="DF15" s="132">
        <v>474.65263899999997</v>
      </c>
      <c r="DG15" s="132">
        <v>4.1151530000000003</v>
      </c>
      <c r="DH15" s="132">
        <v>34.055732999999996</v>
      </c>
      <c r="DI15" s="132">
        <v>61.938245000000002</v>
      </c>
      <c r="DJ15" s="132">
        <v>62.070695999999998</v>
      </c>
      <c r="DK15" s="132">
        <v>62.102122000000001</v>
      </c>
      <c r="DL15" s="132">
        <v>62.343097</v>
      </c>
      <c r="DM15" s="132">
        <v>62.763317000000001</v>
      </c>
      <c r="DN15" s="132">
        <v>66.953637000000001</v>
      </c>
      <c r="DO15" s="132">
        <v>72.457337999999993</v>
      </c>
      <c r="DP15" s="132">
        <v>151.82863499999999</v>
      </c>
      <c r="DQ15" s="132">
        <v>176.370564</v>
      </c>
      <c r="DR15" s="132">
        <v>291.53540299999997</v>
      </c>
      <c r="DS15" s="132">
        <f>+' AI _Execução Despesas jul'!C19/1000000</f>
        <v>473.40935000000002</v>
      </c>
      <c r="DT15" s="132">
        <v>464.90935000000002</v>
      </c>
      <c r="DU15" s="132">
        <v>51.442903000000001</v>
      </c>
      <c r="DV15" s="132">
        <v>51.772295999999997</v>
      </c>
      <c r="DW15" s="132">
        <v>53.115808999999999</v>
      </c>
      <c r="DX15" s="132">
        <v>58.027067000000002</v>
      </c>
      <c r="DY15" s="132">
        <v>58.758690999999999</v>
      </c>
      <c r="DZ15" s="132">
        <v>63.400075999999999</v>
      </c>
      <c r="EA15" s="132">
        <f>+' AI _Execução Despesas jul'!$F$19/1000000</f>
        <v>63.609085</v>
      </c>
      <c r="EB15" s="133"/>
      <c r="EC15" s="133"/>
      <c r="ED15" s="133"/>
      <c r="EE15" s="133"/>
      <c r="EF15" s="133"/>
      <c r="EG15" s="134">
        <f t="shared" si="0"/>
        <v>13.68204038056021</v>
      </c>
      <c r="EH15" s="134">
        <f t="shared" si="1"/>
        <v>1.3475514686389189</v>
      </c>
      <c r="EI15" s="971">
        <f t="shared" si="2"/>
        <v>0.84576799999999963</v>
      </c>
    </row>
    <row r="16" spans="1:148" ht="15" customHeight="1">
      <c r="A16" s="79" t="s">
        <v>104</v>
      </c>
      <c r="B16" s="132">
        <v>4131.0969974203999</v>
      </c>
      <c r="C16" s="132">
        <v>242.83302999999998</v>
      </c>
      <c r="D16" s="132">
        <v>519.65457400000003</v>
      </c>
      <c r="E16" s="132">
        <v>860.70009499999992</v>
      </c>
      <c r="F16" s="132">
        <v>1159.306822</v>
      </c>
      <c r="G16" s="132">
        <v>1540.5929620000002</v>
      </c>
      <c r="H16" s="132">
        <v>1657.635845</v>
      </c>
      <c r="I16" s="132">
        <v>2008.8726410000002</v>
      </c>
      <c r="J16" s="132">
        <v>2486.3682589999999</v>
      </c>
      <c r="K16" s="132">
        <v>2768.6567210000003</v>
      </c>
      <c r="L16" s="132">
        <v>3114.4006559999998</v>
      </c>
      <c r="M16" s="132">
        <v>3421.4427180000002</v>
      </c>
      <c r="N16" s="132">
        <v>3632.5665180000001</v>
      </c>
      <c r="O16" s="132">
        <v>4140.3954590000003</v>
      </c>
      <c r="P16" s="132">
        <v>247.066363</v>
      </c>
      <c r="Q16" s="132">
        <v>519.70534599999996</v>
      </c>
      <c r="R16" s="132">
        <v>854.82573400000001</v>
      </c>
      <c r="S16" s="132">
        <v>911.540796</v>
      </c>
      <c r="T16" s="132">
        <v>1491.3880939999999</v>
      </c>
      <c r="U16" s="132">
        <v>1814.6032365278065</v>
      </c>
      <c r="V16" s="132">
        <v>2138.7590129999999</v>
      </c>
      <c r="W16" s="132">
        <v>2455.62745</v>
      </c>
      <c r="X16" s="132">
        <v>2772</v>
      </c>
      <c r="Y16" s="132">
        <v>3121.8031680000004</v>
      </c>
      <c r="Z16" s="132">
        <v>3413.0632539999997</v>
      </c>
      <c r="AA16" s="132">
        <v>3826.8168150000001</v>
      </c>
      <c r="AB16" s="132">
        <v>4961.1752442297102</v>
      </c>
      <c r="AC16" s="132">
        <v>269.416045</v>
      </c>
      <c r="AD16" s="132">
        <v>566.00457500000005</v>
      </c>
      <c r="AE16" s="132">
        <v>851.04987399999993</v>
      </c>
      <c r="AF16" s="132">
        <v>1197.569152</v>
      </c>
      <c r="AG16" s="132">
        <v>1560.372134</v>
      </c>
      <c r="AH16" s="132">
        <v>1865.033981</v>
      </c>
      <c r="AI16" s="132">
        <v>2349.9105319999999</v>
      </c>
      <c r="AJ16" s="132">
        <v>2676.8272420000003</v>
      </c>
      <c r="AK16" s="132">
        <v>2798</v>
      </c>
      <c r="AL16" s="132">
        <v>3438.3119809999998</v>
      </c>
      <c r="AM16" s="132">
        <v>3756.834625</v>
      </c>
      <c r="AN16" s="132">
        <v>4200.3856759999999</v>
      </c>
      <c r="AO16" s="132">
        <v>4787.9022649999997</v>
      </c>
      <c r="AP16" s="132">
        <v>329.79077999999998</v>
      </c>
      <c r="AQ16" s="132">
        <v>655.09181899999999</v>
      </c>
      <c r="AR16" s="132">
        <v>981.82565841833298</v>
      </c>
      <c r="AS16" s="132">
        <v>1264.7223920000001</v>
      </c>
      <c r="AT16" s="132">
        <v>1800.1304230000001</v>
      </c>
      <c r="AU16" s="132">
        <v>2219.4497213332329</v>
      </c>
      <c r="AV16" s="132">
        <v>2579.852719</v>
      </c>
      <c r="AW16" s="132">
        <v>3008.4129400000002</v>
      </c>
      <c r="AX16" s="132">
        <v>3188.6455089577157</v>
      </c>
      <c r="AY16" s="132">
        <v>3661.8930259999997</v>
      </c>
      <c r="AZ16" s="132">
        <v>4017.6241760000003</v>
      </c>
      <c r="BA16" s="132">
        <v>4459.0318269999998</v>
      </c>
      <c r="BB16" s="132">
        <v>5835.5873850000007</v>
      </c>
      <c r="BC16" s="132">
        <v>0</v>
      </c>
      <c r="BD16" s="132">
        <v>277.22229399999998</v>
      </c>
      <c r="BE16" s="132">
        <v>662.97542299999998</v>
      </c>
      <c r="BF16" s="132">
        <v>1213.4778672918242</v>
      </c>
      <c r="BG16" s="132">
        <v>1846.5588729999999</v>
      </c>
      <c r="BH16" s="132">
        <v>1861.7705124200002</v>
      </c>
      <c r="BI16" s="132">
        <v>2122.13972242</v>
      </c>
      <c r="BJ16" s="132">
        <v>2583.4050609999999</v>
      </c>
      <c r="BK16" s="132">
        <v>2971.5911470000001</v>
      </c>
      <c r="BL16" s="132">
        <v>3282.5042841961067</v>
      </c>
      <c r="BM16" s="132">
        <v>3734.3860140000002</v>
      </c>
      <c r="BN16" s="132">
        <v>4093.1619010000004</v>
      </c>
      <c r="BO16" s="132">
        <v>4564.6663589999998</v>
      </c>
      <c r="BP16" s="132">
        <v>5538.5152654499998</v>
      </c>
      <c r="BQ16" s="132">
        <v>5538.5152654499998</v>
      </c>
      <c r="BR16" s="132">
        <v>288.82662800000003</v>
      </c>
      <c r="BS16" s="132">
        <v>618.77762999999993</v>
      </c>
      <c r="BT16" s="132">
        <v>964.99878799999999</v>
      </c>
      <c r="BU16" s="132">
        <v>1308.5758920000001</v>
      </c>
      <c r="BV16" s="132">
        <v>1630.54115</v>
      </c>
      <c r="BW16" s="132">
        <v>2036.4615629825669</v>
      </c>
      <c r="BX16" s="132">
        <v>2346.4969030000002</v>
      </c>
      <c r="BY16" s="132">
        <v>2737.7903690000003</v>
      </c>
      <c r="BZ16" s="132">
        <v>3127.4174438567579</v>
      </c>
      <c r="CA16" s="132">
        <v>3423.661779</v>
      </c>
      <c r="CB16" s="132">
        <v>3824.902388</v>
      </c>
      <c r="CC16" s="132">
        <v>5698.3877699999994</v>
      </c>
      <c r="CD16" s="132">
        <v>6354.98733154</v>
      </c>
      <c r="CE16" s="132">
        <v>425.01969999999994</v>
      </c>
      <c r="CF16" s="132">
        <v>767.84808299999997</v>
      </c>
      <c r="CG16" s="132">
        <v>1206.090698</v>
      </c>
      <c r="CH16" s="132">
        <v>1560.735988935</v>
      </c>
      <c r="CI16" s="132">
        <v>1983.3079650000002</v>
      </c>
      <c r="CJ16" s="132">
        <v>2491.4740959999999</v>
      </c>
      <c r="CK16" s="132">
        <v>2514.7581996483441</v>
      </c>
      <c r="CL16" s="132">
        <v>3405.2813529999999</v>
      </c>
      <c r="CM16" s="132">
        <v>4026.3305989999999</v>
      </c>
      <c r="CN16" s="132">
        <v>4400.6499000000003</v>
      </c>
      <c r="CO16" s="132">
        <v>5143.972452</v>
      </c>
      <c r="CP16" s="132">
        <v>5974.3064269999995</v>
      </c>
      <c r="CQ16" s="132">
        <v>5503.2465025700003</v>
      </c>
      <c r="CR16" s="132">
        <v>5503.2465025700003</v>
      </c>
      <c r="CS16" s="132">
        <v>304.47441099999998</v>
      </c>
      <c r="CT16" s="132">
        <v>705.074523</v>
      </c>
      <c r="CU16" s="132">
        <v>1187.278513</v>
      </c>
      <c r="CV16" s="132">
        <v>1683.206516</v>
      </c>
      <c r="CW16" s="132">
        <v>2175.8784249999999</v>
      </c>
      <c r="CX16" s="132">
        <v>2593.3068880000001</v>
      </c>
      <c r="CY16" s="132">
        <v>3087.3708990000005</v>
      </c>
      <c r="CZ16" s="132">
        <v>3559.9850449999999</v>
      </c>
      <c r="DA16" s="132">
        <v>4037.447682</v>
      </c>
      <c r="DB16" s="132">
        <v>4508.346646</v>
      </c>
      <c r="DC16" s="132">
        <v>4923.3652170000005</v>
      </c>
      <c r="DD16" s="132">
        <v>5719.4438570000002</v>
      </c>
      <c r="DE16" s="132">
        <v>6308.849377085</v>
      </c>
      <c r="DF16" s="132">
        <v>6777.6333290000002</v>
      </c>
      <c r="DG16" s="132">
        <v>360.82974999999999</v>
      </c>
      <c r="DH16" s="132">
        <v>885.62731299999996</v>
      </c>
      <c r="DI16" s="132">
        <v>1350.929973</v>
      </c>
      <c r="DJ16" s="132">
        <v>1810.0904970000001</v>
      </c>
      <c r="DK16" s="132">
        <v>2215.263852</v>
      </c>
      <c r="DL16" s="132">
        <v>2706.681732</v>
      </c>
      <c r="DM16" s="132">
        <v>3202.32764</v>
      </c>
      <c r="DN16" s="132">
        <v>3803.0097889999993</v>
      </c>
      <c r="DO16" s="132">
        <v>4377.2659489999996</v>
      </c>
      <c r="DP16" s="132">
        <v>4879.3087529999993</v>
      </c>
      <c r="DQ16" s="132">
        <v>5470.1196810000001</v>
      </c>
      <c r="DR16" s="132">
        <v>6190.1026309999997</v>
      </c>
      <c r="DS16" s="132">
        <f>+' AI _Execução Despesas jul'!C20/1000000</f>
        <v>6482.0144319999999</v>
      </c>
      <c r="DT16" s="132">
        <v>6194.0282699999998</v>
      </c>
      <c r="DU16" s="132">
        <v>333.29737799999998</v>
      </c>
      <c r="DV16" s="132">
        <v>881.04996200000005</v>
      </c>
      <c r="DW16" s="132">
        <v>1290.676275</v>
      </c>
      <c r="DX16" s="132">
        <v>1743.546157</v>
      </c>
      <c r="DY16" s="132">
        <v>2177.6191859999999</v>
      </c>
      <c r="DZ16" s="132">
        <v>2551.681673</v>
      </c>
      <c r="EA16" s="132">
        <f>+' AI _Execução Despesas jul'!$F$20/1000000</f>
        <v>2987.4162270000002</v>
      </c>
      <c r="EB16" s="133"/>
      <c r="EC16" s="133"/>
      <c r="ED16" s="133"/>
      <c r="EE16" s="133"/>
      <c r="EF16" s="133"/>
      <c r="EG16" s="134">
        <f t="shared" si="0"/>
        <v>48.230587539762723</v>
      </c>
      <c r="EH16" s="134">
        <f t="shared" si="1"/>
        <v>-6.7111000859362395</v>
      </c>
      <c r="EI16" s="971">
        <f t="shared" si="2"/>
        <v>-214.91141299999981</v>
      </c>
    </row>
    <row r="17" spans="1:147" ht="15" customHeight="1">
      <c r="A17" s="105" t="s">
        <v>105</v>
      </c>
      <c r="B17" s="132">
        <v>3686.6461360000003</v>
      </c>
      <c r="C17" s="132">
        <v>317.59938800000003</v>
      </c>
      <c r="D17" s="132">
        <v>636.78038700000002</v>
      </c>
      <c r="E17" s="132">
        <v>959.037147</v>
      </c>
      <c r="F17" s="132">
        <v>1277.4026269999999</v>
      </c>
      <c r="G17" s="132">
        <v>1590.063789</v>
      </c>
      <c r="H17" s="132">
        <v>1891.4535089999999</v>
      </c>
      <c r="I17" s="132">
        <v>2259.1606449999999</v>
      </c>
      <c r="J17" s="132">
        <v>2576.4512119999999</v>
      </c>
      <c r="K17" s="132">
        <v>2917.5746400000003</v>
      </c>
      <c r="L17" s="132">
        <v>3248.8452940000002</v>
      </c>
      <c r="M17" s="132">
        <v>3583.7602160000001</v>
      </c>
      <c r="N17" s="132">
        <v>3917.9290419999998</v>
      </c>
      <c r="O17" s="132">
        <v>3851.6003329999999</v>
      </c>
      <c r="P17" s="132">
        <v>343.180139</v>
      </c>
      <c r="Q17" s="132">
        <v>672.01096299999995</v>
      </c>
      <c r="R17" s="132">
        <v>1056.341085</v>
      </c>
      <c r="S17" s="132">
        <v>1349.7339459999998</v>
      </c>
      <c r="T17" s="132">
        <v>1697.7156680000001</v>
      </c>
      <c r="U17" s="132">
        <v>2015.6296590000002</v>
      </c>
      <c r="V17" s="132">
        <v>2354.7161289999999</v>
      </c>
      <c r="W17" s="132">
        <v>2732.5428879999999</v>
      </c>
      <c r="X17" s="132">
        <v>3044.0842520000001</v>
      </c>
      <c r="Y17" s="132">
        <v>3433.2280860000001</v>
      </c>
      <c r="Z17" s="132">
        <v>3793.6798410000001</v>
      </c>
      <c r="AA17" s="132">
        <v>4150.3777899999995</v>
      </c>
      <c r="AB17" s="132">
        <v>3985.9241499999998</v>
      </c>
      <c r="AC17" s="132">
        <v>351.89706000000001</v>
      </c>
      <c r="AD17" s="132">
        <v>698.54013099999997</v>
      </c>
      <c r="AE17" s="132">
        <v>1046.4955179999999</v>
      </c>
      <c r="AF17" s="132">
        <v>1363.735122</v>
      </c>
      <c r="AG17" s="132">
        <v>1735.6131419999999</v>
      </c>
      <c r="AH17" s="132">
        <v>2091.7710110000003</v>
      </c>
      <c r="AI17" s="132">
        <v>2459.650721</v>
      </c>
      <c r="AJ17" s="132">
        <v>2822.081647</v>
      </c>
      <c r="AK17" s="132">
        <v>3189.147837</v>
      </c>
      <c r="AL17" s="132">
        <v>3574.0411960000001</v>
      </c>
      <c r="AM17" s="132">
        <v>3919.4207970000002</v>
      </c>
      <c r="AN17" s="132">
        <v>4347.9257959999995</v>
      </c>
      <c r="AO17" s="132">
        <v>4119</v>
      </c>
      <c r="AP17" s="132">
        <v>359.110749</v>
      </c>
      <c r="AQ17" s="132">
        <v>739.66762500000004</v>
      </c>
      <c r="AR17" s="132">
        <v>1127.7045210000001</v>
      </c>
      <c r="AS17" s="132">
        <v>1510.6343529999999</v>
      </c>
      <c r="AT17" s="132">
        <v>1876.166275</v>
      </c>
      <c r="AU17" s="132">
        <v>2280.9388869999998</v>
      </c>
      <c r="AV17" s="132">
        <v>2672.5242239999998</v>
      </c>
      <c r="AW17" s="132">
        <v>3073.743332</v>
      </c>
      <c r="AX17" s="132">
        <v>3468.1736940000001</v>
      </c>
      <c r="AY17" s="132">
        <v>3885.8075880000001</v>
      </c>
      <c r="AZ17" s="132">
        <v>4302.6187380000001</v>
      </c>
      <c r="BA17" s="132">
        <v>4735.1190542899994</v>
      </c>
      <c r="BB17" s="132">
        <v>5102.3994819999998</v>
      </c>
      <c r="BC17" s="132">
        <v>5148.2540739999995</v>
      </c>
      <c r="BD17" s="132">
        <v>410.96856299999996</v>
      </c>
      <c r="BE17" s="132">
        <v>828.82522599999993</v>
      </c>
      <c r="BF17" s="132">
        <v>1233.085709</v>
      </c>
      <c r="BG17" s="132">
        <v>2059.580841</v>
      </c>
      <c r="BH17" s="132">
        <v>2079.2757940000001</v>
      </c>
      <c r="BI17" s="132">
        <v>2507.2977179999998</v>
      </c>
      <c r="BJ17" s="132">
        <v>2932.3043519999997</v>
      </c>
      <c r="BK17" s="132">
        <v>3360.4292820000001</v>
      </c>
      <c r="BL17" s="132">
        <v>3782.1695599999998</v>
      </c>
      <c r="BM17" s="132">
        <v>4217.8064370000002</v>
      </c>
      <c r="BN17" s="132">
        <v>4665.4826279999997</v>
      </c>
      <c r="BO17" s="132">
        <v>5164.9558459999998</v>
      </c>
      <c r="BP17" s="132">
        <v>5475.6876409999995</v>
      </c>
      <c r="BQ17" s="132">
        <v>5475.6876409999995</v>
      </c>
      <c r="BR17" s="132">
        <v>432.60572000000002</v>
      </c>
      <c r="BS17" s="132">
        <v>856.88155999999992</v>
      </c>
      <c r="BT17" s="132">
        <v>1297.4795319999998</v>
      </c>
      <c r="BU17" s="132">
        <v>1723.5591089999998</v>
      </c>
      <c r="BV17" s="132">
        <v>2174.470542</v>
      </c>
      <c r="BW17" s="132">
        <v>2617.1780369999997</v>
      </c>
      <c r="BX17" s="132">
        <v>3064.9068039999997</v>
      </c>
      <c r="BY17" s="132">
        <v>3515.4887049999998</v>
      </c>
      <c r="BZ17" s="132">
        <v>3983.3940709999997</v>
      </c>
      <c r="CA17" s="132">
        <v>4444.408367</v>
      </c>
      <c r="CB17" s="132">
        <v>4919.759137</v>
      </c>
      <c r="CC17" s="132">
        <v>5541.1932210000004</v>
      </c>
      <c r="CD17" s="132">
        <v>5700.2738639999998</v>
      </c>
      <c r="CE17" s="132">
        <v>485.84303199999999</v>
      </c>
      <c r="CF17" s="132">
        <v>984.97179700000004</v>
      </c>
      <c r="CG17" s="132">
        <v>1480.595227</v>
      </c>
      <c r="CH17" s="132">
        <v>1981.5552540000001</v>
      </c>
      <c r="CI17" s="132">
        <v>2498.1908309999999</v>
      </c>
      <c r="CJ17" s="132">
        <v>3009.0695109999997</v>
      </c>
      <c r="CK17" s="132">
        <v>3459.644108</v>
      </c>
      <c r="CL17" s="132">
        <v>4037.099655</v>
      </c>
      <c r="CM17" s="132">
        <v>4591.1772959999998</v>
      </c>
      <c r="CN17" s="132">
        <v>5115.0391209999998</v>
      </c>
      <c r="CO17" s="132">
        <v>5645.8998599999995</v>
      </c>
      <c r="CP17" s="132">
        <v>6237.0322310000001</v>
      </c>
      <c r="CQ17" s="132">
        <v>6962.893454</v>
      </c>
      <c r="CR17" s="132">
        <v>6962.893454</v>
      </c>
      <c r="CS17" s="132">
        <v>554.85018200000002</v>
      </c>
      <c r="CT17" s="132">
        <v>1117.7348059999999</v>
      </c>
      <c r="CU17" s="132">
        <v>1689.546973</v>
      </c>
      <c r="CV17" s="132">
        <v>2298.483467</v>
      </c>
      <c r="CW17" s="132">
        <v>2896.779669</v>
      </c>
      <c r="CX17" s="132">
        <v>3482.772559</v>
      </c>
      <c r="CY17" s="132">
        <v>4078.2972360000003</v>
      </c>
      <c r="CZ17" s="132">
        <v>4676.5571599999994</v>
      </c>
      <c r="DA17" s="132">
        <v>5283.1205100000006</v>
      </c>
      <c r="DB17" s="132">
        <v>5907.9173370000008</v>
      </c>
      <c r="DC17" s="132">
        <v>6559.9721520000003</v>
      </c>
      <c r="DD17" s="132">
        <v>7272.1631319999997</v>
      </c>
      <c r="DE17" s="132">
        <v>7485.5728410000002</v>
      </c>
      <c r="DF17" s="132">
        <v>8046.1606499999998</v>
      </c>
      <c r="DG17" s="132">
        <v>577.52776199999994</v>
      </c>
      <c r="DH17" s="132">
        <v>1195.792387</v>
      </c>
      <c r="DI17" s="132">
        <v>1830.3320739999999</v>
      </c>
      <c r="DJ17" s="132">
        <v>2508.5270930000001</v>
      </c>
      <c r="DK17" s="132">
        <v>3295.1140150000001</v>
      </c>
      <c r="DL17" s="132">
        <v>3912.8749640000001</v>
      </c>
      <c r="DM17" s="132">
        <v>4553.570095</v>
      </c>
      <c r="DN17" s="132">
        <v>5244.2895639999997</v>
      </c>
      <c r="DO17" s="132">
        <v>5915.9828589999997</v>
      </c>
      <c r="DP17" s="132">
        <v>6636.4707269999999</v>
      </c>
      <c r="DQ17" s="132">
        <v>7314.1039120000005</v>
      </c>
      <c r="DR17" s="132">
        <v>8264.8353399999996</v>
      </c>
      <c r="DS17" s="132">
        <f>+' AI _Execução Despesas jul'!C24/1000000</f>
        <v>8070.8166890000002</v>
      </c>
      <c r="DT17" s="132">
        <v>9178.8836030000002</v>
      </c>
      <c r="DU17" s="132">
        <v>614.06433700000002</v>
      </c>
      <c r="DV17" s="132">
        <v>1357.8905500000001</v>
      </c>
      <c r="DW17" s="132">
        <v>2195.3145949999998</v>
      </c>
      <c r="DX17" s="132">
        <v>2892.2964590000001</v>
      </c>
      <c r="DY17" s="132">
        <v>3781.4258650000002</v>
      </c>
      <c r="DZ17" s="132">
        <v>4686.6121139999996</v>
      </c>
      <c r="EA17" s="132">
        <f>+' AI _Execução Despesas jul'!$F$24/1000000</f>
        <v>5582.2765460000001</v>
      </c>
      <c r="EB17" s="133"/>
      <c r="EC17" s="133"/>
      <c r="ED17" s="133"/>
      <c r="EE17" s="133"/>
      <c r="EF17" s="133"/>
      <c r="EG17" s="134">
        <f t="shared" si="0"/>
        <v>60.816508711097548</v>
      </c>
      <c r="EH17" s="134">
        <f t="shared" si="1"/>
        <v>22.591207108671952</v>
      </c>
      <c r="EI17" s="971">
        <f t="shared" si="2"/>
        <v>1028.706451</v>
      </c>
    </row>
    <row r="18" spans="1:147" ht="15" customHeight="1">
      <c r="A18" s="105" t="s">
        <v>106</v>
      </c>
      <c r="B18" s="132">
        <v>3177.4078465369498</v>
      </c>
      <c r="C18" s="132">
        <v>47.105715000000004</v>
      </c>
      <c r="D18" s="132">
        <v>135.015063</v>
      </c>
      <c r="E18" s="132">
        <v>291.63516600000003</v>
      </c>
      <c r="F18" s="132">
        <v>386.57300399999997</v>
      </c>
      <c r="G18" s="132">
        <v>561.681782</v>
      </c>
      <c r="H18" s="132">
        <v>749.84961999999996</v>
      </c>
      <c r="I18" s="132">
        <v>826.06023399999992</v>
      </c>
      <c r="J18" s="132">
        <v>985.24190799999997</v>
      </c>
      <c r="K18" s="132">
        <v>1066.1213969999999</v>
      </c>
      <c r="L18" s="132">
        <v>1377.1457229999999</v>
      </c>
      <c r="M18" s="132">
        <v>1475.2938059999999</v>
      </c>
      <c r="N18" s="132">
        <v>2421.1322690000002</v>
      </c>
      <c r="O18" s="132">
        <v>2876.6302169999999</v>
      </c>
      <c r="P18" s="132">
        <v>70.395026000000001</v>
      </c>
      <c r="Q18" s="132">
        <v>137.243909</v>
      </c>
      <c r="R18" s="132">
        <v>317.40389800000003</v>
      </c>
      <c r="S18" s="132">
        <v>341.19083800000004</v>
      </c>
      <c r="T18" s="132">
        <v>447.24667699999998</v>
      </c>
      <c r="U18" s="132">
        <v>617.75768082623244</v>
      </c>
      <c r="V18" s="132">
        <v>1089.9034220000001</v>
      </c>
      <c r="W18" s="132">
        <v>1204.394423</v>
      </c>
      <c r="X18" s="132">
        <v>1313</v>
      </c>
      <c r="Y18" s="132">
        <v>1413.3816569999999</v>
      </c>
      <c r="Z18" s="132">
        <v>1539.09176</v>
      </c>
      <c r="AA18" s="132">
        <v>2052.6904199999999</v>
      </c>
      <c r="AB18" s="132">
        <v>3084.2482622804787</v>
      </c>
      <c r="AC18" s="132">
        <v>59.196193999999998</v>
      </c>
      <c r="AD18" s="132">
        <v>126.77842</v>
      </c>
      <c r="AE18" s="132">
        <v>210.140816</v>
      </c>
      <c r="AF18" s="132">
        <v>378.41026199999999</v>
      </c>
      <c r="AG18" s="132">
        <v>507.28737599999999</v>
      </c>
      <c r="AH18" s="132">
        <v>601.86035300000003</v>
      </c>
      <c r="AI18" s="132">
        <v>705.41352600000005</v>
      </c>
      <c r="AJ18" s="132">
        <v>804.82498499999997</v>
      </c>
      <c r="AK18" s="132">
        <v>899.52400499999999</v>
      </c>
      <c r="AL18" s="132">
        <v>1026.0025049999999</v>
      </c>
      <c r="AM18" s="132">
        <v>1157.873063</v>
      </c>
      <c r="AN18" s="132">
        <v>2339.0506082719894</v>
      </c>
      <c r="AO18" s="132">
        <v>2979</v>
      </c>
      <c r="AP18" s="132">
        <v>33</v>
      </c>
      <c r="AQ18" s="132">
        <v>138.150113</v>
      </c>
      <c r="AR18" s="132">
        <v>408.02783442780162</v>
      </c>
      <c r="AS18" s="132">
        <v>491.02371600000004</v>
      </c>
      <c r="AT18" s="132">
        <v>629.33061999999995</v>
      </c>
      <c r="AU18" s="132">
        <v>778.33901396533054</v>
      </c>
      <c r="AV18" s="132">
        <v>915.73019999999997</v>
      </c>
      <c r="AW18" s="132">
        <v>1132.6377219999999</v>
      </c>
      <c r="AX18" s="132">
        <v>1242.2488120361213</v>
      </c>
      <c r="AY18" s="132">
        <v>1640.6124749999999</v>
      </c>
      <c r="AZ18" s="132">
        <v>1871.60718202</v>
      </c>
      <c r="BA18" s="132">
        <v>2319.6023971300001</v>
      </c>
      <c r="BB18" s="132">
        <v>3549.4560489999999</v>
      </c>
      <c r="BC18" s="132">
        <v>4557.9306703499997</v>
      </c>
      <c r="BD18" s="132">
        <v>57.022871000000002</v>
      </c>
      <c r="BE18" s="132">
        <v>183.178214</v>
      </c>
      <c r="BF18" s="132">
        <v>389.18739899000002</v>
      </c>
      <c r="BG18" s="132">
        <v>657.75422459000004</v>
      </c>
      <c r="BH18" s="132">
        <v>671.48692359000006</v>
      </c>
      <c r="BI18" s="132">
        <v>792.47054059000004</v>
      </c>
      <c r="BJ18" s="132">
        <v>932.77027826000005</v>
      </c>
      <c r="BK18" s="132">
        <v>1167.0241552599998</v>
      </c>
      <c r="BL18" s="132">
        <v>1248.9024046424945</v>
      </c>
      <c r="BM18" s="132">
        <v>1667.2254772599999</v>
      </c>
      <c r="BN18" s="132">
        <v>1917.3731032599999</v>
      </c>
      <c r="BO18" s="132">
        <v>3189.1341470399998</v>
      </c>
      <c r="BP18" s="132">
        <v>2574.6847693999998</v>
      </c>
      <c r="BQ18" s="132">
        <v>4604.4542720000136</v>
      </c>
      <c r="BR18" s="132">
        <v>78.790145999999993</v>
      </c>
      <c r="BS18" s="132">
        <v>334.39296400000001</v>
      </c>
      <c r="BT18" s="132">
        <v>454.46072714000002</v>
      </c>
      <c r="BU18" s="132">
        <v>560.79260905000001</v>
      </c>
      <c r="BV18" s="132">
        <v>813.97621404999995</v>
      </c>
      <c r="BW18" s="132">
        <v>973.40864147245179</v>
      </c>
      <c r="BX18" s="132">
        <v>1076.99943605</v>
      </c>
      <c r="BY18" s="132">
        <v>1226.9519710500001</v>
      </c>
      <c r="BZ18" s="132">
        <v>1487.738554495787</v>
      </c>
      <c r="CA18" s="132">
        <v>1643.4935440500001</v>
      </c>
      <c r="CB18" s="132">
        <v>1933.59145205</v>
      </c>
      <c r="CC18" s="132">
        <v>2718.15608505</v>
      </c>
      <c r="CD18" s="132">
        <v>4342.7550108249998</v>
      </c>
      <c r="CE18" s="132">
        <v>71.486591000000004</v>
      </c>
      <c r="CF18" s="132">
        <v>189.57575700000001</v>
      </c>
      <c r="CG18" s="132">
        <v>690.69676060500001</v>
      </c>
      <c r="CH18" s="132">
        <v>847.73009960499996</v>
      </c>
      <c r="CI18" s="132">
        <v>1017.3744390000001</v>
      </c>
      <c r="CJ18" s="132">
        <v>1526.6230499999999</v>
      </c>
      <c r="CK18" s="132">
        <v>1983.0219858503926</v>
      </c>
      <c r="CL18" s="132">
        <v>2198.502481</v>
      </c>
      <c r="CM18" s="132">
        <v>2480.179427</v>
      </c>
      <c r="CN18" s="132">
        <v>2682.5278640000001</v>
      </c>
      <c r="CO18" s="132">
        <v>2936.5281459999997</v>
      </c>
      <c r="CP18" s="132">
        <v>3518.6713850000001</v>
      </c>
      <c r="CQ18" s="132">
        <v>5815.4145369999997</v>
      </c>
      <c r="CR18" s="132">
        <v>5115.4145370000006</v>
      </c>
      <c r="CS18" s="132">
        <v>71.809367000000009</v>
      </c>
      <c r="CT18" s="132">
        <v>171.01814000000002</v>
      </c>
      <c r="CU18" s="132">
        <v>559.47261100000003</v>
      </c>
      <c r="CV18" s="132">
        <v>698.98175200000003</v>
      </c>
      <c r="CW18" s="132">
        <v>1320.3345490000002</v>
      </c>
      <c r="CX18" s="132">
        <v>1607.3409770000001</v>
      </c>
      <c r="CY18" s="132">
        <v>1990.8145950000001</v>
      </c>
      <c r="CZ18" s="132">
        <v>2184.5810540000002</v>
      </c>
      <c r="DA18" s="132">
        <v>2315.3873760000001</v>
      </c>
      <c r="DB18" s="132">
        <v>2461.0671050000001</v>
      </c>
      <c r="DC18" s="132">
        <v>3236.3614619999998</v>
      </c>
      <c r="DD18" s="132">
        <v>5960.998439</v>
      </c>
      <c r="DE18" s="132">
        <v>4121.4309951149999</v>
      </c>
      <c r="DF18" s="132">
        <v>3691.9129720000001</v>
      </c>
      <c r="DG18" s="132">
        <v>33.994137000000002</v>
      </c>
      <c r="DH18" s="132">
        <v>158.32523900000001</v>
      </c>
      <c r="DI18" s="132">
        <v>383.47138999999999</v>
      </c>
      <c r="DJ18" s="132">
        <v>534.57681200000002</v>
      </c>
      <c r="DK18" s="132">
        <v>696.51590899999997</v>
      </c>
      <c r="DL18" s="132">
        <v>805.84787199999994</v>
      </c>
      <c r="DM18" s="132">
        <v>970.14230100000009</v>
      </c>
      <c r="DN18" s="132">
        <v>1017.828243</v>
      </c>
      <c r="DO18" s="132">
        <v>1159.2573690000002</v>
      </c>
      <c r="DP18" s="132">
        <v>1285.4518800000001</v>
      </c>
      <c r="DQ18" s="132">
        <v>1490.6309560000002</v>
      </c>
      <c r="DR18" s="132">
        <v>1892.038599</v>
      </c>
      <c r="DS18" s="132">
        <f>+' AI _Execução Despesas jul'!C33/1000000</f>
        <v>3851.071058</v>
      </c>
      <c r="DT18" s="132">
        <v>4075.2205330000002</v>
      </c>
      <c r="DU18" s="132">
        <v>20.373698000000001</v>
      </c>
      <c r="DV18" s="132">
        <v>107.066098</v>
      </c>
      <c r="DW18" s="132">
        <v>336.32687600000003</v>
      </c>
      <c r="DX18" s="132">
        <v>516.89921300000003</v>
      </c>
      <c r="DY18" s="132">
        <v>639.17165699999998</v>
      </c>
      <c r="DZ18" s="132">
        <v>771.87979199999995</v>
      </c>
      <c r="EA18" s="132">
        <f>+' AI _Execução Despesas jul'!$F$33/1000000</f>
        <v>892.71822199999997</v>
      </c>
      <c r="EB18" s="133"/>
      <c r="EC18" s="133"/>
      <c r="ED18" s="133"/>
      <c r="EE18" s="133"/>
      <c r="EF18" s="133"/>
      <c r="EG18" s="134">
        <f t="shared" si="0"/>
        <v>21.906010110888886</v>
      </c>
      <c r="EH18" s="134">
        <f>+(EA18/DM18-1)*100</f>
        <v>-7.9806930303104151</v>
      </c>
      <c r="EI18" s="971">
        <f t="shared" si="2"/>
        <v>-77.42407900000012</v>
      </c>
    </row>
    <row r="19" spans="1:147">
      <c r="A19" s="105" t="s">
        <v>107</v>
      </c>
      <c r="B19" s="132">
        <v>0</v>
      </c>
      <c r="C19" s="132">
        <v>0</v>
      </c>
      <c r="D19" s="132">
        <v>0</v>
      </c>
      <c r="E19" s="132">
        <v>185</v>
      </c>
      <c r="F19" s="132">
        <v>0</v>
      </c>
      <c r="G19" s="132">
        <v>0</v>
      </c>
      <c r="H19" s="132">
        <v>499</v>
      </c>
      <c r="I19" s="132">
        <v>0</v>
      </c>
      <c r="J19" s="132">
        <v>0</v>
      </c>
      <c r="K19" s="132">
        <v>683</v>
      </c>
      <c r="L19" s="132">
        <v>0</v>
      </c>
      <c r="M19" s="132">
        <v>0</v>
      </c>
      <c r="N19" s="132">
        <v>0</v>
      </c>
      <c r="O19" s="132">
        <v>0</v>
      </c>
      <c r="P19" s="132">
        <v>90.989806999999999</v>
      </c>
      <c r="Q19" s="132">
        <v>127.356571</v>
      </c>
      <c r="R19" s="132">
        <v>208.51404600000001</v>
      </c>
      <c r="S19" s="132">
        <v>275.88085799999999</v>
      </c>
      <c r="T19" s="132">
        <v>247.66087944999998</v>
      </c>
      <c r="U19" s="132">
        <v>344.49615445000001</v>
      </c>
      <c r="V19" s="132">
        <v>452.22527344999997</v>
      </c>
      <c r="W19" s="132">
        <v>561.23750045000008</v>
      </c>
      <c r="X19" s="132">
        <v>622</v>
      </c>
      <c r="Y19" s="132">
        <v>0</v>
      </c>
      <c r="Z19" s="132">
        <v>0</v>
      </c>
      <c r="AA19" s="132">
        <v>0</v>
      </c>
      <c r="AB19" s="132">
        <v>0</v>
      </c>
      <c r="AC19" s="132">
        <v>54.645902</v>
      </c>
      <c r="AD19" s="132">
        <v>63.395457</v>
      </c>
      <c r="AE19" s="132">
        <v>210.09064799999999</v>
      </c>
      <c r="AF19" s="132">
        <v>417.04177600000003</v>
      </c>
      <c r="AG19" s="132">
        <v>0</v>
      </c>
      <c r="AH19" s="132">
        <v>272.30046099999998</v>
      </c>
      <c r="AI19" s="132">
        <v>568.04497200000003</v>
      </c>
      <c r="AJ19" s="132">
        <v>877.25981100000001</v>
      </c>
      <c r="AK19" s="132">
        <v>473.801444</v>
      </c>
      <c r="AL19" s="132">
        <v>900.41719699999999</v>
      </c>
      <c r="AM19" s="132">
        <v>740.78521239999998</v>
      </c>
      <c r="AN19" s="132">
        <v>0</v>
      </c>
      <c r="AO19" s="132">
        <v>0</v>
      </c>
      <c r="AP19" s="132">
        <v>238</v>
      </c>
      <c r="AQ19" s="132">
        <v>165</v>
      </c>
      <c r="AR19" s="132">
        <v>290.45119425000001</v>
      </c>
      <c r="AS19" s="132">
        <v>491</v>
      </c>
      <c r="AT19" s="132">
        <v>635.81786475000001</v>
      </c>
      <c r="AU19" s="132">
        <v>561.60083275</v>
      </c>
      <c r="AV19" s="132">
        <v>894.59456375000002</v>
      </c>
      <c r="AW19" s="132">
        <v>1039.4785367500001</v>
      </c>
      <c r="AX19" s="132">
        <v>773.08539959000007</v>
      </c>
      <c r="AY19" s="132">
        <v>744.93182302000002</v>
      </c>
      <c r="AZ19" s="132">
        <v>1000</v>
      </c>
      <c r="BA19" s="132">
        <v>0</v>
      </c>
      <c r="BB19" s="132">
        <v>0</v>
      </c>
      <c r="BC19" s="132">
        <v>0</v>
      </c>
      <c r="BD19" s="132">
        <v>0</v>
      </c>
      <c r="BE19" s="132">
        <v>181.350212</v>
      </c>
      <c r="BF19" s="132">
        <v>230.34780900000001</v>
      </c>
      <c r="BG19" s="132">
        <v>206.01243299999999</v>
      </c>
      <c r="BH19" s="132">
        <v>196.202653</v>
      </c>
      <c r="BI19" s="132">
        <v>1210.4334349999999</v>
      </c>
      <c r="BJ19" s="132">
        <v>1526.46437866667</v>
      </c>
      <c r="BK19" s="132">
        <v>1726.1363966666702</v>
      </c>
      <c r="BL19" s="132">
        <v>1109.6377327499999</v>
      </c>
      <c r="BM19" s="132">
        <v>1538</v>
      </c>
      <c r="BN19" s="132">
        <v>1538</v>
      </c>
      <c r="BO19" s="132">
        <v>0</v>
      </c>
      <c r="BP19" s="132">
        <v>0</v>
      </c>
      <c r="BQ19" s="132">
        <v>0</v>
      </c>
      <c r="BR19" s="132">
        <v>232.82430299999999</v>
      </c>
      <c r="BS19" s="132">
        <v>624.44994999999994</v>
      </c>
      <c r="BT19" s="132">
        <v>1060.572019</v>
      </c>
      <c r="BU19" s="132">
        <v>1269.0798688599998</v>
      </c>
      <c r="BV19" s="132">
        <v>1468.500638</v>
      </c>
      <c r="BW19" s="132">
        <v>811.47023100000001</v>
      </c>
      <c r="BX19" s="132">
        <v>1006.2328236000001</v>
      </c>
      <c r="BY19" s="132">
        <v>1349.3629816</v>
      </c>
      <c r="BZ19" s="132">
        <v>750.30146160000004</v>
      </c>
      <c r="CA19" s="132">
        <v>1321.9353086000001</v>
      </c>
      <c r="CB19" s="132">
        <v>1893.1785685999998</v>
      </c>
      <c r="CC19" s="132">
        <v>0</v>
      </c>
      <c r="CD19" s="132">
        <v>0</v>
      </c>
      <c r="CE19" s="132">
        <v>249.639208</v>
      </c>
      <c r="CF19" s="132">
        <v>439.96601199999998</v>
      </c>
      <c r="CG19" s="132">
        <v>367.17861499999998</v>
      </c>
      <c r="CH19" s="132">
        <v>598.919849</v>
      </c>
      <c r="CI19" s="132">
        <v>793.16123500000003</v>
      </c>
      <c r="CJ19" s="132">
        <v>1237.616745</v>
      </c>
      <c r="CK19" s="132">
        <v>694.42554600000005</v>
      </c>
      <c r="CL19" s="132">
        <v>867.46291300000007</v>
      </c>
      <c r="CM19" s="132">
        <v>884.97475499999996</v>
      </c>
      <c r="CN19" s="132">
        <v>1507.1959830000003</v>
      </c>
      <c r="CO19" s="132">
        <v>1748.810843</v>
      </c>
      <c r="CP19" s="132">
        <v>0</v>
      </c>
      <c r="CQ19" s="132">
        <v>0</v>
      </c>
      <c r="CR19" s="132">
        <v>0</v>
      </c>
      <c r="CS19" s="132">
        <v>713.903638</v>
      </c>
      <c r="CT19" s="132">
        <v>1128.6048309999999</v>
      </c>
      <c r="CU19" s="132">
        <v>1759.0950320100001</v>
      </c>
      <c r="CV19" s="132">
        <v>313.70863299999996</v>
      </c>
      <c r="CW19" s="132">
        <v>396.86596000000009</v>
      </c>
      <c r="CX19" s="132">
        <v>547.62993400000005</v>
      </c>
      <c r="CY19" s="132">
        <v>655.53217699999993</v>
      </c>
      <c r="CZ19" s="132">
        <v>835.43199200000015</v>
      </c>
      <c r="DA19" s="132">
        <v>804.85734200000002</v>
      </c>
      <c r="DB19" s="132">
        <v>954.65281394754402</v>
      </c>
      <c r="DC19" s="132">
        <v>1057.5861789475439</v>
      </c>
      <c r="DD19" s="132">
        <v>0</v>
      </c>
      <c r="DE19" s="132">
        <v>0</v>
      </c>
      <c r="DF19" s="132"/>
      <c r="DG19" s="136">
        <v>150.11954600000001</v>
      </c>
      <c r="DH19" s="136">
        <v>180.32469499999999</v>
      </c>
      <c r="DI19" s="136">
        <v>233.98124596521325</v>
      </c>
      <c r="DJ19" s="136">
        <v>206.98105530644798</v>
      </c>
      <c r="DK19" s="136">
        <v>148.77983199999997</v>
      </c>
      <c r="DL19" s="136">
        <v>258.62214</v>
      </c>
      <c r="DM19" s="136">
        <v>365.93947099999997</v>
      </c>
      <c r="DN19" s="136">
        <v>219.67482200000001</v>
      </c>
      <c r="DO19" s="136">
        <v>330.46712599999989</v>
      </c>
      <c r="DP19" s="136">
        <v>360.95217099999991</v>
      </c>
      <c r="DQ19" s="136">
        <v>535.78002199999992</v>
      </c>
      <c r="DR19" s="136">
        <v>491.87948999999998</v>
      </c>
      <c r="DS19" s="133"/>
      <c r="DT19" s="133"/>
      <c r="DU19" s="136">
        <v>132.41902300000001</v>
      </c>
      <c r="DV19" s="136">
        <v>263.63850200000002</v>
      </c>
      <c r="DW19" s="136">
        <v>380.99751700000002</v>
      </c>
      <c r="DX19" s="136">
        <v>320.73236600000001</v>
      </c>
      <c r="DY19" s="136">
        <v>358.31779399999999</v>
      </c>
      <c r="DZ19" s="136">
        <v>433.06201800000002</v>
      </c>
      <c r="EA19" s="991">
        <f>+'AI_Por Regularizar e OPT'!$F$41/1000000</f>
        <v>549.20228299999997</v>
      </c>
      <c r="EB19" s="136">
        <f>+'AI_Por Regularizar e OPT'!$F$41/1000000</f>
        <v>549.20228299999997</v>
      </c>
      <c r="EC19" s="136">
        <f>+'AI_Por Regularizar e OPT'!$F$41/1000000</f>
        <v>549.20228299999997</v>
      </c>
      <c r="ED19" s="136">
        <f>+'AI_Por Regularizar e OPT'!$F$41/1000000</f>
        <v>549.20228299999997</v>
      </c>
      <c r="EE19" s="136">
        <f>+'AI_Por Regularizar e OPT'!$F$41/1000000</f>
        <v>549.20228299999997</v>
      </c>
      <c r="EF19" s="136">
        <f>+'AI_Por Regularizar e OPT'!$F$41/1000000</f>
        <v>549.20228299999997</v>
      </c>
      <c r="EG19" s="103"/>
      <c r="EH19" s="963">
        <f>+(EA19/DM19-1)*100</f>
        <v>50.080088791514932</v>
      </c>
      <c r="EI19" s="971">
        <f t="shared" si="2"/>
        <v>183.262812</v>
      </c>
      <c r="EO19" s="137"/>
    </row>
    <row r="20" spans="1:147" ht="15" customHeight="1">
      <c r="A20" s="22" t="s">
        <v>108</v>
      </c>
      <c r="B20" s="138">
        <v>38310.697212570005</v>
      </c>
      <c r="C20" s="138">
        <f t="shared" ref="C20:BN20" si="3">+C4+C7+C8+C12+C13+C17+C18+C19</f>
        <v>1913.9961948509813</v>
      </c>
      <c r="D20" s="138">
        <f t="shared" si="3"/>
        <v>27914.826236212833</v>
      </c>
      <c r="E20" s="138">
        <f t="shared" si="3"/>
        <v>7273.8736758509822</v>
      </c>
      <c r="F20" s="138">
        <f t="shared" si="3"/>
        <v>9451.0599031625006</v>
      </c>
      <c r="G20" s="138">
        <f t="shared" si="3"/>
        <v>12303.4786400225</v>
      </c>
      <c r="H20" s="138">
        <f>+H4+H7+H8+H12+H13+H17+H18+H19</f>
        <v>15504.828362022501</v>
      </c>
      <c r="I20" s="138">
        <f t="shared" si="3"/>
        <v>17248.490342022502</v>
      </c>
      <c r="J20" s="138">
        <f t="shared" si="3"/>
        <v>20218.043961172029</v>
      </c>
      <c r="K20" s="138">
        <f t="shared" si="3"/>
        <v>23686.324516459925</v>
      </c>
      <c r="L20" s="138">
        <f t="shared" si="3"/>
        <v>26078.325448459931</v>
      </c>
      <c r="M20" s="138">
        <f t="shared" si="3"/>
        <v>28730.622620984144</v>
      </c>
      <c r="N20" s="138">
        <f t="shared" si="3"/>
        <v>34262.01066498414</v>
      </c>
      <c r="O20" s="138">
        <f t="shared" si="3"/>
        <v>42112.365147588003</v>
      </c>
      <c r="P20" s="138">
        <f t="shared" si="3"/>
        <v>2269.5409309900001</v>
      </c>
      <c r="Q20" s="138">
        <f t="shared" si="3"/>
        <v>4660.4791329899999</v>
      </c>
      <c r="R20" s="138">
        <f t="shared" si="3"/>
        <v>8342.6974129900009</v>
      </c>
      <c r="S20" s="138">
        <f t="shared" si="3"/>
        <v>10000.94160654</v>
      </c>
      <c r="T20" s="138">
        <f t="shared" si="3"/>
        <v>13244.10942999</v>
      </c>
      <c r="U20" s="138">
        <f t="shared" si="3"/>
        <v>16235.464981350004</v>
      </c>
      <c r="V20" s="138">
        <f t="shared" si="3"/>
        <v>18825.885373989997</v>
      </c>
      <c r="W20" s="138">
        <f t="shared" si="3"/>
        <v>22240.04302135</v>
      </c>
      <c r="X20" s="138">
        <f t="shared" si="3"/>
        <v>24520.528944000002</v>
      </c>
      <c r="Y20" s="138">
        <f t="shared" si="3"/>
        <v>27453.715926329998</v>
      </c>
      <c r="Z20" s="138">
        <f t="shared" si="3"/>
        <v>30160.639497329998</v>
      </c>
      <c r="AA20" s="138">
        <f t="shared" si="3"/>
        <v>35424.057532899991</v>
      </c>
      <c r="AB20" s="138">
        <f t="shared" si="3"/>
        <v>43693.705970585826</v>
      </c>
      <c r="AC20" s="138">
        <f t="shared" si="3"/>
        <v>2371.1314410000005</v>
      </c>
      <c r="AD20" s="138">
        <f t="shared" si="3"/>
        <v>5020.4053269999986</v>
      </c>
      <c r="AE20" s="138">
        <f t="shared" si="3"/>
        <v>7903.1919460000008</v>
      </c>
      <c r="AF20" s="138">
        <f t="shared" si="3"/>
        <v>10901.755468000001</v>
      </c>
      <c r="AG20" s="138">
        <f t="shared" si="3"/>
        <v>13729.66639</v>
      </c>
      <c r="AH20" s="138">
        <f t="shared" si="3"/>
        <v>16862.006324999998</v>
      </c>
      <c r="AI20" s="138">
        <f t="shared" si="3"/>
        <v>19640.540615999998</v>
      </c>
      <c r="AJ20" s="138">
        <f t="shared" si="3"/>
        <v>22525.406804671104</v>
      </c>
      <c r="AK20" s="138">
        <f t="shared" si="3"/>
        <v>25764.801534000002</v>
      </c>
      <c r="AL20" s="138">
        <f t="shared" si="3"/>
        <v>28437.268703059999</v>
      </c>
      <c r="AM20" s="138">
        <f t="shared" si="3"/>
        <v>31076.872433459997</v>
      </c>
      <c r="AN20" s="138">
        <f t="shared" si="3"/>
        <v>37542.424217699423</v>
      </c>
      <c r="AO20" s="138">
        <f t="shared" si="3"/>
        <v>43913.093026000002</v>
      </c>
      <c r="AP20" s="138">
        <f t="shared" si="3"/>
        <v>2396.0747249999999</v>
      </c>
      <c r="AQ20" s="138">
        <f t="shared" si="3"/>
        <v>5061.2066910000003</v>
      </c>
      <c r="AR20" s="138">
        <f t="shared" si="3"/>
        <v>9050.0743333400751</v>
      </c>
      <c r="AS20" s="138">
        <f t="shared" si="3"/>
        <v>11436.14903325</v>
      </c>
      <c r="AT20" s="138">
        <f t="shared" si="3"/>
        <v>14883.935959</v>
      </c>
      <c r="AU20" s="138">
        <f t="shared" si="3"/>
        <v>19374.67439424698</v>
      </c>
      <c r="AV20" s="138">
        <f t="shared" si="3"/>
        <v>21544.334908000001</v>
      </c>
      <c r="AW20" s="138">
        <f t="shared" si="3"/>
        <v>24961.977681999997</v>
      </c>
      <c r="AX20" s="138">
        <f t="shared" si="3"/>
        <v>28898.442082805534</v>
      </c>
      <c r="AY20" s="138">
        <f t="shared" si="3"/>
        <v>30927.810084019999</v>
      </c>
      <c r="AZ20" s="138">
        <f t="shared" si="3"/>
        <v>34519.64455313528</v>
      </c>
      <c r="BA20" s="138">
        <f t="shared" si="3"/>
        <v>41068.109007800005</v>
      </c>
      <c r="BB20" s="138">
        <f t="shared" si="3"/>
        <v>49614.155821</v>
      </c>
      <c r="BC20" s="138">
        <f t="shared" si="3"/>
        <v>44015.265998190953</v>
      </c>
      <c r="BD20" s="138">
        <f t="shared" si="3"/>
        <v>2371.1095952500004</v>
      </c>
      <c r="BE20" s="138">
        <f t="shared" si="3"/>
        <v>5509.3221544099997</v>
      </c>
      <c r="BF20" s="138">
        <f t="shared" si="3"/>
        <v>9782.1775127779147</v>
      </c>
      <c r="BG20" s="138">
        <f t="shared" si="3"/>
        <v>15567.967878619998</v>
      </c>
      <c r="BH20" s="138">
        <f t="shared" si="3"/>
        <v>15646.639096355</v>
      </c>
      <c r="BI20" s="138">
        <f t="shared" si="3"/>
        <v>20659.831874620057</v>
      </c>
      <c r="BJ20" s="138">
        <f t="shared" si="3"/>
        <v>23039.111454091668</v>
      </c>
      <c r="BK20" s="138">
        <f t="shared" si="3"/>
        <v>26392.288117861666</v>
      </c>
      <c r="BL20" s="138">
        <f t="shared" si="3"/>
        <v>30364.567507419455</v>
      </c>
      <c r="BM20" s="138">
        <f t="shared" si="3"/>
        <v>32887.476412079995</v>
      </c>
      <c r="BN20" s="138">
        <f t="shared" si="3"/>
        <v>36131.664474489997</v>
      </c>
      <c r="BO20" s="138">
        <f t="shared" ref="BO20:DD20" si="4">+BO4+BO7+BO8+BO12+BO13+BO17+BO18+BO19</f>
        <v>43566.940354860002</v>
      </c>
      <c r="BP20" s="138">
        <f t="shared" si="4"/>
        <v>48780.354896014993</v>
      </c>
      <c r="BQ20" s="138">
        <f t="shared" si="4"/>
        <v>49538.772408450008</v>
      </c>
      <c r="BR20" s="138">
        <f t="shared" si="4"/>
        <v>2700.8576809199994</v>
      </c>
      <c r="BS20" s="138">
        <f t="shared" si="4"/>
        <v>6059.0148639499994</v>
      </c>
      <c r="BT20" s="138">
        <f t="shared" si="4"/>
        <v>10286.327463689999</v>
      </c>
      <c r="BU20" s="138">
        <f t="shared" si="4"/>
        <v>13887.426122841822</v>
      </c>
      <c r="BV20" s="138">
        <f t="shared" si="4"/>
        <v>17052.533382539998</v>
      </c>
      <c r="BW20" s="138">
        <f t="shared" si="4"/>
        <v>20191.128885709411</v>
      </c>
      <c r="BX20" s="138">
        <f t="shared" si="4"/>
        <v>22953.915250911927</v>
      </c>
      <c r="BY20" s="138">
        <f t="shared" si="4"/>
        <v>27146.696855141105</v>
      </c>
      <c r="BZ20" s="138">
        <f t="shared" si="4"/>
        <v>30965.324247778703</v>
      </c>
      <c r="CA20" s="138">
        <f t="shared" si="4"/>
        <v>33149.841411937989</v>
      </c>
      <c r="CB20" s="138">
        <f t="shared" si="4"/>
        <v>37293.931381971604</v>
      </c>
      <c r="CC20" s="138">
        <f t="shared" si="4"/>
        <v>44759.689171470003</v>
      </c>
      <c r="CD20" s="138">
        <f t="shared" si="4"/>
        <v>53582.678831115001</v>
      </c>
      <c r="CE20" s="138">
        <f t="shared" si="4"/>
        <v>2997.5632053354352</v>
      </c>
      <c r="CF20" s="138">
        <f t="shared" si="4"/>
        <v>6158.6871041539744</v>
      </c>
      <c r="CG20" s="138">
        <f t="shared" si="4"/>
        <v>10399.019991655865</v>
      </c>
      <c r="CH20" s="138">
        <f t="shared" si="4"/>
        <v>14155.924731654301</v>
      </c>
      <c r="CI20" s="138">
        <f t="shared" si="4"/>
        <v>18536.58913386341</v>
      </c>
      <c r="CJ20" s="138">
        <f t="shared" si="4"/>
        <v>22949.740771999994</v>
      </c>
      <c r="CK20" s="138">
        <f t="shared" si="4"/>
        <v>25622.662262977243</v>
      </c>
      <c r="CL20" s="138">
        <f t="shared" si="4"/>
        <v>29745.931907999999</v>
      </c>
      <c r="CM20" s="138">
        <f t="shared" si="4"/>
        <v>34490.960229000011</v>
      </c>
      <c r="CN20" s="138">
        <f t="shared" si="4"/>
        <v>38276.034216419837</v>
      </c>
      <c r="CO20" s="138">
        <f t="shared" si="4"/>
        <v>42835.599576000001</v>
      </c>
      <c r="CP20" s="138">
        <f t="shared" si="4"/>
        <v>48071.903061999998</v>
      </c>
      <c r="CQ20" s="138">
        <f t="shared" si="4"/>
        <v>59146.75931173499</v>
      </c>
      <c r="CR20" s="138">
        <f t="shared" si="4"/>
        <v>56873.918827533984</v>
      </c>
      <c r="CS20" s="138">
        <f t="shared" si="4"/>
        <v>3753.4743090000002</v>
      </c>
      <c r="CT20" s="138">
        <f t="shared" si="4"/>
        <v>7899.5532615229831</v>
      </c>
      <c r="CU20" s="138">
        <f t="shared" si="4"/>
        <v>12771.76966077995</v>
      </c>
      <c r="CV20" s="138">
        <f t="shared" si="4"/>
        <v>15323.171162409999</v>
      </c>
      <c r="CW20" s="138">
        <f t="shared" si="4"/>
        <v>20142.41044893023</v>
      </c>
      <c r="CX20" s="138">
        <f t="shared" si="4"/>
        <v>24119.368183409999</v>
      </c>
      <c r="CY20" s="138">
        <f t="shared" si="4"/>
        <v>28413.457168410005</v>
      </c>
      <c r="CZ20" s="138">
        <f t="shared" si="4"/>
        <v>32404.553369410005</v>
      </c>
      <c r="DA20" s="138">
        <f t="shared" si="4"/>
        <v>36491.995719409999</v>
      </c>
      <c r="DB20" s="138">
        <f t="shared" si="4"/>
        <v>40784.547804357542</v>
      </c>
      <c r="DC20" s="138">
        <f t="shared" si="4"/>
        <v>45577.964922357547</v>
      </c>
      <c r="DD20" s="138">
        <f t="shared" si="4"/>
        <v>54850.481968410008</v>
      </c>
      <c r="DE20" s="138">
        <v>62385.870566955004</v>
      </c>
      <c r="DF20" s="23">
        <v>64973.815866000004</v>
      </c>
      <c r="DG20" s="23">
        <f>+DG4+DG7+DG8+DG12+DG13+DG17+DG18+DG19</f>
        <v>3278.0205175961187</v>
      </c>
      <c r="DH20" s="23">
        <f t="shared" ref="DH20:DT20" si="5">+DH4+DH7+DH8+DH12+DH13+DH17+DH18+DH19</f>
        <v>7433.2735230000008</v>
      </c>
      <c r="DI20" s="23">
        <f t="shared" si="5"/>
        <v>11807.119100965214</v>
      </c>
      <c r="DJ20" s="23">
        <f t="shared" si="5"/>
        <v>15826.908270492235</v>
      </c>
      <c r="DK20" s="23">
        <f t="shared" si="5"/>
        <v>20219.577235000001</v>
      </c>
      <c r="DL20" s="23">
        <f t="shared" si="5"/>
        <v>24382.289376839475</v>
      </c>
      <c r="DM20" s="23">
        <f t="shared" si="5"/>
        <v>28784.265061638045</v>
      </c>
      <c r="DN20" s="23">
        <f t="shared" si="5"/>
        <v>32451.375996999999</v>
      </c>
      <c r="DO20" s="23">
        <f t="shared" si="5"/>
        <v>37686.992590138048</v>
      </c>
      <c r="DP20" s="23">
        <f t="shared" si="5"/>
        <v>42325.284825605704</v>
      </c>
      <c r="DQ20" s="23">
        <f t="shared" si="5"/>
        <v>47068.334893837913</v>
      </c>
      <c r="DR20" s="23">
        <f t="shared" si="5"/>
        <v>54283.861394561107</v>
      </c>
      <c r="DS20" s="23">
        <f t="shared" si="5"/>
        <v>61004.397601999997</v>
      </c>
      <c r="DT20" s="23">
        <f t="shared" si="5"/>
        <v>63473.053420999997</v>
      </c>
      <c r="DU20" s="23">
        <v>3159.710564</v>
      </c>
      <c r="DV20" s="23">
        <v>7272.4493650175527</v>
      </c>
      <c r="DW20" s="23">
        <v>12003.071378999997</v>
      </c>
      <c r="DX20" s="23">
        <v>16998.166376000001</v>
      </c>
      <c r="DY20" s="23">
        <v>21076.679742</v>
      </c>
      <c r="DZ20" s="23">
        <f>+DZ4+DZ7+DZ8+DZ12+DZ13+DZ17+DZ18+DZ19</f>
        <v>25466.699182</v>
      </c>
      <c r="EA20" s="23">
        <f t="shared" ref="EA20:EF20" si="6">+EA4+EA7+EA8+EA12+EA13+EA17+EA18+EA19</f>
        <v>30070.697934</v>
      </c>
      <c r="EB20" s="23">
        <f t="shared" si="6"/>
        <v>549.20228299999997</v>
      </c>
      <c r="EC20" s="23">
        <f t="shared" si="6"/>
        <v>549.20228299999997</v>
      </c>
      <c r="ED20" s="23">
        <f t="shared" si="6"/>
        <v>549.20228299999997</v>
      </c>
      <c r="EE20" s="23">
        <f t="shared" si="6"/>
        <v>549.20228299999997</v>
      </c>
      <c r="EF20" s="23">
        <f t="shared" si="6"/>
        <v>549.20228299999997</v>
      </c>
      <c r="EG20" s="139">
        <f t="shared" si="0"/>
        <v>47.375533889238007</v>
      </c>
      <c r="EH20" s="139">
        <f>+(EA20/DM20-1)*100</f>
        <v>4.4692225756232107</v>
      </c>
      <c r="EI20" s="971">
        <f t="shared" si="2"/>
        <v>1286.4328723619547</v>
      </c>
      <c r="EK20" s="137"/>
      <c r="EQ20" s="137"/>
    </row>
    <row r="21" spans="1:147" ht="15" customHeight="1">
      <c r="A21" s="22" t="s">
        <v>83</v>
      </c>
      <c r="B21" s="138">
        <v>14694.381012972948</v>
      </c>
      <c r="C21" s="138">
        <v>1888.9956649999999</v>
      </c>
      <c r="D21" s="138">
        <v>2133.5794259999998</v>
      </c>
      <c r="E21" s="138">
        <v>2887.45973</v>
      </c>
      <c r="F21" s="138">
        <v>4741.388766</v>
      </c>
      <c r="G21" s="138">
        <v>5688.4097190000002</v>
      </c>
      <c r="H21" s="138">
        <v>7154.1434169999993</v>
      </c>
      <c r="I21" s="138">
        <v>8087.0345509999988</v>
      </c>
      <c r="J21" s="138">
        <v>9726.3176179999991</v>
      </c>
      <c r="K21" s="138">
        <v>15554.462108</v>
      </c>
      <c r="L21" s="138">
        <v>12584.035416000001</v>
      </c>
      <c r="M21" s="138">
        <v>13853.539434</v>
      </c>
      <c r="N21" s="138">
        <v>17743.608951000002</v>
      </c>
      <c r="O21" s="138">
        <v>18318.084741162296</v>
      </c>
      <c r="P21" s="138">
        <v>251.22490637294999</v>
      </c>
      <c r="Q21" s="138">
        <v>380.97844343330001</v>
      </c>
      <c r="R21" s="138">
        <v>2504.9985149999998</v>
      </c>
      <c r="S21" s="138">
        <v>3285.65615207374</v>
      </c>
      <c r="T21" s="138">
        <v>5213.958090835682</v>
      </c>
      <c r="U21" s="138">
        <v>4542.5409440668882</v>
      </c>
      <c r="V21" s="138">
        <v>5924.7015256999994</v>
      </c>
      <c r="W21" s="138">
        <v>6508.9733637429672</v>
      </c>
      <c r="X21" s="138">
        <v>9222.335986</v>
      </c>
      <c r="Y21" s="138">
        <v>9611.3425909500002</v>
      </c>
      <c r="Z21" s="138">
        <v>10557.711482950001</v>
      </c>
      <c r="AA21" s="138">
        <v>16614.626389950001</v>
      </c>
      <c r="AB21" s="138">
        <v>14165.225444612968</v>
      </c>
      <c r="AC21" s="138">
        <v>619.11469899999997</v>
      </c>
      <c r="AD21" s="138">
        <v>1145.530522</v>
      </c>
      <c r="AE21" s="138">
        <v>1834.8793615788031</v>
      </c>
      <c r="AF21" s="138">
        <v>2313.8067179999998</v>
      </c>
      <c r="AG21" s="138">
        <v>2628.0247999999997</v>
      </c>
      <c r="AH21" s="138">
        <v>3757.9672301435539</v>
      </c>
      <c r="AI21" s="138">
        <v>3748.2370890000002</v>
      </c>
      <c r="AJ21" s="138">
        <v>5465.549516350171</v>
      </c>
      <c r="AK21" s="138">
        <v>7163.5660426803997</v>
      </c>
      <c r="AL21" s="138">
        <v>7142.8985339573092</v>
      </c>
      <c r="AM21" s="138">
        <v>7473.9725185382076</v>
      </c>
      <c r="AN21" s="138">
        <v>9850.392804663441</v>
      </c>
      <c r="AO21" s="138">
        <v>13300</v>
      </c>
      <c r="AP21" s="138">
        <v>30.930285999999999</v>
      </c>
      <c r="AQ21" s="138">
        <v>102</v>
      </c>
      <c r="AR21" s="138">
        <v>916.67034037256008</v>
      </c>
      <c r="AS21" s="138">
        <v>2083.7244373407902</v>
      </c>
      <c r="AT21" s="138">
        <v>1925.830723497239</v>
      </c>
      <c r="AU21" s="138">
        <v>2914.562621</v>
      </c>
      <c r="AV21" s="138">
        <v>3705.8773349425487</v>
      </c>
      <c r="AW21" s="138">
        <v>3892.5562808138593</v>
      </c>
      <c r="AX21" s="138">
        <v>5344.5421769779623</v>
      </c>
      <c r="AY21" s="138">
        <v>5390.0543076359008</v>
      </c>
      <c r="AZ21" s="138">
        <v>5948.5263500000001</v>
      </c>
      <c r="BA21" s="138">
        <v>9122.4892009999985</v>
      </c>
      <c r="BB21" s="138">
        <v>9809.1454740000008</v>
      </c>
      <c r="BC21" s="138">
        <v>5040.3397403884701</v>
      </c>
      <c r="BD21" s="138">
        <v>164.20326601184999</v>
      </c>
      <c r="BE21" s="138">
        <v>284.91072101185</v>
      </c>
      <c r="BF21" s="138">
        <v>624.26979464159001</v>
      </c>
      <c r="BG21" s="138">
        <v>1169.610827</v>
      </c>
      <c r="BH21" s="138">
        <v>1409.1349263949999</v>
      </c>
      <c r="BI21" s="138">
        <v>1984.8653617780599</v>
      </c>
      <c r="BJ21" s="138">
        <v>2086.4057945750001</v>
      </c>
      <c r="BK21" s="138">
        <v>2288.4927605749999</v>
      </c>
      <c r="BL21" s="138">
        <v>3176.6547169693272</v>
      </c>
      <c r="BM21" s="138">
        <v>3095.9225374900002</v>
      </c>
      <c r="BN21" s="138">
        <v>3474.4042734900004</v>
      </c>
      <c r="BO21" s="138">
        <v>5609.98668774</v>
      </c>
      <c r="BP21" s="138">
        <v>7883.1684850000001</v>
      </c>
      <c r="BQ21" s="138">
        <v>6353.3864890000023</v>
      </c>
      <c r="BR21" s="138">
        <v>111.119454</v>
      </c>
      <c r="BS21" s="138">
        <v>167.93904499999999</v>
      </c>
      <c r="BT21" s="138">
        <v>592.07260799999995</v>
      </c>
      <c r="BU21" s="138">
        <v>574.32178935000002</v>
      </c>
      <c r="BV21" s="138">
        <v>750.20627875000002</v>
      </c>
      <c r="BW21" s="138">
        <v>1645.6377647053441</v>
      </c>
      <c r="BX21" s="138">
        <v>1486.0429008699998</v>
      </c>
      <c r="BY21" s="138">
        <v>2172.6809450699993</v>
      </c>
      <c r="BZ21" s="138">
        <v>3216.5068900055294</v>
      </c>
      <c r="CA21" s="138">
        <v>1923.7782438700001</v>
      </c>
      <c r="CB21" s="138">
        <v>2323.4014125000003</v>
      </c>
      <c r="CC21" s="138">
        <v>10058.583077500003</v>
      </c>
      <c r="CD21" s="138">
        <v>7242.6964648400008</v>
      </c>
      <c r="CE21" s="138">
        <v>49.961186604900007</v>
      </c>
      <c r="CF21" s="138">
        <v>108.10468315542001</v>
      </c>
      <c r="CG21" s="138">
        <v>392.63549887524317</v>
      </c>
      <c r="CH21" s="138">
        <v>394.5202745835532</v>
      </c>
      <c r="CI21" s="138">
        <v>572.98420299999998</v>
      </c>
      <c r="CJ21" s="138">
        <v>1381.6925059413347</v>
      </c>
      <c r="CK21" s="138">
        <v>2304.4617712191612</v>
      </c>
      <c r="CL21" s="138">
        <v>1204.365390347815</v>
      </c>
      <c r="CM21" s="138">
        <v>3515.8293993018146</v>
      </c>
      <c r="CN21" s="138">
        <v>3358.9132219999997</v>
      </c>
      <c r="CO21" s="138">
        <v>4020.0137042352658</v>
      </c>
      <c r="CP21" s="138">
        <v>8065.1541930000003</v>
      </c>
      <c r="CQ21" s="138">
        <v>12326.075472655</v>
      </c>
      <c r="CR21" s="138">
        <v>11093.7994936593</v>
      </c>
      <c r="CS21" s="138">
        <v>57.354674000000003</v>
      </c>
      <c r="CT21" s="138">
        <v>234.90549099999998</v>
      </c>
      <c r="CU21" s="138">
        <v>583.01675833976003</v>
      </c>
      <c r="CV21" s="138">
        <v>981.36336200000005</v>
      </c>
      <c r="CW21" s="138">
        <v>1428.37392191151</v>
      </c>
      <c r="CX21" s="138">
        <v>1749.0345520717799</v>
      </c>
      <c r="CY21" s="138">
        <v>2054.3952434308299</v>
      </c>
      <c r="CZ21" s="138">
        <v>2475.9289819763603</v>
      </c>
      <c r="DA21" s="138">
        <v>2753.1262143513495</v>
      </c>
      <c r="DB21" s="138">
        <v>3000.7424265275504</v>
      </c>
      <c r="DC21" s="138">
        <v>3744.6841738044095</v>
      </c>
      <c r="DD21" s="138">
        <v>8900.125485999999</v>
      </c>
      <c r="DE21" s="138">
        <v>10803.139777745</v>
      </c>
      <c r="DF21" s="23">
        <v>10301.162644</v>
      </c>
      <c r="DG21" s="23">
        <v>89.983092164759995</v>
      </c>
      <c r="DH21" s="23">
        <v>178.78956216476001</v>
      </c>
      <c r="DI21" s="23">
        <v>528</v>
      </c>
      <c r="DJ21" s="23">
        <v>553.24317856026994</v>
      </c>
      <c r="DK21" s="23">
        <v>628.19598195241997</v>
      </c>
      <c r="DL21" s="23">
        <v>889.03301561057606</v>
      </c>
      <c r="DM21" s="23">
        <v>1049.5144239023477</v>
      </c>
      <c r="DN21" s="23">
        <v>1223.1698070251477</v>
      </c>
      <c r="DO21" s="23">
        <v>1478.9180660000002</v>
      </c>
      <c r="DP21" s="23">
        <v>1808.846706</v>
      </c>
      <c r="DQ21" s="23">
        <v>3643.9588680000002</v>
      </c>
      <c r="DR21" s="23">
        <v>4591.8442670000004</v>
      </c>
      <c r="DS21" s="23">
        <f t="shared" ref="DS21:DT21" si="7">+DS22</f>
        <v>16891.629069999999</v>
      </c>
      <c r="DT21" s="23">
        <f t="shared" si="7"/>
        <v>11352.788653</v>
      </c>
      <c r="DU21" s="23">
        <v>32.316853999999999</v>
      </c>
      <c r="DV21" s="23">
        <v>161.42721700000001</v>
      </c>
      <c r="DW21" s="23">
        <v>455.47124600000001</v>
      </c>
      <c r="DX21" s="23">
        <v>581.74810100000002</v>
      </c>
      <c r="DY21" s="23">
        <v>761.07856600000002</v>
      </c>
      <c r="DZ21" s="23">
        <f t="shared" ref="DZ21:EF21" si="8">+DZ22</f>
        <v>1029.819344</v>
      </c>
      <c r="EA21" s="23">
        <f t="shared" si="8"/>
        <v>1201.1576379999999</v>
      </c>
      <c r="EB21" s="23">
        <f t="shared" si="8"/>
        <v>1201.1576379999999</v>
      </c>
      <c r="EC21" s="23">
        <f t="shared" si="8"/>
        <v>1201.1576379999999</v>
      </c>
      <c r="ED21" s="23">
        <f t="shared" si="8"/>
        <v>1201.1576379999999</v>
      </c>
      <c r="EE21" s="23">
        <f t="shared" si="8"/>
        <v>1201.1576379999999</v>
      </c>
      <c r="EF21" s="23">
        <f t="shared" si="8"/>
        <v>1201.1576379999999</v>
      </c>
      <c r="EG21" s="140">
        <f t="shared" si="0"/>
        <v>10.580287141015273</v>
      </c>
      <c r="EH21" s="140">
        <f>+(EA21/DM21-1)*100</f>
        <v>14.448892806428159</v>
      </c>
      <c r="EI21" s="971">
        <f t="shared" si="2"/>
        <v>151.64321409765216</v>
      </c>
      <c r="EK21" s="137"/>
    </row>
    <row r="22" spans="1:147" ht="15" customHeight="1">
      <c r="A22" s="141" t="s">
        <v>84</v>
      </c>
      <c r="B22" s="132">
        <v>14694.381012972948</v>
      </c>
      <c r="C22" s="132">
        <v>1888.9956649999999</v>
      </c>
      <c r="D22" s="132">
        <v>2133.5794259999998</v>
      </c>
      <c r="E22" s="132">
        <v>2887.45973</v>
      </c>
      <c r="F22" s="132">
        <v>4741.388766</v>
      </c>
      <c r="G22" s="132">
        <v>5688.4097190000002</v>
      </c>
      <c r="H22" s="132">
        <v>7154.1434169999993</v>
      </c>
      <c r="I22" s="132">
        <v>8087.0345509999988</v>
      </c>
      <c r="J22" s="132">
        <v>9726.3176179999991</v>
      </c>
      <c r="K22" s="132">
        <v>15554.462108</v>
      </c>
      <c r="L22" s="132">
        <v>12584.035416000001</v>
      </c>
      <c r="M22" s="132">
        <v>13853.539434</v>
      </c>
      <c r="N22" s="132">
        <v>17743.608951000002</v>
      </c>
      <c r="O22" s="132">
        <v>18318.084741162296</v>
      </c>
      <c r="P22" s="132">
        <v>251.22490637294999</v>
      </c>
      <c r="Q22" s="132">
        <v>380.97844343330001</v>
      </c>
      <c r="R22" s="132">
        <v>2504.9985149999998</v>
      </c>
      <c r="S22" s="132">
        <v>3285.65615207374</v>
      </c>
      <c r="T22" s="132">
        <v>5213.958090835682</v>
      </c>
      <c r="U22" s="132">
        <v>4542.5409440668882</v>
      </c>
      <c r="V22" s="132">
        <v>5924.7015256999994</v>
      </c>
      <c r="W22" s="132">
        <v>6508.9733637429672</v>
      </c>
      <c r="X22" s="132">
        <v>9222.335986</v>
      </c>
      <c r="Y22" s="132">
        <v>9611.3425909500002</v>
      </c>
      <c r="Z22" s="132">
        <v>10557.711482950001</v>
      </c>
      <c r="AA22" s="132">
        <v>16614.626389950001</v>
      </c>
      <c r="AB22" s="132">
        <v>14165.225444612968</v>
      </c>
      <c r="AC22" s="132">
        <v>619.11469899999997</v>
      </c>
      <c r="AD22" s="132">
        <v>1145.530522</v>
      </c>
      <c r="AE22" s="132">
        <v>1834.8793615788031</v>
      </c>
      <c r="AF22" s="132">
        <v>2313.8067179999998</v>
      </c>
      <c r="AG22" s="132">
        <v>2628.0247999999997</v>
      </c>
      <c r="AH22" s="132">
        <v>3757.9672301435539</v>
      </c>
      <c r="AI22" s="132">
        <v>3748.2370890000002</v>
      </c>
      <c r="AJ22" s="132">
        <v>5465.549516350171</v>
      </c>
      <c r="AK22" s="132">
        <v>7163.5660426803997</v>
      </c>
      <c r="AL22" s="132">
        <v>7142.8985339573092</v>
      </c>
      <c r="AM22" s="132">
        <v>7473.9725185382076</v>
      </c>
      <c r="AN22" s="132">
        <v>9850.392804663441</v>
      </c>
      <c r="AO22" s="132">
        <v>13300</v>
      </c>
      <c r="AP22" s="132">
        <v>30.930285999999999</v>
      </c>
      <c r="AQ22" s="132">
        <v>102</v>
      </c>
      <c r="AR22" s="132">
        <v>916.67034037256008</v>
      </c>
      <c r="AS22" s="132">
        <v>2083.7244373407902</v>
      </c>
      <c r="AT22" s="132">
        <v>1925.830723497239</v>
      </c>
      <c r="AU22" s="132">
        <v>2914.562621</v>
      </c>
      <c r="AV22" s="132">
        <v>3705.8773349425487</v>
      </c>
      <c r="AW22" s="132">
        <v>3892.5562808138593</v>
      </c>
      <c r="AX22" s="132">
        <v>5344.5421769779623</v>
      </c>
      <c r="AY22" s="132">
        <v>5390.0543076359008</v>
      </c>
      <c r="AZ22" s="132">
        <v>5948.5263500000001</v>
      </c>
      <c r="BA22" s="132">
        <v>9122.4892009999985</v>
      </c>
      <c r="BB22" s="132">
        <v>9809.1454740000008</v>
      </c>
      <c r="BC22" s="132">
        <v>5040.3397403884701</v>
      </c>
      <c r="BD22" s="132">
        <v>164.20326601184999</v>
      </c>
      <c r="BE22" s="132">
        <v>284.91072101185</v>
      </c>
      <c r="BF22" s="132">
        <v>624.26979464159001</v>
      </c>
      <c r="BG22" s="132">
        <v>1169.610827</v>
      </c>
      <c r="BH22" s="132">
        <v>1409.1349263949999</v>
      </c>
      <c r="BI22" s="132">
        <v>1984.8653617780599</v>
      </c>
      <c r="BJ22" s="132">
        <v>2086.4057945750001</v>
      </c>
      <c r="BK22" s="132">
        <v>2288.4927605749999</v>
      </c>
      <c r="BL22" s="132">
        <v>3176.6547169693272</v>
      </c>
      <c r="BM22" s="132">
        <v>3095.9225374900002</v>
      </c>
      <c r="BN22" s="132">
        <v>3474.4042734900004</v>
      </c>
      <c r="BO22" s="132">
        <v>5609.98668774</v>
      </c>
      <c r="BP22" s="132">
        <v>7883.1684850000001</v>
      </c>
      <c r="BQ22" s="132">
        <v>6353.3864890000023</v>
      </c>
      <c r="BR22" s="132">
        <v>111.119454</v>
      </c>
      <c r="BS22" s="132">
        <v>167.93904499999999</v>
      </c>
      <c r="BT22" s="132">
        <v>592.07260799999995</v>
      </c>
      <c r="BU22" s="132">
        <v>574.32178935000002</v>
      </c>
      <c r="BV22" s="132">
        <v>750.20627875000002</v>
      </c>
      <c r="BW22" s="132">
        <v>1645.6377647053441</v>
      </c>
      <c r="BX22" s="132">
        <v>1486.0429008699998</v>
      </c>
      <c r="BY22" s="132">
        <v>2172.6809450699993</v>
      </c>
      <c r="BZ22" s="132">
        <v>3216.5068900055294</v>
      </c>
      <c r="CA22" s="132">
        <v>1923.7782438700001</v>
      </c>
      <c r="CB22" s="132">
        <v>2323.4014125000003</v>
      </c>
      <c r="CC22" s="132">
        <v>10058.583077500003</v>
      </c>
      <c r="CD22" s="132">
        <v>7242.6964648400008</v>
      </c>
      <c r="CE22" s="132">
        <v>49.961186604900007</v>
      </c>
      <c r="CF22" s="132">
        <v>108.10468315542001</v>
      </c>
      <c r="CG22" s="132">
        <v>392.63549887524317</v>
      </c>
      <c r="CH22" s="132">
        <v>394.5202745835532</v>
      </c>
      <c r="CI22" s="132">
        <v>572.98420299999998</v>
      </c>
      <c r="CJ22" s="132">
        <v>1381.6925059413347</v>
      </c>
      <c r="CK22" s="132">
        <v>2304.4617712191612</v>
      </c>
      <c r="CL22" s="132">
        <v>1204.365390347815</v>
      </c>
      <c r="CM22" s="132">
        <v>3515.8293993018146</v>
      </c>
      <c r="CN22" s="132">
        <v>3358.9132219999997</v>
      </c>
      <c r="CO22" s="132">
        <v>4020.0137042352658</v>
      </c>
      <c r="CP22" s="132">
        <v>8065.1541930000003</v>
      </c>
      <c r="CQ22" s="132">
        <v>12326.075472655</v>
      </c>
      <c r="CR22" s="132">
        <v>11093.7994936593</v>
      </c>
      <c r="CS22" s="132">
        <v>57.354674000000003</v>
      </c>
      <c r="CT22" s="132">
        <v>234.90549099999998</v>
      </c>
      <c r="CU22" s="132">
        <v>583.01675833976003</v>
      </c>
      <c r="CV22" s="132">
        <v>981.36336200000005</v>
      </c>
      <c r="CW22" s="132">
        <v>1428.37392191151</v>
      </c>
      <c r="CX22" s="132">
        <v>1749.0345520717799</v>
      </c>
      <c r="CY22" s="132">
        <v>2054.3952434308299</v>
      </c>
      <c r="CZ22" s="132">
        <v>2475.9289819763603</v>
      </c>
      <c r="DA22" s="132">
        <v>2753.1262143513495</v>
      </c>
      <c r="DB22" s="132">
        <v>3000.7424265275504</v>
      </c>
      <c r="DC22" s="132">
        <v>3744.6841738044095</v>
      </c>
      <c r="DD22" s="132">
        <v>8900.125485999999</v>
      </c>
      <c r="DE22" s="132">
        <v>10803.139777745</v>
      </c>
      <c r="DF22" s="132">
        <v>10301.162644</v>
      </c>
      <c r="DG22" s="132">
        <v>89.983092164759995</v>
      </c>
      <c r="DH22" s="132">
        <v>178.78956216476001</v>
      </c>
      <c r="DI22" s="132">
        <v>528</v>
      </c>
      <c r="DJ22" s="132">
        <v>553.24317856026994</v>
      </c>
      <c r="DK22" s="132">
        <v>628.19598195241997</v>
      </c>
      <c r="DL22" s="132">
        <v>889.03301561057606</v>
      </c>
      <c r="DM22" s="132">
        <v>1049.5144239023477</v>
      </c>
      <c r="DN22" s="132">
        <v>1223.1698070251477</v>
      </c>
      <c r="DO22" s="132">
        <v>1478.9180660000002</v>
      </c>
      <c r="DP22" s="132">
        <v>1808.846706</v>
      </c>
      <c r="DQ22" s="132">
        <v>3643.9588680000002</v>
      </c>
      <c r="DR22" s="132">
        <v>4591.8442670000004</v>
      </c>
      <c r="DS22" s="132">
        <f>+' AI _Execução Despesas jul'!C36/1000000</f>
        <v>16891.629069999999</v>
      </c>
      <c r="DT22" s="132">
        <v>11352.788653</v>
      </c>
      <c r="DU22" s="142">
        <v>32.316853999999999</v>
      </c>
      <c r="DV22" s="142">
        <v>161.42721700000001</v>
      </c>
      <c r="DW22" s="142">
        <v>455.47124600000001</v>
      </c>
      <c r="DX22" s="142">
        <v>581.74810100000002</v>
      </c>
      <c r="DY22" s="142">
        <v>761.07856600000002</v>
      </c>
      <c r="DZ22" s="132">
        <v>1029.819344</v>
      </c>
      <c r="EA22" s="132">
        <f>+' AI _Execução Despesas jul'!$F$36/1000000</f>
        <v>1201.1576379999999</v>
      </c>
      <c r="EB22" s="142">
        <f>+' AI _Execução Despesas jul'!$F$36/1000000</f>
        <v>1201.1576379999999</v>
      </c>
      <c r="EC22" s="142">
        <f>+' AI _Execução Despesas jul'!$F$36/1000000</f>
        <v>1201.1576379999999</v>
      </c>
      <c r="ED22" s="142">
        <f>+' AI _Execução Despesas jul'!$F$36/1000000</f>
        <v>1201.1576379999999</v>
      </c>
      <c r="EE22" s="142">
        <f>+' AI _Execução Despesas jul'!$F$36/1000000</f>
        <v>1201.1576379999999</v>
      </c>
      <c r="EF22" s="142">
        <f>+' AI _Execução Despesas jul'!$F$36/1000000</f>
        <v>1201.1576379999999</v>
      </c>
      <c r="EG22" s="134">
        <f t="shared" si="0"/>
        <v>10.580287141015273</v>
      </c>
      <c r="EH22" s="134">
        <f t="shared" ref="EH22:EH23" si="9">+(EA22/DM22-1)*100</f>
        <v>14.448892806428159</v>
      </c>
      <c r="EI22" s="971">
        <f t="shared" si="2"/>
        <v>151.64321409765216</v>
      </c>
      <c r="EK22" s="136"/>
    </row>
    <row r="23" spans="1:147" ht="15" customHeight="1" thickBot="1">
      <c r="A23" s="143" t="s">
        <v>109</v>
      </c>
      <c r="B23" s="113">
        <v>53005.078225543002</v>
      </c>
      <c r="C23" s="113">
        <v>3802.9918598509812</v>
      </c>
      <c r="D23" s="113">
        <v>30048.405662212834</v>
      </c>
      <c r="E23" s="113">
        <v>10161.333405850983</v>
      </c>
      <c r="F23" s="113">
        <v>14192.448669162501</v>
      </c>
      <c r="G23" s="113">
        <v>17991.888359022501</v>
      </c>
      <c r="H23" s="113">
        <v>22658.9717790225</v>
      </c>
      <c r="I23" s="113">
        <v>25335.524893022499</v>
      </c>
      <c r="J23" s="113">
        <v>29944.361579172029</v>
      </c>
      <c r="K23" s="113">
        <v>39240.786624459928</v>
      </c>
      <c r="L23" s="113">
        <v>38662.36086445993</v>
      </c>
      <c r="M23" s="113">
        <v>42584.162054984146</v>
      </c>
      <c r="N23" s="113">
        <v>52005.619615984142</v>
      </c>
      <c r="O23" s="113">
        <v>60430.4498887503</v>
      </c>
      <c r="P23" s="113">
        <v>2520.7658373629502</v>
      </c>
      <c r="Q23" s="113">
        <v>5041.4575764232995</v>
      </c>
      <c r="R23" s="113">
        <v>10847.69592799</v>
      </c>
      <c r="S23" s="113">
        <v>13286.59775861374</v>
      </c>
      <c r="T23" s="113">
        <v>18458.06752082568</v>
      </c>
      <c r="U23" s="113">
        <v>20778.005925416892</v>
      </c>
      <c r="V23" s="113">
        <v>24750.586899689995</v>
      </c>
      <c r="W23" s="113">
        <v>28749.016385092968</v>
      </c>
      <c r="X23" s="113">
        <v>33742.864930000003</v>
      </c>
      <c r="Y23" s="113">
        <v>37065.058517279998</v>
      </c>
      <c r="Z23" s="113">
        <v>40718.350980279996</v>
      </c>
      <c r="AA23" s="113">
        <v>52038.683922849988</v>
      </c>
      <c r="AB23" s="113">
        <v>57858.931415198793</v>
      </c>
      <c r="AC23" s="113">
        <v>2990.2461400000002</v>
      </c>
      <c r="AD23" s="113">
        <v>6165.9358489999986</v>
      </c>
      <c r="AE23" s="113">
        <v>9738.0713075788044</v>
      </c>
      <c r="AF23" s="113">
        <v>13215.562186000001</v>
      </c>
      <c r="AG23" s="113">
        <v>16357.69119</v>
      </c>
      <c r="AH23" s="113">
        <v>20619.973555143551</v>
      </c>
      <c r="AI23" s="113">
        <v>23388.777705</v>
      </c>
      <c r="AJ23" s="113">
        <v>27990.956321021273</v>
      </c>
      <c r="AK23" s="113">
        <v>32928.367576680401</v>
      </c>
      <c r="AL23" s="113">
        <v>35580.167237017311</v>
      </c>
      <c r="AM23" s="113">
        <v>38550.844951998202</v>
      </c>
      <c r="AN23" s="113">
        <v>47392.817022362862</v>
      </c>
      <c r="AO23" s="113">
        <v>57213.093026000002</v>
      </c>
      <c r="AP23" s="113">
        <v>2427.0050109999997</v>
      </c>
      <c r="AQ23" s="113">
        <v>5163.2066910000003</v>
      </c>
      <c r="AR23" s="113">
        <v>9966.7446737126356</v>
      </c>
      <c r="AS23" s="113">
        <v>13519.87347059079</v>
      </c>
      <c r="AT23" s="113">
        <v>16809.76668249724</v>
      </c>
      <c r="AU23" s="113">
        <v>22289.237015246981</v>
      </c>
      <c r="AV23" s="113">
        <v>25250.212242942551</v>
      </c>
      <c r="AW23" s="113">
        <v>28854.533962813857</v>
      </c>
      <c r="AX23" s="113">
        <v>34242.984259783494</v>
      </c>
      <c r="AY23" s="113">
        <v>36317.864391655901</v>
      </c>
      <c r="AZ23" s="113">
        <v>40468.17090313528</v>
      </c>
      <c r="BA23" s="113">
        <v>50190.598208800002</v>
      </c>
      <c r="BB23" s="113">
        <v>59423.301294999997</v>
      </c>
      <c r="BC23" s="113">
        <v>49055.605738579427</v>
      </c>
      <c r="BD23" s="113">
        <v>2535.3128612618502</v>
      </c>
      <c r="BE23" s="113">
        <v>5794.2328754218497</v>
      </c>
      <c r="BF23" s="113">
        <v>10406.447307419505</v>
      </c>
      <c r="BG23" s="113">
        <v>16737.578705619999</v>
      </c>
      <c r="BH23" s="113">
        <v>17055.77402275</v>
      </c>
      <c r="BI23" s="113">
        <v>22644.697236398115</v>
      </c>
      <c r="BJ23" s="113">
        <v>25125.517248666667</v>
      </c>
      <c r="BK23" s="113">
        <v>28680.780878436664</v>
      </c>
      <c r="BL23" s="113">
        <v>33541.222224388781</v>
      </c>
      <c r="BM23" s="113">
        <v>35983.398949569993</v>
      </c>
      <c r="BN23" s="113">
        <v>39606.068747979996</v>
      </c>
      <c r="BO23" s="113">
        <v>49176.9270426</v>
      </c>
      <c r="BP23" s="113">
        <v>56663.523381014995</v>
      </c>
      <c r="BQ23" s="113">
        <v>55892.158897450012</v>
      </c>
      <c r="BR23" s="113">
        <v>2811.9771349199996</v>
      </c>
      <c r="BS23" s="113">
        <v>6226.9539089499995</v>
      </c>
      <c r="BT23" s="113">
        <v>10878.400071689999</v>
      </c>
      <c r="BU23" s="113">
        <v>14461.747912191822</v>
      </c>
      <c r="BV23" s="113">
        <v>17802.739661289997</v>
      </c>
      <c r="BW23" s="113">
        <v>21836.766650414756</v>
      </c>
      <c r="BX23" s="113">
        <v>24439.958151781928</v>
      </c>
      <c r="BY23" s="113">
        <v>29319.377800211103</v>
      </c>
      <c r="BZ23" s="113">
        <v>34181.831137784233</v>
      </c>
      <c r="CA23" s="113">
        <v>35073.61965580799</v>
      </c>
      <c r="CB23" s="113">
        <v>39617.332794471607</v>
      </c>
      <c r="CC23" s="113">
        <v>54818.27224897001</v>
      </c>
      <c r="CD23" s="113">
        <v>60825.375295955004</v>
      </c>
      <c r="CE23" s="113">
        <v>3047.5243919403351</v>
      </c>
      <c r="CF23" s="113">
        <v>6266.7917873093947</v>
      </c>
      <c r="CG23" s="113">
        <v>10791.655490531108</v>
      </c>
      <c r="CH23" s="113">
        <v>14550.445006237855</v>
      </c>
      <c r="CI23" s="113">
        <v>19109.57333686341</v>
      </c>
      <c r="CJ23" s="113">
        <v>24331.433277941327</v>
      </c>
      <c r="CK23" s="113">
        <v>27927.124034196404</v>
      </c>
      <c r="CL23" s="113">
        <v>30950.297298347814</v>
      </c>
      <c r="CM23" s="113">
        <v>38006.789628301827</v>
      </c>
      <c r="CN23" s="113">
        <v>41634.94743841984</v>
      </c>
      <c r="CO23" s="113">
        <v>46855.613280235266</v>
      </c>
      <c r="CP23" s="113">
        <v>56137.057255</v>
      </c>
      <c r="CQ23" s="113">
        <v>71472.834784389997</v>
      </c>
      <c r="CR23" s="113">
        <v>67967.718321193286</v>
      </c>
      <c r="CS23" s="113">
        <v>3810.8289830000003</v>
      </c>
      <c r="CT23" s="113">
        <v>8134.4587525229836</v>
      </c>
      <c r="CU23" s="113">
        <v>13354.78641911971</v>
      </c>
      <c r="CV23" s="113">
        <v>16304.534524409999</v>
      </c>
      <c r="CW23" s="113">
        <v>21570.784370841739</v>
      </c>
      <c r="CX23" s="113">
        <v>25868.402735481777</v>
      </c>
      <c r="CY23" s="113">
        <v>30467.852411840835</v>
      </c>
      <c r="CZ23" s="113">
        <v>34880.482351386367</v>
      </c>
      <c r="DA23" s="113">
        <v>39245.121933761351</v>
      </c>
      <c r="DB23" s="113">
        <v>43785.29023088509</v>
      </c>
      <c r="DC23" s="113">
        <v>49322.649096161957</v>
      </c>
      <c r="DD23" s="113">
        <v>63750.607454410005</v>
      </c>
      <c r="DE23" s="113">
        <v>73189.0103447</v>
      </c>
      <c r="DF23" s="113">
        <v>75274.978510000001</v>
      </c>
      <c r="DG23" s="113">
        <f>+DG20+DG21</f>
        <v>3368.0036097608786</v>
      </c>
      <c r="DH23" s="113">
        <f t="shared" ref="DH23:DS23" si="10">+DH20+DH21</f>
        <v>7612.0630851647611</v>
      </c>
      <c r="DI23" s="113">
        <f t="shared" si="10"/>
        <v>12335.119100965214</v>
      </c>
      <c r="DJ23" s="113">
        <f t="shared" si="10"/>
        <v>16380.151449052504</v>
      </c>
      <c r="DK23" s="113">
        <f t="shared" si="10"/>
        <v>20847.773216952421</v>
      </c>
      <c r="DL23" s="113">
        <f t="shared" si="10"/>
        <v>25271.322392450053</v>
      </c>
      <c r="DM23" s="113">
        <f t="shared" si="10"/>
        <v>29833.779485540392</v>
      </c>
      <c r="DN23" s="113">
        <f t="shared" si="10"/>
        <v>33674.545804025147</v>
      </c>
      <c r="DO23" s="113">
        <f t="shared" si="10"/>
        <v>39165.910656138047</v>
      </c>
      <c r="DP23" s="113">
        <f t="shared" si="10"/>
        <v>44134.131531605701</v>
      </c>
      <c r="DQ23" s="113">
        <f t="shared" si="10"/>
        <v>50712.293761837915</v>
      </c>
      <c r="DR23" s="113">
        <v>58875.705661561107</v>
      </c>
      <c r="DS23" s="113">
        <f t="shared" si="10"/>
        <v>77896.026671999993</v>
      </c>
      <c r="DT23" s="113">
        <f>+DT20+DT21</f>
        <v>74825.842074</v>
      </c>
      <c r="DU23" s="113">
        <v>3192.0274180000001</v>
      </c>
      <c r="DV23" s="113">
        <v>7433.8765820175531</v>
      </c>
      <c r="DW23" s="113">
        <v>12458.542624999996</v>
      </c>
      <c r="DX23" s="113">
        <v>17579.914477000002</v>
      </c>
      <c r="DY23" s="113">
        <v>21837.758308</v>
      </c>
      <c r="DZ23" s="113">
        <f>+DZ20+DZ21</f>
        <v>26496.518526</v>
      </c>
      <c r="EA23" s="113">
        <f>+EA20+EA21</f>
        <v>31271.855572</v>
      </c>
      <c r="EB23" s="113">
        <f t="shared" ref="EB23:EF23" si="11">+EB20+EB21</f>
        <v>1750.3599209999998</v>
      </c>
      <c r="EC23" s="113">
        <f t="shared" si="11"/>
        <v>1750.3599209999998</v>
      </c>
      <c r="ED23" s="113">
        <f t="shared" si="11"/>
        <v>1750.3599209999998</v>
      </c>
      <c r="EE23" s="113">
        <f t="shared" si="11"/>
        <v>1750.3599209999998</v>
      </c>
      <c r="EF23" s="113">
        <f t="shared" si="11"/>
        <v>1750.3599209999998</v>
      </c>
      <c r="EG23" s="144">
        <f t="shared" si="0"/>
        <v>41.792854854975488</v>
      </c>
      <c r="EH23" s="144">
        <f t="shared" si="9"/>
        <v>4.8202946836038763</v>
      </c>
      <c r="EI23" s="971">
        <f t="shared" si="2"/>
        <v>1438.0760864596086</v>
      </c>
      <c r="EM23" s="145"/>
    </row>
    <row r="24" spans="1:147">
      <c r="A24" s="968" t="s">
        <v>1107</v>
      </c>
      <c r="DG24" s="145"/>
      <c r="DH24" s="145"/>
      <c r="DI24" s="145"/>
      <c r="DJ24" s="145"/>
      <c r="DK24" s="145"/>
      <c r="DL24" s="145"/>
      <c r="DM24" s="145"/>
      <c r="DN24" s="145"/>
      <c r="DO24" s="145"/>
      <c r="DP24" s="145"/>
      <c r="DQ24" s="145"/>
      <c r="DR24" s="145"/>
      <c r="DS24" s="145"/>
      <c r="DT24" s="145"/>
      <c r="DU24" s="145"/>
      <c r="DV24" s="145"/>
      <c r="EI24" s="135"/>
    </row>
    <row r="25" spans="1:147">
      <c r="DG25" s="145"/>
      <c r="DH25" s="145"/>
      <c r="DI25" s="145"/>
      <c r="DJ25" s="145"/>
      <c r="DK25" s="145"/>
      <c r="DL25" s="145"/>
      <c r="DM25" s="145"/>
      <c r="DN25" s="145"/>
      <c r="DO25" s="145"/>
      <c r="DP25" s="145"/>
      <c r="DQ25" s="145"/>
      <c r="DR25" s="145"/>
      <c r="DS25" s="145"/>
      <c r="DT25" s="145"/>
      <c r="DU25" s="145"/>
      <c r="DV25" s="145"/>
      <c r="DW25" s="145"/>
      <c r="DX25" s="145"/>
      <c r="DY25" s="145"/>
      <c r="DZ25" s="145"/>
      <c r="EA25" s="145"/>
      <c r="EB25" s="145"/>
      <c r="EC25" s="145"/>
      <c r="ED25" s="145"/>
      <c r="EE25" s="145"/>
      <c r="EF25" s="145"/>
    </row>
    <row r="26" spans="1:147">
      <c r="DF26" s="145"/>
      <c r="DG26" s="145"/>
      <c r="DH26" s="145"/>
      <c r="DI26" s="145"/>
      <c r="DJ26" s="145"/>
      <c r="DK26" s="145"/>
      <c r="DL26" s="145"/>
      <c r="DM26" s="145"/>
      <c r="DN26" s="145"/>
      <c r="DO26" s="145"/>
      <c r="DP26" s="145"/>
      <c r="DQ26" s="145"/>
      <c r="DR26" s="145"/>
      <c r="DS26" s="145"/>
      <c r="DT26" s="145"/>
      <c r="DU26" s="145"/>
    </row>
    <row r="27" spans="1:147"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5"/>
      <c r="CZ27" s="145"/>
      <c r="DA27" s="145"/>
      <c r="DB27" s="145"/>
      <c r="DC27" s="145"/>
      <c r="DD27" s="145"/>
      <c r="DE27" s="145"/>
      <c r="DF27" s="145"/>
      <c r="DG27" s="145"/>
      <c r="DH27" s="145"/>
      <c r="DI27" s="145"/>
      <c r="DJ27" s="145"/>
      <c r="DK27" s="145"/>
      <c r="DL27" s="145"/>
      <c r="DM27" s="145"/>
      <c r="DN27" s="145"/>
      <c r="DO27" s="145"/>
      <c r="DP27" s="145"/>
      <c r="DQ27" s="145"/>
      <c r="DR27" s="145"/>
      <c r="DS27" s="145"/>
      <c r="DT27" s="145"/>
      <c r="DU27" s="145"/>
    </row>
    <row r="28" spans="1:147"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</row>
    <row r="29" spans="1:147"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5"/>
      <c r="DE29" s="145"/>
      <c r="DF29" s="145"/>
      <c r="DG29" s="145"/>
      <c r="DH29" s="145"/>
      <c r="DI29" s="145"/>
      <c r="DJ29" s="145"/>
      <c r="DK29" s="145"/>
      <c r="DL29" s="145"/>
      <c r="DM29" s="145"/>
      <c r="DN29" s="145"/>
      <c r="DO29" s="145"/>
      <c r="DP29" s="145"/>
      <c r="DQ29" s="145"/>
      <c r="DR29" s="145"/>
      <c r="DS29" s="145"/>
      <c r="DT29" s="145"/>
      <c r="DU29" s="145"/>
    </row>
  </sheetData>
  <mergeCells count="128">
    <mergeCell ref="A1:A3"/>
    <mergeCell ref="B1:N1"/>
    <mergeCell ref="O1:AA1"/>
    <mergeCell ref="AB1:AN1"/>
    <mergeCell ref="AO1:BA1"/>
    <mergeCell ref="BB1:BO1"/>
    <mergeCell ref="I2:I3"/>
    <mergeCell ref="J2:J3"/>
    <mergeCell ref="L2:L3"/>
    <mergeCell ref="M2:M3"/>
    <mergeCell ref="AN2:AN3"/>
    <mergeCell ref="AO2:AO3"/>
    <mergeCell ref="AP2:AP3"/>
    <mergeCell ref="AQ2:AQ3"/>
    <mergeCell ref="AC2:AC3"/>
    <mergeCell ref="AD2:AD3"/>
    <mergeCell ref="AF2:AF3"/>
    <mergeCell ref="AG2:AG3"/>
    <mergeCell ref="AI2:AI3"/>
    <mergeCell ref="AJ2:AJ3"/>
    <mergeCell ref="BA2:BA3"/>
    <mergeCell ref="BB2:BB3"/>
    <mergeCell ref="BC2:BC3"/>
    <mergeCell ref="BD2:BD3"/>
    <mergeCell ref="BP1:CC1"/>
    <mergeCell ref="CD1:CP1"/>
    <mergeCell ref="CQ1:DD1"/>
    <mergeCell ref="DE1:DR1"/>
    <mergeCell ref="DS1:EH1"/>
    <mergeCell ref="B2:B3"/>
    <mergeCell ref="C2:C3"/>
    <mergeCell ref="D2:D3"/>
    <mergeCell ref="F2:F3"/>
    <mergeCell ref="G2:G3"/>
    <mergeCell ref="V2:V3"/>
    <mergeCell ref="W2:W3"/>
    <mergeCell ref="Y2:Y3"/>
    <mergeCell ref="Z2:Z3"/>
    <mergeCell ref="AA2:AA3"/>
    <mergeCell ref="AB2:AB3"/>
    <mergeCell ref="N2:N3"/>
    <mergeCell ref="O2:O3"/>
    <mergeCell ref="P2:P3"/>
    <mergeCell ref="Q2:Q3"/>
    <mergeCell ref="S2:S3"/>
    <mergeCell ref="T2:T3"/>
    <mergeCell ref="AL2:AL3"/>
    <mergeCell ref="AM2:AM3"/>
    <mergeCell ref="BE2:BE3"/>
    <mergeCell ref="BG2:BG3"/>
    <mergeCell ref="AS2:AS3"/>
    <mergeCell ref="AT2:AT3"/>
    <mergeCell ref="AV2:AV3"/>
    <mergeCell ref="AW2:AW3"/>
    <mergeCell ref="AY2:AY3"/>
    <mergeCell ref="AZ2:AZ3"/>
    <mergeCell ref="BP2:BP3"/>
    <mergeCell ref="BQ2:BQ3"/>
    <mergeCell ref="BR2:BR3"/>
    <mergeCell ref="BS2:BS3"/>
    <mergeCell ref="BU2:BU3"/>
    <mergeCell ref="BV2:BV3"/>
    <mergeCell ref="BH2:BH3"/>
    <mergeCell ref="BJ2:BJ3"/>
    <mergeCell ref="BK2:BK3"/>
    <mergeCell ref="BM2:BM3"/>
    <mergeCell ref="BN2:BN3"/>
    <mergeCell ref="BO2:BO3"/>
    <mergeCell ref="CE2:CE3"/>
    <mergeCell ref="CF2:CF3"/>
    <mergeCell ref="CG2:CG3"/>
    <mergeCell ref="CH2:CH3"/>
    <mergeCell ref="CI2:CI3"/>
    <mergeCell ref="CJ2:CJ3"/>
    <mergeCell ref="BX2:BX3"/>
    <mergeCell ref="BY2:BY3"/>
    <mergeCell ref="CA2:CA3"/>
    <mergeCell ref="CB2:CB3"/>
    <mergeCell ref="CC2:CC3"/>
    <mergeCell ref="CD2:CD3"/>
    <mergeCell ref="CQ2:CQ3"/>
    <mergeCell ref="CR2:CR3"/>
    <mergeCell ref="CS2:CS3"/>
    <mergeCell ref="CT2:CT3"/>
    <mergeCell ref="CU2:CU3"/>
    <mergeCell ref="CV2:CV3"/>
    <mergeCell ref="CK2:CK3"/>
    <mergeCell ref="CL2:CL3"/>
    <mergeCell ref="CM2:CM3"/>
    <mergeCell ref="CN2:CN3"/>
    <mergeCell ref="CO2:CO3"/>
    <mergeCell ref="CP2:CP3"/>
    <mergeCell ref="DD2:DD3"/>
    <mergeCell ref="DE2:DE3"/>
    <mergeCell ref="DF2:DF3"/>
    <mergeCell ref="DG2:DG3"/>
    <mergeCell ref="DH2:DH3"/>
    <mergeCell ref="DI2:DI3"/>
    <mergeCell ref="CW2:CW3"/>
    <mergeCell ref="CX2:CX3"/>
    <mergeCell ref="CY2:CY3"/>
    <mergeCell ref="CZ2:CZ3"/>
    <mergeCell ref="DB2:DB3"/>
    <mergeCell ref="DC2:DC3"/>
    <mergeCell ref="DQ2:DQ3"/>
    <mergeCell ref="DR2:DR3"/>
    <mergeCell ref="DS2:DS3"/>
    <mergeCell ref="DU2:DU3"/>
    <mergeCell ref="DV2:DV3"/>
    <mergeCell ref="DW2:DW3"/>
    <mergeCell ref="DJ2:DJ3"/>
    <mergeCell ref="DK2:DK3"/>
    <mergeCell ref="DL2:DL3"/>
    <mergeCell ref="DM2:DM3"/>
    <mergeCell ref="DN2:DN3"/>
    <mergeCell ref="DP2:DP3"/>
    <mergeCell ref="DT2:DT3"/>
    <mergeCell ref="ED2:ED3"/>
    <mergeCell ref="EE2:EE3"/>
    <mergeCell ref="EF2:EF3"/>
    <mergeCell ref="EG2:EG3"/>
    <mergeCell ref="EH2:EH3"/>
    <mergeCell ref="DX2:DX3"/>
    <mergeCell ref="DY2:DY3"/>
    <mergeCell ref="DZ2:DZ3"/>
    <mergeCell ref="EA2:EA3"/>
    <mergeCell ref="EB2:EB3"/>
    <mergeCell ref="EC2:EC3"/>
  </mergeCells>
  <pageMargins left="0.7" right="0.7" top="0.75" bottom="0.75" header="0.3" footer="0.3"/>
  <pageSetup paperSize="9" scale="64" orientation="portrait" r:id="rId1"/>
  <colBreaks count="1" manualBreakCount="1">
    <brk id="14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DC85"/>
  <sheetViews>
    <sheetView showGridLines="0" tabSelected="1" zoomScale="110" zoomScaleNormal="110" zoomScaleSheetLayoutView="96" workbookViewId="0">
      <pane xSplit="1" ySplit="3" topLeftCell="B4" activePane="bottomRight" state="frozen"/>
      <selection activeCell="EI35" sqref="EI35"/>
      <selection pane="topRight" activeCell="EI35" sqref="EI35"/>
      <selection pane="bottomLeft" activeCell="EI35" sqref="EI35"/>
      <selection pane="bottomRight" activeCell="EP45" sqref="EP45"/>
    </sheetView>
  </sheetViews>
  <sheetFormatPr defaultColWidth="8.7265625" defaultRowHeight="15" customHeight="1"/>
  <cols>
    <col min="1" max="1" width="53.1796875" style="148" bestFit="1" customWidth="1"/>
    <col min="2" max="27" width="8.453125" style="148" hidden="1" customWidth="1"/>
    <col min="28" max="39" width="9" style="148" hidden="1" customWidth="1"/>
    <col min="40" max="40" width="9.1796875" style="148" hidden="1" customWidth="1"/>
    <col min="41" max="41" width="9" style="148" hidden="1" customWidth="1"/>
    <col min="42" max="42" width="8.453125" style="148" hidden="1" customWidth="1"/>
    <col min="43" max="44" width="9.26953125" style="148" hidden="1" customWidth="1"/>
    <col min="45" max="45" width="8.7265625" style="148" hidden="1" customWidth="1"/>
    <col min="46" max="46" width="9.26953125" style="148" hidden="1" customWidth="1"/>
    <col min="47" max="47" width="10" style="148" hidden="1" customWidth="1"/>
    <col min="48" max="48" width="9.7265625" style="148" hidden="1" customWidth="1"/>
    <col min="49" max="49" width="9.26953125" style="148" hidden="1" customWidth="1"/>
    <col min="50" max="50" width="9.1796875" style="148" hidden="1" customWidth="1"/>
    <col min="51" max="51" width="9" style="148" hidden="1" customWidth="1"/>
    <col min="52" max="52" width="9.453125" style="177" hidden="1" customWidth="1"/>
    <col min="53" max="53" width="9.1796875" style="148" hidden="1" customWidth="1"/>
    <col min="54" max="55" width="9" style="148" hidden="1" customWidth="1"/>
    <col min="56" max="56" width="9.1796875" style="148" hidden="1" customWidth="1"/>
    <col min="57" max="57" width="9.453125" style="148" hidden="1" customWidth="1"/>
    <col min="58" max="58" width="8.81640625" style="148" hidden="1" customWidth="1"/>
    <col min="59" max="59" width="9.1796875" style="148" hidden="1" customWidth="1"/>
    <col min="60" max="60" width="9.453125" style="148" hidden="1" customWidth="1"/>
    <col min="61" max="65" width="9.1796875" style="148" hidden="1" customWidth="1"/>
    <col min="66" max="66" width="8.1796875" style="148" hidden="1" customWidth="1"/>
    <col min="67" max="67" width="8.453125" style="148" hidden="1" customWidth="1"/>
    <col min="68" max="69" width="9.1796875" style="148" hidden="1" customWidth="1"/>
    <col min="70" max="70" width="8.453125" style="148" hidden="1" customWidth="1"/>
    <col min="71" max="72" width="8.1796875" style="148" hidden="1" customWidth="1"/>
    <col min="73" max="73" width="9.7265625" style="148" hidden="1" customWidth="1"/>
    <col min="74" max="87" width="8.1796875" style="148" hidden="1" customWidth="1"/>
    <col min="88" max="88" width="8.7265625" style="148" hidden="1" customWidth="1"/>
    <col min="89" max="89" width="7.7265625" style="148" hidden="1" customWidth="1"/>
    <col min="90" max="91" width="8.7265625" style="148" hidden="1" customWidth="1"/>
    <col min="92" max="92" width="8.453125" style="148" hidden="1" customWidth="1"/>
    <col min="93" max="93" width="8.7265625" style="148" hidden="1" customWidth="1"/>
    <col min="94" max="94" width="9.453125" style="148" hidden="1" customWidth="1"/>
    <col min="95" max="95" width="8.453125" style="148" hidden="1" customWidth="1"/>
    <col min="96" max="96" width="8.81640625" style="148" hidden="1" customWidth="1"/>
    <col min="97" max="98" width="8.1796875" style="148" hidden="1" customWidth="1"/>
    <col min="99" max="99" width="9.1796875" style="148" hidden="1" customWidth="1"/>
    <col min="100" max="100" width="8.81640625" style="148" hidden="1" customWidth="1"/>
    <col min="101" max="101" width="8.1796875" style="148" hidden="1" customWidth="1"/>
    <col min="102" max="103" width="8.453125" style="148" hidden="1" customWidth="1"/>
    <col min="104" max="104" width="8.7265625" style="148" hidden="1" customWidth="1"/>
    <col min="105" max="105" width="8.1796875" style="148" hidden="1" customWidth="1"/>
    <col min="106" max="106" width="8.453125" style="148" hidden="1" customWidth="1"/>
    <col min="107" max="108" width="8.7265625" style="148" hidden="1" customWidth="1"/>
    <col min="109" max="109" width="8.1796875" style="148" hidden="1" customWidth="1"/>
    <col min="110" max="110" width="7.26953125" style="148" customWidth="1"/>
    <col min="111" max="111" width="7.453125" style="148" hidden="1" customWidth="1"/>
    <col min="112" max="112" width="8.453125" style="148" hidden="1" customWidth="1"/>
    <col min="113" max="113" width="7.54296875" style="148" hidden="1" customWidth="1"/>
    <col min="114" max="114" width="1.26953125" style="148" hidden="1" customWidth="1"/>
    <col min="115" max="115" width="1.1796875" style="148" hidden="1" customWidth="1"/>
    <col min="116" max="116" width="8" style="148" hidden="1" customWidth="1"/>
    <col min="117" max="117" width="7.81640625" style="148" customWidth="1"/>
    <col min="118" max="119" width="8.453125" style="148" hidden="1" customWidth="1"/>
    <col min="120" max="120" width="8.7265625" style="148" hidden="1" customWidth="1"/>
    <col min="121" max="121" width="9.453125" style="148" hidden="1" customWidth="1"/>
    <col min="122" max="122" width="9.1796875" style="148" hidden="1" customWidth="1"/>
    <col min="123" max="123" width="7.81640625" style="148" hidden="1" customWidth="1"/>
    <col min="124" max="124" width="7.1796875" style="148" customWidth="1"/>
    <col min="125" max="128" width="7.81640625" style="148" hidden="1" customWidth="1"/>
    <col min="129" max="129" width="7.7265625" style="148" hidden="1" customWidth="1"/>
    <col min="130" max="130" width="7.81640625" style="148" hidden="1" customWidth="1"/>
    <col min="131" max="131" width="7.6328125" style="148" customWidth="1"/>
    <col min="132" max="132" width="9.1796875" style="148" hidden="1" customWidth="1"/>
    <col min="133" max="135" width="8.1796875" style="148" hidden="1" customWidth="1"/>
    <col min="136" max="136" width="8.36328125" style="148" bestFit="1" customWidth="1"/>
    <col min="137" max="137" width="7.6328125" style="256" customWidth="1"/>
    <col min="138" max="138" width="7.7265625" style="256" hidden="1" customWidth="1"/>
    <col min="139" max="139" width="8.1796875" style="148" hidden="1" customWidth="1"/>
    <col min="140" max="140" width="7" style="148" hidden="1" customWidth="1"/>
    <col min="141" max="141" width="6.54296875" style="148" hidden="1" customWidth="1"/>
    <col min="142" max="142" width="7.453125" style="964" hidden="1" customWidth="1"/>
    <col min="143" max="144" width="8.7265625" style="148" hidden="1" customWidth="1"/>
    <col min="145" max="145" width="0" style="148" hidden="1" customWidth="1"/>
    <col min="146" max="146" width="8.7265625" style="148"/>
    <col min="147" max="147" width="13.7265625" style="148" customWidth="1"/>
    <col min="148" max="16384" width="8.7265625" style="148"/>
  </cols>
  <sheetData>
    <row r="1" spans="1:143" ht="22" customHeight="1">
      <c r="A1" s="1063"/>
      <c r="B1" s="146"/>
      <c r="C1" s="146"/>
      <c r="D1" s="146"/>
      <c r="E1" s="146"/>
      <c r="F1" s="146"/>
      <c r="G1" s="146">
        <v>2012</v>
      </c>
      <c r="H1" s="146"/>
      <c r="I1" s="146"/>
      <c r="J1" s="146"/>
      <c r="K1" s="146"/>
      <c r="L1" s="146"/>
      <c r="M1" s="146"/>
      <c r="N1" s="146"/>
      <c r="O1" s="146"/>
      <c r="P1" s="147"/>
      <c r="Q1" s="146"/>
      <c r="R1" s="146"/>
      <c r="S1" s="146"/>
      <c r="T1" s="146"/>
      <c r="U1" s="146"/>
      <c r="V1" s="146">
        <v>2013</v>
      </c>
      <c r="W1" s="146"/>
      <c r="X1" s="146"/>
      <c r="Y1" s="146"/>
      <c r="Z1" s="146"/>
      <c r="AA1" s="146"/>
      <c r="AB1" s="147"/>
      <c r="AC1" s="147"/>
      <c r="AD1" s="147"/>
      <c r="AE1" s="147"/>
      <c r="AF1" s="147"/>
      <c r="AG1" s="147">
        <v>2014</v>
      </c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>
        <v>2015</v>
      </c>
      <c r="AU1" s="147"/>
      <c r="AV1" s="147"/>
      <c r="AW1" s="147"/>
      <c r="AX1" s="147"/>
      <c r="AY1" s="147"/>
      <c r="AZ1" s="147"/>
      <c r="BA1" s="147"/>
      <c r="BB1" s="1065">
        <v>2016</v>
      </c>
      <c r="BC1" s="1065"/>
      <c r="BD1" s="1065"/>
      <c r="BE1" s="1065"/>
      <c r="BF1" s="1065"/>
      <c r="BG1" s="1065"/>
      <c r="BH1" s="1065"/>
      <c r="BI1" s="1065"/>
      <c r="BJ1" s="1065"/>
      <c r="BK1" s="1065"/>
      <c r="BL1" s="1065"/>
      <c r="BM1" s="1065"/>
      <c r="BN1" s="1065"/>
      <c r="BO1" s="1065"/>
      <c r="BP1" s="1065">
        <v>2017</v>
      </c>
      <c r="BQ1" s="1065"/>
      <c r="BR1" s="1065"/>
      <c r="BS1" s="1065"/>
      <c r="BT1" s="1065"/>
      <c r="BU1" s="1065"/>
      <c r="BV1" s="1065"/>
      <c r="BW1" s="1065"/>
      <c r="BX1" s="1065"/>
      <c r="BY1" s="1065"/>
      <c r="BZ1" s="1065"/>
      <c r="CA1" s="1065"/>
      <c r="CB1" s="1065"/>
      <c r="CC1" s="1065"/>
      <c r="CD1" s="1065">
        <v>2018</v>
      </c>
      <c r="CE1" s="1065"/>
      <c r="CF1" s="1065"/>
      <c r="CG1" s="1065"/>
      <c r="CH1" s="1065"/>
      <c r="CI1" s="1065"/>
      <c r="CJ1" s="1065"/>
      <c r="CK1" s="1065"/>
      <c r="CL1" s="1065"/>
      <c r="CM1" s="1065"/>
      <c r="CN1" s="1065"/>
      <c r="CO1" s="1065"/>
      <c r="CP1" s="1065"/>
      <c r="CQ1" s="1065">
        <v>2019</v>
      </c>
      <c r="CR1" s="1065"/>
      <c r="CS1" s="1065"/>
      <c r="CT1" s="1065"/>
      <c r="CU1" s="1065"/>
      <c r="CV1" s="1065"/>
      <c r="CW1" s="1065"/>
      <c r="CX1" s="1065"/>
      <c r="CY1" s="1065"/>
      <c r="CZ1" s="1065"/>
      <c r="DA1" s="1065"/>
      <c r="DB1" s="1065"/>
      <c r="DC1" s="1065"/>
      <c r="DD1" s="1065"/>
      <c r="DE1" s="1065">
        <v>2020</v>
      </c>
      <c r="DF1" s="1065"/>
      <c r="DG1" s="1065"/>
      <c r="DH1" s="1065"/>
      <c r="DI1" s="1065"/>
      <c r="DJ1" s="1065"/>
      <c r="DK1" s="1065"/>
      <c r="DL1" s="1065"/>
      <c r="DM1" s="1065"/>
      <c r="DN1" s="1065"/>
      <c r="DO1" s="1065"/>
      <c r="DP1" s="1065"/>
      <c r="DQ1" s="1065"/>
      <c r="DR1" s="1065"/>
      <c r="DS1" s="1058">
        <v>2021</v>
      </c>
      <c r="DT1" s="1058"/>
      <c r="DU1" s="1058"/>
      <c r="DV1" s="1058"/>
      <c r="DW1" s="1058"/>
      <c r="DX1" s="1058"/>
      <c r="DY1" s="1058"/>
      <c r="DZ1" s="1058"/>
      <c r="EA1" s="1058"/>
      <c r="EB1" s="1058"/>
      <c r="EC1" s="1058"/>
      <c r="ED1" s="1058"/>
      <c r="EE1" s="1058"/>
      <c r="EF1" s="1058"/>
      <c r="EG1" s="1058"/>
      <c r="EH1" s="885"/>
      <c r="EI1" s="1059" t="s">
        <v>110</v>
      </c>
      <c r="EJ1" s="1059"/>
      <c r="EK1" s="1059"/>
    </row>
    <row r="2" spans="1:143" ht="12.65" customHeight="1">
      <c r="A2" s="1063"/>
      <c r="B2" s="1049" t="s">
        <v>9</v>
      </c>
      <c r="C2" s="1049" t="s">
        <v>1</v>
      </c>
      <c r="D2" s="1049" t="s">
        <v>2</v>
      </c>
      <c r="E2" s="146" t="s">
        <v>10</v>
      </c>
      <c r="F2" s="1049" t="s">
        <v>4</v>
      </c>
      <c r="G2" s="1049" t="s">
        <v>5</v>
      </c>
      <c r="H2" s="146" t="s">
        <v>10</v>
      </c>
      <c r="I2" s="1049" t="s">
        <v>11</v>
      </c>
      <c r="J2" s="1049" t="s">
        <v>12</v>
      </c>
      <c r="K2" s="146" t="s">
        <v>10</v>
      </c>
      <c r="L2" s="1049" t="s">
        <v>13</v>
      </c>
      <c r="M2" s="1049" t="s">
        <v>14</v>
      </c>
      <c r="N2" s="1049" t="s">
        <v>15</v>
      </c>
      <c r="O2" s="1049" t="s">
        <v>9</v>
      </c>
      <c r="P2" s="1049" t="s">
        <v>1</v>
      </c>
      <c r="Q2" s="1049" t="s">
        <v>2</v>
      </c>
      <c r="R2" s="146" t="s">
        <v>10</v>
      </c>
      <c r="S2" s="1049" t="s">
        <v>4</v>
      </c>
      <c r="T2" s="1049" t="s">
        <v>5</v>
      </c>
      <c r="U2" s="146" t="s">
        <v>10</v>
      </c>
      <c r="V2" s="1049" t="s">
        <v>11</v>
      </c>
      <c r="W2" s="1049" t="s">
        <v>12</v>
      </c>
      <c r="X2" s="146" t="s">
        <v>10</v>
      </c>
      <c r="Y2" s="1049" t="s">
        <v>13</v>
      </c>
      <c r="Z2" s="1061" t="s">
        <v>14</v>
      </c>
      <c r="AA2" s="1049" t="s">
        <v>15</v>
      </c>
      <c r="AB2" s="1049" t="s">
        <v>9</v>
      </c>
      <c r="AC2" s="1049" t="s">
        <v>1</v>
      </c>
      <c r="AD2" s="1049" t="s">
        <v>2</v>
      </c>
      <c r="AE2" s="146" t="s">
        <v>10</v>
      </c>
      <c r="AF2" s="1049" t="s">
        <v>4</v>
      </c>
      <c r="AG2" s="1049" t="s">
        <v>5</v>
      </c>
      <c r="AH2" s="146" t="s">
        <v>10</v>
      </c>
      <c r="AI2" s="1049" t="s">
        <v>11</v>
      </c>
      <c r="AJ2" s="1049" t="s">
        <v>12</v>
      </c>
      <c r="AK2" s="146" t="s">
        <v>10</v>
      </c>
      <c r="AL2" s="1049" t="s">
        <v>13</v>
      </c>
      <c r="AM2" s="1049" t="s">
        <v>14</v>
      </c>
      <c r="AN2" s="1049" t="s">
        <v>15</v>
      </c>
      <c r="AO2" s="1049" t="s">
        <v>9</v>
      </c>
      <c r="AP2" s="1049" t="s">
        <v>1</v>
      </c>
      <c r="AQ2" s="1049" t="s">
        <v>2</v>
      </c>
      <c r="AR2" s="146" t="s">
        <v>10</v>
      </c>
      <c r="AS2" s="1049" t="s">
        <v>4</v>
      </c>
      <c r="AT2" s="1049" t="s">
        <v>5</v>
      </c>
      <c r="AU2" s="146" t="s">
        <v>10</v>
      </c>
      <c r="AV2" s="1049" t="s">
        <v>11</v>
      </c>
      <c r="AW2" s="1049" t="s">
        <v>12</v>
      </c>
      <c r="AX2" s="146" t="s">
        <v>10</v>
      </c>
      <c r="AY2" s="1049" t="s">
        <v>13</v>
      </c>
      <c r="AZ2" s="1061" t="s">
        <v>14</v>
      </c>
      <c r="BA2" s="1049" t="s">
        <v>15</v>
      </c>
      <c r="BB2" s="1049" t="s">
        <v>9</v>
      </c>
      <c r="BC2" s="1049" t="s">
        <v>17</v>
      </c>
      <c r="BD2" s="1049" t="s">
        <v>1</v>
      </c>
      <c r="BE2" s="1049" t="s">
        <v>2</v>
      </c>
      <c r="BF2" s="146" t="s">
        <v>10</v>
      </c>
      <c r="BG2" s="1049" t="s">
        <v>4</v>
      </c>
      <c r="BH2" s="1049" t="s">
        <v>5</v>
      </c>
      <c r="BI2" s="146" t="s">
        <v>10</v>
      </c>
      <c r="BJ2" s="1049" t="s">
        <v>11</v>
      </c>
      <c r="BK2" s="1049" t="s">
        <v>12</v>
      </c>
      <c r="BL2" s="146" t="s">
        <v>10</v>
      </c>
      <c r="BM2" s="1049" t="s">
        <v>13</v>
      </c>
      <c r="BN2" s="1049" t="s">
        <v>14</v>
      </c>
      <c r="BO2" s="1046" t="s">
        <v>15</v>
      </c>
      <c r="BP2" s="1049" t="s">
        <v>9</v>
      </c>
      <c r="BQ2" s="1049" t="s">
        <v>17</v>
      </c>
      <c r="BR2" s="1049" t="s">
        <v>1</v>
      </c>
      <c r="BS2" s="1049" t="s">
        <v>2</v>
      </c>
      <c r="BT2" s="146" t="s">
        <v>10</v>
      </c>
      <c r="BU2" s="1049" t="s">
        <v>4</v>
      </c>
      <c r="BV2" s="1049" t="s">
        <v>5</v>
      </c>
      <c r="BW2" s="146" t="s">
        <v>10</v>
      </c>
      <c r="BX2" s="1049" t="s">
        <v>11</v>
      </c>
      <c r="BY2" s="1049" t="s">
        <v>12</v>
      </c>
      <c r="BZ2" s="149" t="s">
        <v>87</v>
      </c>
      <c r="CA2" s="1049" t="s">
        <v>13</v>
      </c>
      <c r="CB2" s="1049" t="s">
        <v>14</v>
      </c>
      <c r="CC2" s="1046" t="s">
        <v>15</v>
      </c>
      <c r="CD2" s="1049" t="s">
        <v>9</v>
      </c>
      <c r="CE2" s="1049" t="s">
        <v>1</v>
      </c>
      <c r="CF2" s="1049" t="s">
        <v>2</v>
      </c>
      <c r="CG2" s="1046" t="s">
        <v>18</v>
      </c>
      <c r="CH2" s="1049" t="s">
        <v>4</v>
      </c>
      <c r="CI2" s="1049" t="s">
        <v>5</v>
      </c>
      <c r="CJ2" s="1046" t="s">
        <v>19</v>
      </c>
      <c r="CK2" s="1049" t="s">
        <v>11</v>
      </c>
      <c r="CL2" s="1049" t="s">
        <v>12</v>
      </c>
      <c r="CM2" s="1046" t="s">
        <v>88</v>
      </c>
      <c r="CN2" s="1049" t="s">
        <v>13</v>
      </c>
      <c r="CO2" s="1049" t="s">
        <v>14</v>
      </c>
      <c r="CP2" s="1049" t="s">
        <v>15</v>
      </c>
      <c r="CQ2" s="1049" t="s">
        <v>9</v>
      </c>
      <c r="CR2" s="1049" t="s">
        <v>17</v>
      </c>
      <c r="CS2" s="1049" t="s">
        <v>1</v>
      </c>
      <c r="CT2" s="1049" t="s">
        <v>2</v>
      </c>
      <c r="CU2" s="1046" t="s">
        <v>18</v>
      </c>
      <c r="CV2" s="1049" t="s">
        <v>4</v>
      </c>
      <c r="CW2" s="1049" t="s">
        <v>21</v>
      </c>
      <c r="CX2" s="1046" t="s">
        <v>19</v>
      </c>
      <c r="CY2" s="1049" t="s">
        <v>11</v>
      </c>
      <c r="CZ2" s="1049" t="s">
        <v>12</v>
      </c>
      <c r="DA2" s="149" t="s">
        <v>10</v>
      </c>
      <c r="DB2" s="1049" t="s">
        <v>13</v>
      </c>
      <c r="DC2" s="1049" t="s">
        <v>14</v>
      </c>
      <c r="DD2" s="1046" t="s">
        <v>15</v>
      </c>
      <c r="DE2" s="1056" t="s">
        <v>89</v>
      </c>
      <c r="DF2" s="146" t="s">
        <v>111</v>
      </c>
      <c r="DG2" s="1049" t="s">
        <v>1</v>
      </c>
      <c r="DH2" s="1049" t="s">
        <v>2</v>
      </c>
      <c r="DI2" s="1046" t="s">
        <v>18</v>
      </c>
      <c r="DJ2" s="1049" t="s">
        <v>4</v>
      </c>
      <c r="DK2" s="1049" t="s">
        <v>21</v>
      </c>
      <c r="DL2" s="1046" t="s">
        <v>19</v>
      </c>
      <c r="DM2" s="1049" t="s">
        <v>11</v>
      </c>
      <c r="DN2" s="1049" t="s">
        <v>12</v>
      </c>
      <c r="DO2" s="149" t="s">
        <v>10</v>
      </c>
      <c r="DP2" s="1049" t="s">
        <v>13</v>
      </c>
      <c r="DQ2" s="1049" t="s">
        <v>14</v>
      </c>
      <c r="DR2" s="1046" t="s">
        <v>22</v>
      </c>
      <c r="DS2" s="1056" t="s">
        <v>89</v>
      </c>
      <c r="DT2" s="1056" t="s">
        <v>1117</v>
      </c>
      <c r="DU2" s="1049" t="s">
        <v>1</v>
      </c>
      <c r="DV2" s="1049" t="s">
        <v>2</v>
      </c>
      <c r="DW2" s="1053" t="s">
        <v>18</v>
      </c>
      <c r="DX2" s="1049" t="s">
        <v>4</v>
      </c>
      <c r="DY2" s="1049" t="s">
        <v>5</v>
      </c>
      <c r="DZ2" s="1046" t="s">
        <v>18</v>
      </c>
      <c r="EA2" s="1049" t="s">
        <v>11</v>
      </c>
      <c r="EB2" s="1049" t="s">
        <v>12</v>
      </c>
      <c r="EC2" s="1049" t="s">
        <v>13</v>
      </c>
      <c r="ED2" s="1049" t="s">
        <v>14</v>
      </c>
      <c r="EE2" s="1049" t="s">
        <v>26</v>
      </c>
      <c r="EF2" s="1051" t="s">
        <v>113</v>
      </c>
      <c r="EG2" s="1046" t="s">
        <v>114</v>
      </c>
      <c r="EH2" s="886"/>
      <c r="EI2" s="1046" t="s">
        <v>24</v>
      </c>
      <c r="EJ2" s="1048" t="s">
        <v>115</v>
      </c>
      <c r="EK2" s="1048"/>
    </row>
    <row r="3" spans="1:143" ht="15" customHeight="1">
      <c r="A3" s="1064"/>
      <c r="B3" s="1050"/>
      <c r="C3" s="1060"/>
      <c r="D3" s="1060"/>
      <c r="E3" s="150" t="s">
        <v>30</v>
      </c>
      <c r="F3" s="1060"/>
      <c r="G3" s="1060"/>
      <c r="H3" s="150" t="s">
        <v>31</v>
      </c>
      <c r="I3" s="1060"/>
      <c r="J3" s="1060"/>
      <c r="K3" s="150" t="s">
        <v>32</v>
      </c>
      <c r="L3" s="1060"/>
      <c r="M3" s="1060"/>
      <c r="N3" s="1050"/>
      <c r="O3" s="1050"/>
      <c r="P3" s="1050"/>
      <c r="Q3" s="1050"/>
      <c r="R3" s="150" t="s">
        <v>30</v>
      </c>
      <c r="S3" s="1050" t="s">
        <v>4</v>
      </c>
      <c r="T3" s="1050" t="s">
        <v>4</v>
      </c>
      <c r="U3" s="150" t="s">
        <v>31</v>
      </c>
      <c r="V3" s="1050"/>
      <c r="W3" s="1050"/>
      <c r="X3" s="150" t="s">
        <v>32</v>
      </c>
      <c r="Y3" s="1050"/>
      <c r="Z3" s="1062"/>
      <c r="AA3" s="1050"/>
      <c r="AB3" s="1060"/>
      <c r="AC3" s="1060"/>
      <c r="AD3" s="1060"/>
      <c r="AE3" s="150" t="s">
        <v>30</v>
      </c>
      <c r="AF3" s="1060"/>
      <c r="AG3" s="1060"/>
      <c r="AH3" s="150" t="s">
        <v>31</v>
      </c>
      <c r="AI3" s="1060"/>
      <c r="AJ3" s="1060"/>
      <c r="AK3" s="150" t="s">
        <v>32</v>
      </c>
      <c r="AL3" s="1060"/>
      <c r="AM3" s="1060"/>
      <c r="AN3" s="1050"/>
      <c r="AO3" s="1050"/>
      <c r="AP3" s="1050"/>
      <c r="AQ3" s="1050"/>
      <c r="AR3" s="150" t="s">
        <v>30</v>
      </c>
      <c r="AS3" s="1050" t="s">
        <v>4</v>
      </c>
      <c r="AT3" s="1050" t="s">
        <v>4</v>
      </c>
      <c r="AU3" s="150" t="s">
        <v>31</v>
      </c>
      <c r="AV3" s="1050"/>
      <c r="AW3" s="1050"/>
      <c r="AX3" s="150" t="s">
        <v>32</v>
      </c>
      <c r="AY3" s="1050"/>
      <c r="AZ3" s="1062"/>
      <c r="BA3" s="1050"/>
      <c r="BB3" s="1050"/>
      <c r="BC3" s="1050"/>
      <c r="BD3" s="1050"/>
      <c r="BE3" s="1050"/>
      <c r="BF3" s="150" t="s">
        <v>30</v>
      </c>
      <c r="BG3" s="1050" t="s">
        <v>4</v>
      </c>
      <c r="BH3" s="1050" t="s">
        <v>5</v>
      </c>
      <c r="BI3" s="150" t="s">
        <v>31</v>
      </c>
      <c r="BJ3" s="1050" t="s">
        <v>11</v>
      </c>
      <c r="BK3" s="1050"/>
      <c r="BL3" s="150" t="s">
        <v>32</v>
      </c>
      <c r="BM3" s="1050"/>
      <c r="BN3" s="1050"/>
      <c r="BO3" s="1047"/>
      <c r="BP3" s="1050"/>
      <c r="BQ3" s="1050"/>
      <c r="BR3" s="1050"/>
      <c r="BS3" s="1050"/>
      <c r="BT3" s="150" t="s">
        <v>30</v>
      </c>
      <c r="BU3" s="1050"/>
      <c r="BV3" s="1050"/>
      <c r="BW3" s="150" t="s">
        <v>31</v>
      </c>
      <c r="BX3" s="1050"/>
      <c r="BY3" s="1050"/>
      <c r="BZ3" s="151" t="s">
        <v>32</v>
      </c>
      <c r="CA3" s="1050"/>
      <c r="CB3" s="1050"/>
      <c r="CC3" s="1047"/>
      <c r="CD3" s="1050"/>
      <c r="CE3" s="1050"/>
      <c r="CF3" s="1050"/>
      <c r="CG3" s="1047"/>
      <c r="CH3" s="1050"/>
      <c r="CI3" s="1050"/>
      <c r="CJ3" s="1047"/>
      <c r="CK3" s="1050"/>
      <c r="CL3" s="1050"/>
      <c r="CM3" s="1047"/>
      <c r="CN3" s="1050"/>
      <c r="CO3" s="1050"/>
      <c r="CP3" s="1050"/>
      <c r="CQ3" s="1050"/>
      <c r="CR3" s="1050"/>
      <c r="CS3" s="1050"/>
      <c r="CT3" s="1050"/>
      <c r="CU3" s="1047"/>
      <c r="CV3" s="1050"/>
      <c r="CW3" s="1050"/>
      <c r="CX3" s="1047"/>
      <c r="CY3" s="1050"/>
      <c r="CZ3" s="1050"/>
      <c r="DA3" s="151" t="s">
        <v>32</v>
      </c>
      <c r="DB3" s="1050"/>
      <c r="DC3" s="1050"/>
      <c r="DD3" s="1047"/>
      <c r="DE3" s="1057"/>
      <c r="DF3" s="150" t="s">
        <v>34</v>
      </c>
      <c r="DG3" s="1050"/>
      <c r="DH3" s="1050"/>
      <c r="DI3" s="1047"/>
      <c r="DJ3" s="1050"/>
      <c r="DK3" s="1050"/>
      <c r="DL3" s="1047"/>
      <c r="DM3" s="1050"/>
      <c r="DN3" s="1050"/>
      <c r="DO3" s="151" t="s">
        <v>32</v>
      </c>
      <c r="DP3" s="1050"/>
      <c r="DQ3" s="1050"/>
      <c r="DR3" s="1055"/>
      <c r="DS3" s="1057"/>
      <c r="DT3" s="1057"/>
      <c r="DU3" s="1050"/>
      <c r="DV3" s="1050"/>
      <c r="DW3" s="1054"/>
      <c r="DX3" s="1050"/>
      <c r="DY3" s="1050"/>
      <c r="DZ3" s="1047"/>
      <c r="EA3" s="1050"/>
      <c r="EB3" s="1050"/>
      <c r="EC3" s="1050"/>
      <c r="ED3" s="1050"/>
      <c r="EE3" s="1050"/>
      <c r="EF3" s="1052"/>
      <c r="EG3" s="1047"/>
      <c r="EH3" s="887"/>
      <c r="EI3" s="1047"/>
      <c r="EJ3" s="152" t="s">
        <v>116</v>
      </c>
      <c r="EK3" s="152" t="s">
        <v>117</v>
      </c>
      <c r="EL3" s="964" t="s">
        <v>1072</v>
      </c>
    </row>
    <row r="4" spans="1:143" ht="15" customHeight="1">
      <c r="A4" s="153" t="s">
        <v>118</v>
      </c>
      <c r="B4" s="154">
        <v>40736.938054000006</v>
      </c>
      <c r="C4" s="154">
        <v>3227.6532280000001</v>
      </c>
      <c r="D4" s="155">
        <v>5644.6511739999996</v>
      </c>
      <c r="E4" s="155">
        <v>8426.1562209999993</v>
      </c>
      <c r="F4" s="155">
        <v>10585.159881000001</v>
      </c>
      <c r="G4" s="155">
        <v>13800.228972999999</v>
      </c>
      <c r="H4" s="155">
        <v>16415.295795999999</v>
      </c>
      <c r="I4" s="155">
        <v>18832.737408999998</v>
      </c>
      <c r="J4" s="155">
        <v>21314.296740999998</v>
      </c>
      <c r="K4" s="155">
        <v>24729.286982000001</v>
      </c>
      <c r="L4" s="155">
        <v>27438.728370000001</v>
      </c>
      <c r="M4" s="155">
        <v>30618.127852524212</v>
      </c>
      <c r="N4" s="155">
        <v>36688.209785999999</v>
      </c>
      <c r="O4" s="155">
        <v>46972.466134000002</v>
      </c>
      <c r="P4" s="155">
        <v>3689.9018650000003</v>
      </c>
      <c r="Q4" s="155">
        <v>6226.5823090000004</v>
      </c>
      <c r="R4" s="155">
        <v>8689.6476468741803</v>
      </c>
      <c r="S4" s="155">
        <v>10850.987020999999</v>
      </c>
      <c r="T4" s="155">
        <v>13850.550565999998</v>
      </c>
      <c r="U4" s="155">
        <v>16793.093654169646</v>
      </c>
      <c r="V4" s="155">
        <v>19445.401978999998</v>
      </c>
      <c r="W4" s="155">
        <v>22130.903775999999</v>
      </c>
      <c r="X4" s="155">
        <v>25833.763631999995</v>
      </c>
      <c r="Y4" s="155">
        <v>28424.916797000005</v>
      </c>
      <c r="Z4" s="155">
        <v>31249.784760999999</v>
      </c>
      <c r="AA4" s="155">
        <v>37716.290871999998</v>
      </c>
      <c r="AB4" s="155">
        <v>44622.055945</v>
      </c>
      <c r="AC4" s="155">
        <v>3253.539311</v>
      </c>
      <c r="AD4" s="155">
        <v>5520.2518870000004</v>
      </c>
      <c r="AE4" s="155">
        <v>8207.1953229999999</v>
      </c>
      <c r="AF4" s="155">
        <v>10443.373394</v>
      </c>
      <c r="AG4" s="154">
        <v>13610.466284999999</v>
      </c>
      <c r="AH4" s="155">
        <v>16255.992182</v>
      </c>
      <c r="AI4" s="154">
        <v>18455.838807</v>
      </c>
      <c r="AJ4" s="154">
        <v>20722.963023000004</v>
      </c>
      <c r="AK4" s="154">
        <v>25039.998511999998</v>
      </c>
      <c r="AL4" s="154">
        <f>+'Mapa I_ Receitas'!AL49</f>
        <v>26598.180267999993</v>
      </c>
      <c r="AM4" s="154">
        <f>+'Mapa I_ Receitas'!AM49</f>
        <v>29122.198415000003</v>
      </c>
      <c r="AN4" s="155">
        <v>35326.584405000001</v>
      </c>
      <c r="AO4" s="155">
        <v>44447.679511000002</v>
      </c>
      <c r="AP4" s="155">
        <v>2895.7909640000003</v>
      </c>
      <c r="AQ4" s="155">
        <v>5432.6386429999993</v>
      </c>
      <c r="AR4" s="155">
        <v>9426.5107182023949</v>
      </c>
      <c r="AS4" s="155">
        <v>12431</v>
      </c>
      <c r="AT4" s="155">
        <v>15189</v>
      </c>
      <c r="AU4" s="155">
        <v>19261.605855579281</v>
      </c>
      <c r="AV4" s="155">
        <v>21930.50409043776</v>
      </c>
      <c r="AW4" s="155">
        <v>24779</v>
      </c>
      <c r="AX4" s="155">
        <v>28496.936043159996</v>
      </c>
      <c r="AY4" s="155">
        <v>31181</v>
      </c>
      <c r="AZ4" s="155">
        <v>34626.734875000002</v>
      </c>
      <c r="BA4" s="155">
        <v>42677.678714399997</v>
      </c>
      <c r="BB4" s="154">
        <v>50355.216443999991</v>
      </c>
      <c r="BC4" s="154">
        <v>43219.984179400002</v>
      </c>
      <c r="BD4" s="155">
        <v>3137.0378610118496</v>
      </c>
      <c r="BE4" s="156">
        <v>6086.8414240000002</v>
      </c>
      <c r="BF4" s="155">
        <v>9928.5287231971161</v>
      </c>
      <c r="BG4" s="155">
        <v>12503.675919110001</v>
      </c>
      <c r="BH4" s="155">
        <v>15796.050974</v>
      </c>
      <c r="BI4" s="155">
        <v>19526.853747837929</v>
      </c>
      <c r="BJ4" s="154">
        <v>22607.039342097283</v>
      </c>
      <c r="BK4" s="155">
        <v>25771.107253040707</v>
      </c>
      <c r="BL4" s="155">
        <v>29886.747170199804</v>
      </c>
      <c r="BM4" s="155">
        <v>33020.597835</v>
      </c>
      <c r="BN4" s="155">
        <v>36615.790410000001</v>
      </c>
      <c r="BO4" s="155">
        <v>44107.465494000004</v>
      </c>
      <c r="BP4" s="154">
        <v>50537.258209000007</v>
      </c>
      <c r="BQ4" s="154">
        <v>50222.029327916753</v>
      </c>
      <c r="BR4" s="155">
        <v>3264.483737</v>
      </c>
      <c r="BS4" s="155">
        <v>7127.6630489999998</v>
      </c>
      <c r="BT4" s="155">
        <v>11711.254167767123</v>
      </c>
      <c r="BU4" s="155">
        <v>14545.665637999997</v>
      </c>
      <c r="BV4" s="155">
        <v>18273.605602999996</v>
      </c>
      <c r="BW4" s="155">
        <v>22356.400427000004</v>
      </c>
      <c r="BX4" s="155">
        <v>25359.761815576403</v>
      </c>
      <c r="BY4" s="155">
        <v>30393.894667883727</v>
      </c>
      <c r="BZ4" s="155">
        <v>35084.883074999998</v>
      </c>
      <c r="CA4" s="155">
        <v>39249.738078000002</v>
      </c>
      <c r="CB4" s="155">
        <v>42487.154392316937</v>
      </c>
      <c r="CC4" s="155">
        <v>49504.606010999996</v>
      </c>
      <c r="CD4" s="155">
        <v>54561.190617999993</v>
      </c>
      <c r="CE4" s="157">
        <v>3420.4639400000001</v>
      </c>
      <c r="CF4" s="155">
        <v>6550.8044400000008</v>
      </c>
      <c r="CG4" s="155">
        <v>11767.692972874998</v>
      </c>
      <c r="CH4" s="155">
        <v>15316.20629315</v>
      </c>
      <c r="CI4" s="155">
        <v>19691.485755574999</v>
      </c>
      <c r="CJ4" s="155">
        <v>23627.573356999997</v>
      </c>
      <c r="CK4" s="155">
        <v>26922.702154999999</v>
      </c>
      <c r="CL4" s="155">
        <v>31783.243718000002</v>
      </c>
      <c r="CM4" s="155">
        <v>36153.008686249996</v>
      </c>
      <c r="CN4" s="155">
        <v>39249.738078000002</v>
      </c>
      <c r="CO4" s="157">
        <v>44845.738374</v>
      </c>
      <c r="CP4" s="155">
        <v>51270.417805000005</v>
      </c>
      <c r="CQ4" s="155">
        <v>63610.930521999995</v>
      </c>
      <c r="CR4" s="155">
        <v>62649.868117811842</v>
      </c>
      <c r="CS4" s="157">
        <v>3790.4553259999998</v>
      </c>
      <c r="CT4" s="155">
        <v>7276.7916429999996</v>
      </c>
      <c r="CU4" s="155">
        <v>11890.871697</v>
      </c>
      <c r="CV4" s="154">
        <v>15639.243198</v>
      </c>
      <c r="CW4" s="155">
        <v>20876.841569999993</v>
      </c>
      <c r="CX4" s="155">
        <v>25094.475040005</v>
      </c>
      <c r="CY4" s="155">
        <v>28717.740690999999</v>
      </c>
      <c r="CZ4" s="155">
        <v>33705.176770000005</v>
      </c>
      <c r="DA4" s="155">
        <v>37802.994402999997</v>
      </c>
      <c r="DB4" s="155">
        <v>42092.737809999999</v>
      </c>
      <c r="DC4" s="155">
        <v>45821.184500999989</v>
      </c>
      <c r="DD4" s="155">
        <v>58731.781919000001</v>
      </c>
      <c r="DE4" s="155">
        <v>68395.327002999999</v>
      </c>
      <c r="DF4" s="155">
        <v>53868.713964000002</v>
      </c>
      <c r="DG4" s="155">
        <v>3921.7339160000001</v>
      </c>
      <c r="DH4" s="155">
        <v>7540.1998499999991</v>
      </c>
      <c r="DI4" s="155">
        <v>11911.062026999998</v>
      </c>
      <c r="DJ4" s="155">
        <v>15104.184909</v>
      </c>
      <c r="DK4" s="155">
        <v>16978.043750000001</v>
      </c>
      <c r="DL4" s="155">
        <v>19709.991260999999</v>
      </c>
      <c r="DM4" s="155">
        <v>22977.412130000004</v>
      </c>
      <c r="DN4" s="155">
        <v>27276.475438000001</v>
      </c>
      <c r="DO4" s="155">
        <v>30496.252974000006</v>
      </c>
      <c r="DP4" s="155">
        <v>33345.668167000003</v>
      </c>
      <c r="DQ4" s="155">
        <v>36590.582498000003</v>
      </c>
      <c r="DR4" s="155">
        <v>43751.187869000001</v>
      </c>
      <c r="DS4" s="158">
        <f>+DS5+DS8</f>
        <v>58038.034987000006</v>
      </c>
      <c r="DT4" s="158">
        <f>+DT6+DT7+DT8+DT11</f>
        <v>52519.917194999995</v>
      </c>
      <c r="DU4" s="158">
        <v>2411.4388690000001</v>
      </c>
      <c r="DV4" s="158">
        <v>5046.3125820000005</v>
      </c>
      <c r="DW4" s="158">
        <v>8492.5467009999993</v>
      </c>
      <c r="DX4" s="158">
        <v>11488.309659999999</v>
      </c>
      <c r="DY4" s="158">
        <v>14966.209821</v>
      </c>
      <c r="DZ4" s="158">
        <f>+DZ6+DZ7+DZ8+DZ11</f>
        <v>17884.850382000004</v>
      </c>
      <c r="EA4" s="158">
        <f>+EA6+EA7+EA8+EA11</f>
        <v>21342.607638999998</v>
      </c>
      <c r="EB4" s="158"/>
      <c r="EC4" s="158"/>
      <c r="ED4" s="158"/>
      <c r="EE4" s="158"/>
      <c r="EF4" s="159">
        <f>EA4/DT4*100</f>
        <v>40.637169247159164</v>
      </c>
      <c r="EG4" s="160">
        <f>(+EA4/DM4-1)*100</f>
        <v>-7.1148329574745928</v>
      </c>
      <c r="EH4" s="160">
        <f t="shared" ref="EH4:EH23" si="0">+(EA4/DM4-1)*100</f>
        <v>-7.1148329574745928</v>
      </c>
      <c r="EI4" s="155">
        <f>+EI5+EI8</f>
        <v>19362.082102</v>
      </c>
      <c r="EJ4" s="161">
        <f t="shared" ref="EJ4:EJ23" si="1">+DZ4-EI4</f>
        <v>-1477.2317199999961</v>
      </c>
      <c r="EK4" s="162">
        <f t="shared" ref="EK4:EK23" si="2">(+DZ4/EI4-1)*100</f>
        <v>-7.6295086045906508</v>
      </c>
      <c r="EL4" s="989">
        <f>+EA4-DM4</f>
        <v>-1634.8044910000062</v>
      </c>
    </row>
    <row r="5" spans="1:143" ht="15" customHeight="1">
      <c r="A5" s="163" t="s">
        <v>119</v>
      </c>
      <c r="B5" s="154">
        <v>36708.792649000003</v>
      </c>
      <c r="C5" s="154">
        <v>3217.8577340000002</v>
      </c>
      <c r="D5" s="155">
        <v>5587.7041609999997</v>
      </c>
      <c r="E5" s="155">
        <v>8071.6224979999997</v>
      </c>
      <c r="F5" s="155">
        <v>10173.998836000001</v>
      </c>
      <c r="G5" s="155">
        <v>13338.826149999999</v>
      </c>
      <c r="H5" s="155">
        <v>15824.009522999999</v>
      </c>
      <c r="I5" s="155">
        <v>18204.959631999998</v>
      </c>
      <c r="J5" s="155">
        <v>20686.518963999999</v>
      </c>
      <c r="K5" s="155">
        <v>24097.063282000003</v>
      </c>
      <c r="L5" s="155">
        <v>26626.612389000002</v>
      </c>
      <c r="M5" s="155">
        <v>28976.964956</v>
      </c>
      <c r="N5" s="155">
        <v>32485.672847000002</v>
      </c>
      <c r="O5" s="155">
        <v>41561.657869000002</v>
      </c>
      <c r="P5" s="155">
        <v>3603.8167600000002</v>
      </c>
      <c r="Q5" s="155">
        <v>6017.721168</v>
      </c>
      <c r="R5" s="155">
        <v>8270.1732570000004</v>
      </c>
      <c r="S5" s="155">
        <v>10441.684864999999</v>
      </c>
      <c r="T5" s="155">
        <v>13300.558327999997</v>
      </c>
      <c r="U5" s="155">
        <v>15896.724404999997</v>
      </c>
      <c r="V5" s="155">
        <v>18610.310452999998</v>
      </c>
      <c r="W5" s="155">
        <v>21206.203374000001</v>
      </c>
      <c r="X5" s="155">
        <v>24628.877833999995</v>
      </c>
      <c r="Y5" s="155">
        <v>27120.653545000005</v>
      </c>
      <c r="Z5" s="155">
        <v>29790.739533</v>
      </c>
      <c r="AA5" s="155">
        <v>33692.765170999999</v>
      </c>
      <c r="AB5" s="155">
        <v>39345.784667</v>
      </c>
      <c r="AC5" s="155">
        <v>3098.0353399999999</v>
      </c>
      <c r="AD5" s="155">
        <v>5316.3993770000006</v>
      </c>
      <c r="AE5" s="155">
        <v>7981.3841490000004</v>
      </c>
      <c r="AF5" s="155">
        <v>10101.29904</v>
      </c>
      <c r="AG5" s="155">
        <v>13247.184289999999</v>
      </c>
      <c r="AH5" s="155">
        <v>15776.02794</v>
      </c>
      <c r="AI5" s="155">
        <v>17956.284136999999</v>
      </c>
      <c r="AJ5" s="155">
        <v>20199.444219000005</v>
      </c>
      <c r="AK5" s="155">
        <v>23900.696324999997</v>
      </c>
      <c r="AL5" s="155">
        <f>+AL4-AL8</f>
        <v>25884.287807999994</v>
      </c>
      <c r="AM5" s="155">
        <f>+AM4-AM8</f>
        <v>28374.928046000001</v>
      </c>
      <c r="AN5" s="155">
        <v>32539.711017000001</v>
      </c>
      <c r="AO5" s="155">
        <v>39694.35168</v>
      </c>
      <c r="AP5" s="155">
        <v>2853.7909640000003</v>
      </c>
      <c r="AQ5" s="155">
        <v>5375.6386429999993</v>
      </c>
      <c r="AR5" s="155">
        <v>8789.7882950000003</v>
      </c>
      <c r="AS5" s="155">
        <v>11970</v>
      </c>
      <c r="AT5" s="155">
        <v>14594.998235999999</v>
      </c>
      <c r="AU5" s="155">
        <v>18119.653635000002</v>
      </c>
      <c r="AV5" s="155">
        <v>20755.071494</v>
      </c>
      <c r="AW5" s="155">
        <v>23416</v>
      </c>
      <c r="AX5" s="155">
        <v>26559.066710159997</v>
      </c>
      <c r="AY5" s="155">
        <v>29147</v>
      </c>
      <c r="AZ5" s="155">
        <v>32529.734875000002</v>
      </c>
      <c r="BA5" s="155">
        <v>38719.3038304</v>
      </c>
      <c r="BB5" s="154">
        <v>44022.93284899999</v>
      </c>
      <c r="BC5" s="154">
        <v>39265.341662400002</v>
      </c>
      <c r="BD5" s="155">
        <v>2905.2088969999995</v>
      </c>
      <c r="BE5" s="156">
        <v>5750.1124710000004</v>
      </c>
      <c r="BF5" s="154">
        <v>9492.4091079999998</v>
      </c>
      <c r="BG5" s="154">
        <v>12036.645902</v>
      </c>
      <c r="BH5" s="154">
        <v>15017.955378999999</v>
      </c>
      <c r="BI5" s="155">
        <v>18436.567470999998</v>
      </c>
      <c r="BJ5" s="154">
        <v>21262.918892000002</v>
      </c>
      <c r="BK5" s="155">
        <v>24265.284489999998</v>
      </c>
      <c r="BL5" s="155">
        <v>28051.520602000004</v>
      </c>
      <c r="BM5" s="155">
        <v>30755.706212999998</v>
      </c>
      <c r="BN5" s="155">
        <v>34314.835957000003</v>
      </c>
      <c r="BO5" s="155">
        <v>40193.577224000001</v>
      </c>
      <c r="BP5" s="154">
        <v>45029.921371000004</v>
      </c>
      <c r="BQ5" s="154">
        <v>44714.69248991675</v>
      </c>
      <c r="BR5" s="155">
        <v>3070.6559769999999</v>
      </c>
      <c r="BS5" s="155">
        <v>5827.651339</v>
      </c>
      <c r="BT5" s="154">
        <v>10080.163390000002</v>
      </c>
      <c r="BU5" s="154">
        <v>12679.048568999997</v>
      </c>
      <c r="BV5" s="154">
        <v>16213.689444999998</v>
      </c>
      <c r="BW5" s="154">
        <v>20016.380733000002</v>
      </c>
      <c r="BX5" s="154">
        <v>22687.846110999999</v>
      </c>
      <c r="BY5" s="154">
        <v>26589.471030000008</v>
      </c>
      <c r="BZ5" s="155">
        <v>30858.933340999996</v>
      </c>
      <c r="CA5" s="155">
        <v>38070.074901</v>
      </c>
      <c r="CB5" s="155">
        <v>37820.518823999999</v>
      </c>
      <c r="CC5" s="164">
        <v>43590.110793</v>
      </c>
      <c r="CD5" s="164">
        <v>51146.178591999997</v>
      </c>
      <c r="CE5" s="165">
        <v>3420.0967409999994</v>
      </c>
      <c r="CF5" s="155">
        <v>6518.0296190000008</v>
      </c>
      <c r="CG5" s="155">
        <v>10943.036355299999</v>
      </c>
      <c r="CH5" s="155">
        <v>14254.033368</v>
      </c>
      <c r="CI5" s="155">
        <v>18813.007250999999</v>
      </c>
      <c r="CJ5" s="155">
        <v>22542.383099999999</v>
      </c>
      <c r="CK5" s="155">
        <v>25859.542743999998</v>
      </c>
      <c r="CL5" s="155">
        <v>30710.040119000001</v>
      </c>
      <c r="CM5" s="155">
        <v>34869.137450249997</v>
      </c>
      <c r="CN5" s="155">
        <v>38070.074901</v>
      </c>
      <c r="CO5" s="155">
        <v>42711.024317000003</v>
      </c>
      <c r="CP5" s="155">
        <v>49855.952426000003</v>
      </c>
      <c r="CQ5" s="164">
        <v>58132.093263999996</v>
      </c>
      <c r="CR5" s="164">
        <v>57171.030859811843</v>
      </c>
      <c r="CS5" s="165">
        <v>3769.5018520000003</v>
      </c>
      <c r="CT5" s="164">
        <v>7223.7804749999996</v>
      </c>
      <c r="CU5" s="155">
        <v>11533.382445000001</v>
      </c>
      <c r="CV5" s="154">
        <v>15287.152019000001</v>
      </c>
      <c r="CW5" s="155">
        <v>20160.760838999995</v>
      </c>
      <c r="CX5" s="155">
        <v>24166.229131004999</v>
      </c>
      <c r="CY5" s="155">
        <v>27852.013067</v>
      </c>
      <c r="CZ5" s="155">
        <v>32736.083633000002</v>
      </c>
      <c r="DA5" s="155">
        <v>36577.980499999998</v>
      </c>
      <c r="DB5" s="155">
        <v>40868.130898999996</v>
      </c>
      <c r="DC5" s="155">
        <v>44511.169328999989</v>
      </c>
      <c r="DD5" s="155">
        <v>53138.198213000003</v>
      </c>
      <c r="DE5" s="155">
        <v>62435.850148000005</v>
      </c>
      <c r="DF5" s="155">
        <v>45309.243768</v>
      </c>
      <c r="DG5" s="155">
        <v>3907.5990080000001</v>
      </c>
      <c r="DH5" s="155">
        <v>7506.7666559999989</v>
      </c>
      <c r="DI5" s="155">
        <v>11628.075036999999</v>
      </c>
      <c r="DJ5" s="155">
        <v>14337.724245999998</v>
      </c>
      <c r="DK5" s="155">
        <v>16181.860140000001</v>
      </c>
      <c r="DL5" s="155">
        <v>18320.667271999999</v>
      </c>
      <c r="DM5" s="155">
        <v>21672.385667000002</v>
      </c>
      <c r="DN5" s="155">
        <v>24213.536597000002</v>
      </c>
      <c r="DO5" s="155">
        <v>27269.400012000006</v>
      </c>
      <c r="DP5" s="155">
        <v>30050.098766000003</v>
      </c>
      <c r="DQ5" s="155">
        <v>32921.822470999999</v>
      </c>
      <c r="DR5" s="155">
        <v>38527.315491000001</v>
      </c>
      <c r="DS5" s="158">
        <f>+DS6+DS7+DS11</f>
        <v>53987.891263000005</v>
      </c>
      <c r="DT5" s="158">
        <f>+DT4-DT8</f>
        <v>47269.541685999997</v>
      </c>
      <c r="DU5" s="158">
        <v>2381.6702599999999</v>
      </c>
      <c r="DV5" s="158">
        <v>4936.5434480000004</v>
      </c>
      <c r="DW5" s="158">
        <v>8328.2462129999985</v>
      </c>
      <c r="DX5" s="158">
        <v>11026.637616999998</v>
      </c>
      <c r="DY5" s="158">
        <v>14395.132740000001</v>
      </c>
      <c r="DZ5" s="158">
        <f>+DZ6+DZ7+DZ11</f>
        <v>17195.252234</v>
      </c>
      <c r="EA5" s="158">
        <f>+EA4-EA8</f>
        <v>20477.572708</v>
      </c>
      <c r="EB5" s="158">
        <f t="shared" ref="EB5:EE5" si="3">+EB4-EB8</f>
        <v>0</v>
      </c>
      <c r="EC5" s="158">
        <f t="shared" si="3"/>
        <v>0</v>
      </c>
      <c r="ED5" s="158">
        <f t="shared" si="3"/>
        <v>0</v>
      </c>
      <c r="EE5" s="158">
        <f t="shared" si="3"/>
        <v>0</v>
      </c>
      <c r="EF5" s="159">
        <f t="shared" ref="EF5:EF24" si="4">EA5/DT5*100</f>
        <v>43.320861547648391</v>
      </c>
      <c r="EG5" s="160">
        <f t="shared" ref="EG5:EG9" si="5">(+EA5/DM5-1)*100</f>
        <v>-5.5130661541304864</v>
      </c>
      <c r="EH5" s="160">
        <f t="shared" si="0"/>
        <v>-5.5130661541304864</v>
      </c>
      <c r="EI5" s="155">
        <f>+EI6+EI7+EI11</f>
        <v>18759.736884999998</v>
      </c>
      <c r="EJ5" s="161">
        <f t="shared" si="1"/>
        <v>-1564.4846509999988</v>
      </c>
      <c r="EK5" s="162">
        <f t="shared" si="2"/>
        <v>-8.3395873864890788</v>
      </c>
      <c r="EL5" s="965">
        <f t="shared" ref="EL5:EL61" si="6">+EA5-DM5</f>
        <v>-1194.8129590000026</v>
      </c>
    </row>
    <row r="6" spans="1:143" ht="15" customHeight="1">
      <c r="A6" s="166" t="s">
        <v>36</v>
      </c>
      <c r="B6" s="167">
        <v>32092.276722000002</v>
      </c>
      <c r="C6" s="167">
        <v>2964.6124970000001</v>
      </c>
      <c r="D6" s="167">
        <v>5079.8298240000004</v>
      </c>
      <c r="E6" s="167">
        <v>7111.2130509999997</v>
      </c>
      <c r="F6" s="167">
        <v>8926.9873310000003</v>
      </c>
      <c r="G6" s="167">
        <v>11852.00742</v>
      </c>
      <c r="H6" s="167">
        <v>13689.051519999999</v>
      </c>
      <c r="I6" s="167">
        <v>15844.035965999998</v>
      </c>
      <c r="J6" s="167">
        <v>18008.459344999999</v>
      </c>
      <c r="K6" s="167">
        <v>20685.513128000002</v>
      </c>
      <c r="L6" s="167">
        <v>23006.807066000001</v>
      </c>
      <c r="M6" s="167">
        <v>25138.162351999999</v>
      </c>
      <c r="N6" s="167">
        <v>27572.781316000004</v>
      </c>
      <c r="O6" s="167">
        <v>35888.732208000001</v>
      </c>
      <c r="P6" s="167">
        <v>2852.0249240000003</v>
      </c>
      <c r="Q6" s="167">
        <v>4945.5202630000003</v>
      </c>
      <c r="R6" s="167">
        <v>6707.8345939999999</v>
      </c>
      <c r="S6" s="167">
        <v>8703.2002859999993</v>
      </c>
      <c r="T6" s="167">
        <v>11177.988139999998</v>
      </c>
      <c r="U6" s="167">
        <v>13193.305798999998</v>
      </c>
      <c r="V6" s="167">
        <v>15869.536279</v>
      </c>
      <c r="W6" s="167">
        <v>17937.960091000001</v>
      </c>
      <c r="X6" s="167">
        <v>20499.867619999997</v>
      </c>
      <c r="Y6" s="167">
        <v>23075.341493000004</v>
      </c>
      <c r="Z6" s="167">
        <v>25185.288841000001</v>
      </c>
      <c r="AA6" s="167">
        <v>28099.504776000002</v>
      </c>
      <c r="AB6" s="167">
        <v>32691.739837000001</v>
      </c>
      <c r="AC6" s="167">
        <v>2788.7386590000001</v>
      </c>
      <c r="AD6" s="167">
        <v>4665.3364000000001</v>
      </c>
      <c r="AE6" s="167">
        <v>6725.7517810000008</v>
      </c>
      <c r="AF6" s="167">
        <v>8701.3311020000001</v>
      </c>
      <c r="AG6" s="167">
        <v>11465.667110999999</v>
      </c>
      <c r="AH6" s="167">
        <v>13347.687169000001</v>
      </c>
      <c r="AI6" s="167">
        <v>15474.950584</v>
      </c>
      <c r="AJ6" s="167">
        <v>17370.673311000002</v>
      </c>
      <c r="AK6" s="167">
        <v>19904.243539999996</v>
      </c>
      <c r="AL6" s="167">
        <f>+'Mapa I_ Receitas'!AL4</f>
        <v>22226.585440999996</v>
      </c>
      <c r="AM6" s="167">
        <f>+'Mapa I_ Receitas'!AM4</f>
        <v>24313.662624000001</v>
      </c>
      <c r="AN6" s="167">
        <v>27059.827995000003</v>
      </c>
      <c r="AO6" s="167">
        <v>32666.028079</v>
      </c>
      <c r="AP6" s="167">
        <v>2536.3698770000001</v>
      </c>
      <c r="AQ6" s="167">
        <v>4721.9475939999993</v>
      </c>
      <c r="AR6" s="167">
        <v>7531.3816020000004</v>
      </c>
      <c r="AS6" s="167">
        <v>9799</v>
      </c>
      <c r="AT6" s="167">
        <v>12051</v>
      </c>
      <c r="AU6" s="167">
        <v>14817.565375</v>
      </c>
      <c r="AV6" s="167">
        <v>17238.136484999999</v>
      </c>
      <c r="AW6" s="167">
        <v>19538</v>
      </c>
      <c r="AX6" s="167">
        <v>21750.559217999999</v>
      </c>
      <c r="AY6" s="167">
        <v>24448.108597999999</v>
      </c>
      <c r="AZ6" s="167">
        <v>27361.734875000002</v>
      </c>
      <c r="BA6" s="167">
        <v>30516.447098000001</v>
      </c>
      <c r="BB6" s="167">
        <v>34937.839119999997</v>
      </c>
      <c r="BC6" s="167">
        <v>32303.934447</v>
      </c>
      <c r="BD6" s="167">
        <v>2460.5919869999998</v>
      </c>
      <c r="BE6" s="168">
        <v>4957.8115070000003</v>
      </c>
      <c r="BF6" s="167">
        <v>8024.7899109999998</v>
      </c>
      <c r="BG6" s="167">
        <v>10370.832462</v>
      </c>
      <c r="BH6" s="167">
        <v>12830.473097999999</v>
      </c>
      <c r="BI6" s="167">
        <v>15566.586600999999</v>
      </c>
      <c r="BJ6" s="167">
        <v>18396.501444000001</v>
      </c>
      <c r="BK6" s="167">
        <v>20975.063740999998</v>
      </c>
      <c r="BL6" s="167">
        <v>23731.602529</v>
      </c>
      <c r="BM6" s="167">
        <v>26161.950682999999</v>
      </c>
      <c r="BN6" s="167">
        <v>29226.839107000003</v>
      </c>
      <c r="BO6" s="167">
        <v>32274.908450000003</v>
      </c>
      <c r="BP6" s="167">
        <v>37407.489540000002</v>
      </c>
      <c r="BQ6" s="167">
        <v>36005.838820916753</v>
      </c>
      <c r="BR6" s="167">
        <v>2685.84978</v>
      </c>
      <c r="BS6" s="167">
        <v>4938.268368</v>
      </c>
      <c r="BT6" s="167">
        <v>8505.4156170000006</v>
      </c>
      <c r="BU6" s="167">
        <v>10894.966291999997</v>
      </c>
      <c r="BV6" s="167">
        <v>13959.924929999999</v>
      </c>
      <c r="BW6" s="167">
        <v>17025.116341000001</v>
      </c>
      <c r="BX6" s="167">
        <v>19523.348259999999</v>
      </c>
      <c r="BY6" s="167">
        <v>22954.669763000005</v>
      </c>
      <c r="BZ6" s="169">
        <v>26117.351634999999</v>
      </c>
      <c r="CA6" s="169">
        <v>32106.452311999998</v>
      </c>
      <c r="CB6" s="169">
        <v>32181.981425000002</v>
      </c>
      <c r="CC6" s="170">
        <v>35842.192143000007</v>
      </c>
      <c r="CD6" s="170">
        <v>42327.841998999997</v>
      </c>
      <c r="CE6" s="171">
        <v>2891.6169969999996</v>
      </c>
      <c r="CF6" s="169">
        <v>5459.5193870000003</v>
      </c>
      <c r="CG6" s="169">
        <v>9075.9021309999989</v>
      </c>
      <c r="CH6" s="169">
        <v>12077.440466</v>
      </c>
      <c r="CI6" s="169">
        <v>16153.434375999999</v>
      </c>
      <c r="CJ6" s="169">
        <v>18907.747267999999</v>
      </c>
      <c r="CK6" s="169">
        <v>22154.402899999997</v>
      </c>
      <c r="CL6" s="169">
        <v>25962.602094000002</v>
      </c>
      <c r="CM6" s="169">
        <v>29056.377935</v>
      </c>
      <c r="CN6" s="169">
        <v>32106.452311999998</v>
      </c>
      <c r="CO6" s="169">
        <v>35652.019511999999</v>
      </c>
      <c r="CP6" s="169">
        <v>40522.796752000002</v>
      </c>
      <c r="CQ6" s="170">
        <v>44406.520139999993</v>
      </c>
      <c r="CR6" s="170">
        <v>43125.622071666847</v>
      </c>
      <c r="CS6" s="171">
        <v>2997.0795980000003</v>
      </c>
      <c r="CT6" s="170">
        <v>5897.8396889999995</v>
      </c>
      <c r="CU6" s="169">
        <v>9517.5518279999997</v>
      </c>
      <c r="CV6" s="167">
        <v>12813.210818000001</v>
      </c>
      <c r="CW6" s="169">
        <v>16873.081978999999</v>
      </c>
      <c r="CX6" s="169">
        <v>20218.748308999999</v>
      </c>
      <c r="CY6" s="169">
        <v>23384.338987000003</v>
      </c>
      <c r="CZ6" s="169">
        <v>27524.492020000002</v>
      </c>
      <c r="DA6" s="169">
        <v>30651.576880000001</v>
      </c>
      <c r="DB6" s="169">
        <v>34015.421897</v>
      </c>
      <c r="DC6" s="169">
        <v>37619.551342999992</v>
      </c>
      <c r="DD6" s="169">
        <v>42141.232468000002</v>
      </c>
      <c r="DE6" s="169">
        <v>48065.657007000002</v>
      </c>
      <c r="DF6" s="169">
        <v>33952.035034</v>
      </c>
      <c r="DG6" s="169">
        <v>3154.6412930000001</v>
      </c>
      <c r="DH6" s="169">
        <v>6184.3542689999986</v>
      </c>
      <c r="DI6" s="169">
        <v>9918.5543349999989</v>
      </c>
      <c r="DJ6" s="169">
        <v>12424.681693999999</v>
      </c>
      <c r="DK6" s="169">
        <v>14027.119125000001</v>
      </c>
      <c r="DL6" s="169">
        <v>15889.043747</v>
      </c>
      <c r="DM6" s="169">
        <v>18978.062774000002</v>
      </c>
      <c r="DN6" s="169">
        <v>21242.743874</v>
      </c>
      <c r="DO6" s="169">
        <v>23760.630523000003</v>
      </c>
      <c r="DP6" s="169">
        <v>26100.360662000003</v>
      </c>
      <c r="DQ6" s="169">
        <v>28345.638239</v>
      </c>
      <c r="DR6" s="169">
        <v>32236.740126000001</v>
      </c>
      <c r="DS6" s="172">
        <f>+'Mapa I_ Receitas'!DS4</f>
        <v>39765.413606000002</v>
      </c>
      <c r="DT6" s="172">
        <f>+'Mapa I_ Receitas'!DT4</f>
        <v>34894.816271999996</v>
      </c>
      <c r="DU6" s="172">
        <v>2080.3629959999998</v>
      </c>
      <c r="DV6" s="172">
        <v>4312.4241590000001</v>
      </c>
      <c r="DW6" s="172">
        <v>7172.3895210000001</v>
      </c>
      <c r="DX6" s="172">
        <v>9539.572764999999</v>
      </c>
      <c r="DY6" s="172">
        <v>12531.068014</v>
      </c>
      <c r="DZ6" s="172">
        <f>+'Mapa I_ Receitas'!DZ4</f>
        <v>14956.679984</v>
      </c>
      <c r="EA6" s="172">
        <f>+'Mapa I_ Receitas'!EA4</f>
        <v>17794.695883</v>
      </c>
      <c r="EB6" s="172">
        <f>+'Mapa I_ Receitas'!EB4</f>
        <v>3125.769894</v>
      </c>
      <c r="EC6" s="172">
        <f>+'Mapa I_ Receitas'!EC4</f>
        <v>3125.769894</v>
      </c>
      <c r="ED6" s="172">
        <f>+'Mapa I_ Receitas'!ED4</f>
        <v>3125.769894</v>
      </c>
      <c r="EE6" s="172">
        <f>+'Mapa I_ Receitas'!EE4</f>
        <v>7046.5179870000002</v>
      </c>
      <c r="EF6" s="173">
        <f t="shared" si="4"/>
        <v>50.995241655072618</v>
      </c>
      <c r="EG6" s="174">
        <f>(+EA6/DM6-1)*100</f>
        <v>-6.2354461837970998</v>
      </c>
      <c r="EH6" s="174">
        <f t="shared" si="0"/>
        <v>-6.2354461837970998</v>
      </c>
      <c r="EI6" s="169">
        <v>15360.360602999999</v>
      </c>
      <c r="EJ6" s="175">
        <f t="shared" si="1"/>
        <v>-403.68061899999884</v>
      </c>
      <c r="EK6" s="176">
        <f t="shared" si="2"/>
        <v>-2.6280673314476588</v>
      </c>
      <c r="EL6" s="965">
        <f t="shared" si="6"/>
        <v>-1183.3668910000015</v>
      </c>
      <c r="EM6" s="177"/>
    </row>
    <row r="7" spans="1:143" ht="15" customHeight="1">
      <c r="A7" s="166" t="s">
        <v>63</v>
      </c>
      <c r="B7" s="169">
        <v>12.122224000000001</v>
      </c>
      <c r="C7" s="169">
        <v>0.92625599999999997</v>
      </c>
      <c r="D7" s="169">
        <v>1.9114640000000001</v>
      </c>
      <c r="E7" s="169">
        <v>5.5578660000000006</v>
      </c>
      <c r="F7" s="169">
        <v>7.9196470000000003</v>
      </c>
      <c r="G7" s="169">
        <v>8.2940740000000002</v>
      </c>
      <c r="H7" s="169">
        <v>8.7789719999999996</v>
      </c>
      <c r="I7" s="169">
        <v>9.374981</v>
      </c>
      <c r="J7" s="169">
        <v>9.6992520000000013</v>
      </c>
      <c r="K7" s="169">
        <v>10.216154</v>
      </c>
      <c r="L7" s="169">
        <v>10.584709</v>
      </c>
      <c r="M7" s="169">
        <v>11.872005</v>
      </c>
      <c r="N7" s="169">
        <v>41.316127000000002</v>
      </c>
      <c r="O7" s="169">
        <v>5.5038660000000004</v>
      </c>
      <c r="P7" s="169">
        <v>13.729844</v>
      </c>
      <c r="Q7" s="169">
        <v>29.38439</v>
      </c>
      <c r="R7" s="169">
        <v>8.9141159999999999</v>
      </c>
      <c r="S7" s="169">
        <v>31.154131</v>
      </c>
      <c r="T7" s="169">
        <v>31.225343000000002</v>
      </c>
      <c r="U7" s="169">
        <v>14.45632</v>
      </c>
      <c r="V7" s="169">
        <v>31.611706999999999</v>
      </c>
      <c r="W7" s="169">
        <v>31.845299000000001</v>
      </c>
      <c r="X7" s="169">
        <v>25.954129999999999</v>
      </c>
      <c r="Y7" s="169">
        <v>35.404899</v>
      </c>
      <c r="Z7" s="169">
        <v>35.747872999999998</v>
      </c>
      <c r="AA7" s="169">
        <v>43.095255000000002</v>
      </c>
      <c r="AB7" s="169">
        <v>17</v>
      </c>
      <c r="AC7" s="169">
        <v>0.49978900000000004</v>
      </c>
      <c r="AD7" s="169">
        <v>5.2424519999999992</v>
      </c>
      <c r="AE7" s="169">
        <v>10.152248999999999</v>
      </c>
      <c r="AF7" s="169">
        <v>14.952885999999999</v>
      </c>
      <c r="AG7" s="169">
        <v>26.811285000000002</v>
      </c>
      <c r="AH7" s="169">
        <v>29.805126999999999</v>
      </c>
      <c r="AI7" s="169">
        <v>33.945025999999999</v>
      </c>
      <c r="AJ7" s="169">
        <v>37.039356999999995</v>
      </c>
      <c r="AK7" s="169">
        <v>42.261320999999995</v>
      </c>
      <c r="AL7" s="169">
        <f>+'Mapa I_ Receitas'!AL28</f>
        <v>47.232168000000001</v>
      </c>
      <c r="AM7" s="169">
        <f>+'Mapa I_ Receitas'!AM28</f>
        <v>50.206979000000004</v>
      </c>
      <c r="AN7" s="169">
        <v>55.651572000000002</v>
      </c>
      <c r="AO7" s="169">
        <v>217.757769</v>
      </c>
      <c r="AP7" s="169">
        <v>1.421087</v>
      </c>
      <c r="AQ7" s="169">
        <v>4.7863179999999996</v>
      </c>
      <c r="AR7" s="167">
        <v>11.840176</v>
      </c>
      <c r="AS7" s="167">
        <v>15.047529000000001</v>
      </c>
      <c r="AT7" s="167">
        <v>19.998235999999999</v>
      </c>
      <c r="AU7" s="167">
        <v>24.165067999999998</v>
      </c>
      <c r="AV7" s="167">
        <v>24.426257999999997</v>
      </c>
      <c r="AW7" s="167">
        <v>31.598361999999998</v>
      </c>
      <c r="AX7" s="167">
        <v>32.324736999999999</v>
      </c>
      <c r="AY7" s="167">
        <v>36</v>
      </c>
      <c r="AZ7" s="167">
        <v>41</v>
      </c>
      <c r="BA7" s="167">
        <v>45.717044000000001</v>
      </c>
      <c r="BB7" s="169">
        <v>207.829061</v>
      </c>
      <c r="BC7" s="169">
        <v>55.687233999999997</v>
      </c>
      <c r="BD7" s="167">
        <v>5.574E-3</v>
      </c>
      <c r="BE7" s="168">
        <v>1.6147999999999999E-2</v>
      </c>
      <c r="BF7" s="167">
        <v>13.242265</v>
      </c>
      <c r="BG7" s="167">
        <v>17.675999000000001</v>
      </c>
      <c r="BH7" s="167">
        <v>21.870797</v>
      </c>
      <c r="BI7" s="167">
        <v>26.201630999999999</v>
      </c>
      <c r="BJ7" s="167">
        <v>31.735164999999999</v>
      </c>
      <c r="BK7" s="167">
        <v>35.684129999999996</v>
      </c>
      <c r="BL7" s="167">
        <v>41.168172000000006</v>
      </c>
      <c r="BM7" s="167">
        <v>45.240681000000002</v>
      </c>
      <c r="BN7" s="167">
        <v>50.357404000000002</v>
      </c>
      <c r="BO7" s="167">
        <v>55.687233999999997</v>
      </c>
      <c r="BP7" s="169">
        <v>58.696885000000002</v>
      </c>
      <c r="BQ7" s="169">
        <v>58.696885000000002</v>
      </c>
      <c r="BR7" s="167">
        <v>5.2454390000000002</v>
      </c>
      <c r="BS7" s="167">
        <v>9.9675940000000001</v>
      </c>
      <c r="BT7" s="167">
        <v>14.669642</v>
      </c>
      <c r="BU7" s="167">
        <v>20.128389999999996</v>
      </c>
      <c r="BV7" s="167">
        <v>24.450695</v>
      </c>
      <c r="BW7" s="167">
        <v>29.538716999999998</v>
      </c>
      <c r="BX7" s="167">
        <v>34.231936999999995</v>
      </c>
      <c r="BY7" s="167">
        <v>39.194443999999997</v>
      </c>
      <c r="BZ7" s="169">
        <v>44.522432999999999</v>
      </c>
      <c r="CA7" s="169">
        <v>53.597143000000003</v>
      </c>
      <c r="CB7" s="169">
        <v>55.134661999999999</v>
      </c>
      <c r="CC7" s="170">
        <v>60.370308000000001</v>
      </c>
      <c r="CD7" s="170">
        <v>65.7</v>
      </c>
      <c r="CE7" s="171">
        <v>6.4921829999999998</v>
      </c>
      <c r="CF7" s="169">
        <v>11.629291</v>
      </c>
      <c r="CG7" s="169">
        <v>17.188296999999999</v>
      </c>
      <c r="CH7" s="169">
        <v>22.638016000000004</v>
      </c>
      <c r="CI7" s="169">
        <v>27.241900999999999</v>
      </c>
      <c r="CJ7" s="169">
        <v>32.693719000000002</v>
      </c>
      <c r="CK7" s="169">
        <v>37.790216999999998</v>
      </c>
      <c r="CL7" s="169">
        <v>43.276229000000001</v>
      </c>
      <c r="CM7" s="169">
        <v>48.337817999999999</v>
      </c>
      <c r="CN7" s="169">
        <v>53.597143000000003</v>
      </c>
      <c r="CO7" s="169">
        <v>59.664084000000003</v>
      </c>
      <c r="CP7" s="169">
        <v>77.785463000000007</v>
      </c>
      <c r="CQ7" s="170">
        <v>60.684184000000002</v>
      </c>
      <c r="CR7" s="170">
        <v>60.684184000000002</v>
      </c>
      <c r="CS7" s="171">
        <v>0.44956099999999999</v>
      </c>
      <c r="CT7" s="170">
        <v>6.8130260000000007</v>
      </c>
      <c r="CU7" s="169">
        <v>14.209961999999999</v>
      </c>
      <c r="CV7" s="167">
        <v>20.042317000000001</v>
      </c>
      <c r="CW7" s="169">
        <v>26.080022</v>
      </c>
      <c r="CX7" s="169">
        <v>32.199627</v>
      </c>
      <c r="CY7" s="169">
        <v>38.343144000000002</v>
      </c>
      <c r="CZ7" s="169">
        <v>44.460679999999996</v>
      </c>
      <c r="DA7" s="169">
        <v>45.671961000000003</v>
      </c>
      <c r="DB7" s="169">
        <v>51.957479999999997</v>
      </c>
      <c r="DC7" s="169">
        <v>58.027964000000004</v>
      </c>
      <c r="DD7" s="169">
        <v>76.586356999999992</v>
      </c>
      <c r="DE7" s="169">
        <v>69.542689999999993</v>
      </c>
      <c r="DF7" s="169">
        <v>69.542689999999993</v>
      </c>
      <c r="DG7" s="169">
        <v>0.18621499999999999</v>
      </c>
      <c r="DH7" s="169">
        <v>5.7557299999999998</v>
      </c>
      <c r="DI7" s="169">
        <v>7.8733719999999998</v>
      </c>
      <c r="DJ7" s="169">
        <v>15.353952</v>
      </c>
      <c r="DK7" s="169">
        <v>21.229727</v>
      </c>
      <c r="DL7" s="169">
        <v>27.562844000000002</v>
      </c>
      <c r="DM7" s="169">
        <v>28.960763</v>
      </c>
      <c r="DN7" s="169">
        <v>35.310355000000001</v>
      </c>
      <c r="DO7" s="169">
        <v>41.760501000000005</v>
      </c>
      <c r="DP7" s="169">
        <v>47.780982000000002</v>
      </c>
      <c r="DQ7" s="169">
        <v>54.077676999999994</v>
      </c>
      <c r="DR7" s="169">
        <v>56.744630000000001</v>
      </c>
      <c r="DS7" s="172">
        <f>+'Mapa I_ Receitas'!DS28</f>
        <v>71.343545000000006</v>
      </c>
      <c r="DT7" s="172">
        <f>+'Mapa I_ Receitas'!DT28</f>
        <v>70.893545000000003</v>
      </c>
      <c r="DU7" s="172">
        <v>0.13495599999999999</v>
      </c>
      <c r="DV7" s="172">
        <v>5.950368000000001</v>
      </c>
      <c r="DW7" s="172">
        <v>12.448777999999999</v>
      </c>
      <c r="DX7" s="172">
        <v>19.030644000000002</v>
      </c>
      <c r="DY7" s="172">
        <v>25.899438</v>
      </c>
      <c r="DZ7" s="172">
        <f>+'Mapa I_ Receitas'!DZ28</f>
        <v>29.035825000000003</v>
      </c>
      <c r="EA7" s="172">
        <f>+'Mapa I_ Receitas'!EA28</f>
        <v>32.221981999999997</v>
      </c>
      <c r="EB7" s="172">
        <f>+'Mapa I_ Receitas'!EB28</f>
        <v>0</v>
      </c>
      <c r="EC7" s="172">
        <f>+'Mapa I_ Receitas'!EC28</f>
        <v>0</v>
      </c>
      <c r="ED7" s="172">
        <f>+'Mapa I_ Receitas'!ED28</f>
        <v>0</v>
      </c>
      <c r="EE7" s="172">
        <f>+'Mapa I_ Receitas'!EE28</f>
        <v>0</v>
      </c>
      <c r="EF7" s="173">
        <f t="shared" si="4"/>
        <v>45.451221264220877</v>
      </c>
      <c r="EG7" s="174">
        <f t="shared" si="5"/>
        <v>11.26081864624906</v>
      </c>
      <c r="EH7" s="174">
        <f t="shared" si="0"/>
        <v>11.26081864624906</v>
      </c>
      <c r="EI7" s="169">
        <v>29.035825000000003</v>
      </c>
      <c r="EJ7" s="175">
        <f t="shared" si="1"/>
        <v>0</v>
      </c>
      <c r="EK7" s="176">
        <f t="shared" si="2"/>
        <v>0</v>
      </c>
      <c r="EL7" s="965">
        <f t="shared" si="6"/>
        <v>3.261218999999997</v>
      </c>
    </row>
    <row r="8" spans="1:143" ht="15" customHeight="1">
      <c r="A8" s="166" t="s">
        <v>120</v>
      </c>
      <c r="B8" s="169">
        <v>4028.1454050000002</v>
      </c>
      <c r="C8" s="169">
        <v>9.7954939999999997</v>
      </c>
      <c r="D8" s="169">
        <v>56.947012999999998</v>
      </c>
      <c r="E8" s="169">
        <v>354.53372300000001</v>
      </c>
      <c r="F8" s="169">
        <v>411.161045</v>
      </c>
      <c r="G8" s="169">
        <v>461.40282300000001</v>
      </c>
      <c r="H8" s="169">
        <v>591.28627299999994</v>
      </c>
      <c r="I8" s="169">
        <v>627.77777700000001</v>
      </c>
      <c r="J8" s="169">
        <v>627.77777700000001</v>
      </c>
      <c r="K8" s="169">
        <v>632.22370000000001</v>
      </c>
      <c r="L8" s="169">
        <v>812.11598099999992</v>
      </c>
      <c r="M8" s="169">
        <v>1641.1628965242123</v>
      </c>
      <c r="N8" s="169">
        <v>4202.5369389999996</v>
      </c>
      <c r="O8" s="169">
        <v>5410.8082649999997</v>
      </c>
      <c r="P8" s="169">
        <v>86.085104999999999</v>
      </c>
      <c r="Q8" s="169">
        <v>208.86114099999998</v>
      </c>
      <c r="R8" s="169">
        <v>419.47438987418002</v>
      </c>
      <c r="S8" s="169">
        <v>409.30215599999997</v>
      </c>
      <c r="T8" s="169">
        <v>549.99223800000004</v>
      </c>
      <c r="U8" s="169">
        <v>896.36924916965006</v>
      </c>
      <c r="V8" s="169">
        <v>835.09152599999993</v>
      </c>
      <c r="W8" s="169">
        <v>924.70040199999994</v>
      </c>
      <c r="X8" s="169">
        <v>1204.8857980000002</v>
      </c>
      <c r="Y8" s="169">
        <v>1304.2632520000002</v>
      </c>
      <c r="Z8" s="169">
        <v>1459.045228</v>
      </c>
      <c r="AA8" s="169">
        <v>4023.5257009999996</v>
      </c>
      <c r="AB8" s="169">
        <v>5276.2712780000002</v>
      </c>
      <c r="AC8" s="169">
        <v>155.50397099999998</v>
      </c>
      <c r="AD8" s="169">
        <v>203.85251</v>
      </c>
      <c r="AE8" s="169">
        <v>225.81117399999999</v>
      </c>
      <c r="AF8" s="169">
        <v>342.07435399999997</v>
      </c>
      <c r="AG8" s="169">
        <v>363.28199499999999</v>
      </c>
      <c r="AH8" s="169">
        <v>479.96424199999996</v>
      </c>
      <c r="AI8" s="169">
        <v>499.55466999999999</v>
      </c>
      <c r="AJ8" s="169">
        <v>523.51880400000005</v>
      </c>
      <c r="AK8" s="169">
        <v>1139.3021870000002</v>
      </c>
      <c r="AL8" s="169">
        <f>+'Mapa I_ Receitas'!AL32</f>
        <v>713.89246000000003</v>
      </c>
      <c r="AM8" s="169">
        <f>+'Mapa I_ Receitas'!AM32</f>
        <v>747.27036899999996</v>
      </c>
      <c r="AN8" s="169">
        <v>2786.873388</v>
      </c>
      <c r="AO8" s="169">
        <v>4753.3278309999996</v>
      </c>
      <c r="AP8" s="169">
        <v>42</v>
      </c>
      <c r="AQ8" s="169">
        <v>57</v>
      </c>
      <c r="AR8" s="169">
        <v>636.72242320239502</v>
      </c>
      <c r="AS8" s="169">
        <v>461</v>
      </c>
      <c r="AT8" s="169">
        <v>595</v>
      </c>
      <c r="AU8" s="169">
        <v>1141.9522205792771</v>
      </c>
      <c r="AV8" s="169">
        <v>1175.432596437759</v>
      </c>
      <c r="AW8" s="169">
        <v>1363</v>
      </c>
      <c r="AX8" s="169">
        <v>1937.8693329999996</v>
      </c>
      <c r="AY8" s="169">
        <v>2034</v>
      </c>
      <c r="AZ8" s="169">
        <v>2097</v>
      </c>
      <c r="BA8" s="169">
        <v>3958.3748840000007</v>
      </c>
      <c r="BB8" s="169">
        <v>6332.2835949999999</v>
      </c>
      <c r="BC8" s="169">
        <v>3954.6425169999998</v>
      </c>
      <c r="BD8" s="169">
        <v>231.82896401184999</v>
      </c>
      <c r="BE8" s="178">
        <v>336.72895300000005</v>
      </c>
      <c r="BF8" s="167">
        <v>436.11961519711707</v>
      </c>
      <c r="BG8" s="167">
        <v>467.03001711000007</v>
      </c>
      <c r="BH8" s="167">
        <v>778.09559500000012</v>
      </c>
      <c r="BI8" s="169">
        <v>1090.2862768379314</v>
      </c>
      <c r="BJ8" s="167">
        <v>1344.1204500972801</v>
      </c>
      <c r="BK8" s="169">
        <v>1505.8227630407091</v>
      </c>
      <c r="BL8" s="169">
        <v>1975.0440161997999</v>
      </c>
      <c r="BM8" s="169">
        <v>2264.8916220000001</v>
      </c>
      <c r="BN8" s="169">
        <v>2300.9544529999998</v>
      </c>
      <c r="BO8" s="169">
        <v>4507.1991689999995</v>
      </c>
      <c r="BP8" s="169">
        <v>5507.3368379999993</v>
      </c>
      <c r="BQ8" s="169">
        <v>5507.3368380000002</v>
      </c>
      <c r="BR8" s="169">
        <v>193.82776000000001</v>
      </c>
      <c r="BS8" s="169">
        <v>1300.01171</v>
      </c>
      <c r="BT8" s="167">
        <v>1630.9472777671222</v>
      </c>
      <c r="BU8" s="167">
        <v>1866.6170690000001</v>
      </c>
      <c r="BV8" s="167">
        <v>2059.916158</v>
      </c>
      <c r="BW8" s="167">
        <v>144.06672700000001</v>
      </c>
      <c r="BX8" s="167">
        <v>2671.9157045764046</v>
      </c>
      <c r="BY8" s="167">
        <v>3804.4236378837204</v>
      </c>
      <c r="BZ8" s="169">
        <v>4225.9497340000007</v>
      </c>
      <c r="CA8" s="169">
        <v>1179.6631769999999</v>
      </c>
      <c r="CB8" s="169">
        <v>4666.6355683169377</v>
      </c>
      <c r="CC8" s="170">
        <v>6389.3390239999999</v>
      </c>
      <c r="CD8" s="170">
        <v>3415.0120259999999</v>
      </c>
      <c r="CE8" s="171">
        <v>0.367199</v>
      </c>
      <c r="CF8" s="169">
        <v>32.774821000000003</v>
      </c>
      <c r="CG8" s="169">
        <v>824.65661757500004</v>
      </c>
      <c r="CH8" s="169">
        <v>1062.1729251499999</v>
      </c>
      <c r="CI8" s="169">
        <v>878.4785045750001</v>
      </c>
      <c r="CJ8" s="169">
        <v>665.45518799999991</v>
      </c>
      <c r="CK8" s="169">
        <v>1063.1594110000001</v>
      </c>
      <c r="CL8" s="169">
        <v>1073.2035989999997</v>
      </c>
      <c r="CM8" s="169">
        <v>1283.871236</v>
      </c>
      <c r="CN8" s="169">
        <v>1179.6631769999999</v>
      </c>
      <c r="CO8" s="169">
        <v>2134.7140569999997</v>
      </c>
      <c r="CP8" s="169">
        <v>2567.41284</v>
      </c>
      <c r="CQ8" s="170">
        <v>5478.8372580000005</v>
      </c>
      <c r="CR8" s="170">
        <v>5478.8372579999996</v>
      </c>
      <c r="CS8" s="171">
        <v>20.953474</v>
      </c>
      <c r="CT8" s="170">
        <v>53.011168000000005</v>
      </c>
      <c r="CU8" s="169">
        <v>357.48925200000002</v>
      </c>
      <c r="CV8" s="167">
        <v>352.09117900000001</v>
      </c>
      <c r="CW8" s="169">
        <v>716.0807309999999</v>
      </c>
      <c r="CX8" s="169">
        <v>928.24590899999987</v>
      </c>
      <c r="CY8" s="169">
        <v>865.72762399999999</v>
      </c>
      <c r="CZ8" s="169">
        <v>969.09313700000007</v>
      </c>
      <c r="DA8" s="169">
        <v>1225.0139029999998</v>
      </c>
      <c r="DB8" s="169">
        <v>1224.6069110000001</v>
      </c>
      <c r="DC8" s="169">
        <v>1310.0151719999999</v>
      </c>
      <c r="DD8" s="169">
        <v>6624.8619890000009</v>
      </c>
      <c r="DE8" s="169">
        <v>5959.476854999999</v>
      </c>
      <c r="DF8" s="169">
        <v>8559.4701960000002</v>
      </c>
      <c r="DG8" s="169">
        <v>14.134907999999999</v>
      </c>
      <c r="DH8" s="169">
        <v>33.433194</v>
      </c>
      <c r="DI8" s="169">
        <v>138.55104299999999</v>
      </c>
      <c r="DJ8" s="169">
        <v>766.46066299999995</v>
      </c>
      <c r="DK8" s="169">
        <v>796.18360999999993</v>
      </c>
      <c r="DL8" s="169">
        <f>+DL9+DL10</f>
        <v>1389.323989</v>
      </c>
      <c r="DM8" s="169">
        <v>1305.0264630000001</v>
      </c>
      <c r="DN8" s="169">
        <v>3062.9388410000001</v>
      </c>
      <c r="DO8" s="169">
        <v>3226.8529619999999</v>
      </c>
      <c r="DP8" s="169">
        <v>3295.5694010000002</v>
      </c>
      <c r="DQ8" s="169">
        <v>3668.7600270000003</v>
      </c>
      <c r="DR8" s="169">
        <v>5223.872378</v>
      </c>
      <c r="DS8" s="172">
        <f>+'Mapa I_ Receitas'!DS32</f>
        <v>4050.143724</v>
      </c>
      <c r="DT8" s="172">
        <f>+'Mapa I_ Receitas'!DT32</f>
        <v>5250.3755090000004</v>
      </c>
      <c r="DU8" s="172">
        <v>29.768608999999998</v>
      </c>
      <c r="DV8" s="172">
        <v>109.76913399999999</v>
      </c>
      <c r="DW8" s="172">
        <v>164.30048799999997</v>
      </c>
      <c r="DX8" s="172">
        <v>461.67204300000003</v>
      </c>
      <c r="DY8" s="172">
        <v>571.07708100000002</v>
      </c>
      <c r="DZ8" s="172">
        <f>+'Mapa I_ Receitas'!DZ32</f>
        <v>689.59814800000004</v>
      </c>
      <c r="EA8" s="172">
        <f>+'Mapa I_ Receitas'!EA32</f>
        <v>865.03493100000003</v>
      </c>
      <c r="EB8" s="172">
        <f>+'Mapa I_ Receitas'!EB32</f>
        <v>0</v>
      </c>
      <c r="EC8" s="172">
        <f>+'Mapa I_ Receitas'!EC32</f>
        <v>0</v>
      </c>
      <c r="ED8" s="172">
        <f>+'Mapa I_ Receitas'!ED32</f>
        <v>0</v>
      </c>
      <c r="EE8" s="172">
        <f>+'Mapa I_ Receitas'!EE32</f>
        <v>0</v>
      </c>
      <c r="EF8" s="173">
        <f t="shared" si="4"/>
        <v>16.475677397115483</v>
      </c>
      <c r="EG8" s="174">
        <f t="shared" si="5"/>
        <v>-33.71514252581099</v>
      </c>
      <c r="EH8" s="174">
        <f t="shared" si="0"/>
        <v>-33.71514252581099</v>
      </c>
      <c r="EI8" s="187">
        <f>387.752134+214.593083</f>
        <v>602.34521700000005</v>
      </c>
      <c r="EJ8" s="175">
        <f t="shared" si="1"/>
        <v>87.25293099999999</v>
      </c>
      <c r="EK8" s="176">
        <f t="shared" si="2"/>
        <v>14.485535625993018</v>
      </c>
      <c r="EL8" s="965">
        <f t="shared" si="6"/>
        <v>-439.99153200000012</v>
      </c>
    </row>
    <row r="9" spans="1:143" ht="14.5" hidden="1">
      <c r="A9" s="888" t="s">
        <v>1042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78"/>
      <c r="BF9" s="167"/>
      <c r="BG9" s="167"/>
      <c r="BH9" s="167"/>
      <c r="BI9" s="169"/>
      <c r="BJ9" s="167"/>
      <c r="BK9" s="169"/>
      <c r="BL9" s="169"/>
      <c r="BM9" s="169"/>
      <c r="BN9" s="169"/>
      <c r="BO9" s="169"/>
      <c r="BP9" s="169"/>
      <c r="BQ9" s="169"/>
      <c r="BR9" s="169"/>
      <c r="BS9" s="169"/>
      <c r="BT9" s="167"/>
      <c r="BU9" s="167"/>
      <c r="BV9" s="167"/>
      <c r="BW9" s="167"/>
      <c r="BX9" s="167"/>
      <c r="BY9" s="167"/>
      <c r="BZ9" s="169"/>
      <c r="CA9" s="169"/>
      <c r="CB9" s="169"/>
      <c r="CC9" s="170"/>
      <c r="CD9" s="170"/>
      <c r="CE9" s="171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70"/>
      <c r="CR9" s="170"/>
      <c r="CS9" s="171"/>
      <c r="CT9" s="170"/>
      <c r="CU9" s="169"/>
      <c r="CV9" s="167"/>
      <c r="CW9" s="169"/>
      <c r="CX9" s="169"/>
      <c r="CY9" s="169"/>
      <c r="CZ9" s="169"/>
      <c r="DA9" s="169"/>
      <c r="DB9" s="169"/>
      <c r="DC9" s="169"/>
      <c r="DD9" s="169"/>
      <c r="DE9" s="169"/>
      <c r="DF9" s="169">
        <v>4501.3963899999999</v>
      </c>
      <c r="DG9" s="169"/>
      <c r="DH9" s="169"/>
      <c r="DI9" s="169"/>
      <c r="DJ9" s="169"/>
      <c r="DK9" s="169"/>
      <c r="DL9" s="169">
        <v>344.20329700000002</v>
      </c>
      <c r="DM9" s="169"/>
      <c r="DN9" s="169"/>
      <c r="DO9" s="169"/>
      <c r="DP9" s="169"/>
      <c r="DQ9" s="169"/>
      <c r="DR9" s="169"/>
      <c r="DS9" s="172">
        <v>1963.9032319999999</v>
      </c>
      <c r="DT9" s="172">
        <f>(+'AI_Mapa Cons. REC_2021'!I56+'AI_Mapa Cons. REC_2021'!I67+'AI_Mapa Cons. REC_2021'!I70)/1000000</f>
        <v>161.12639899999999</v>
      </c>
      <c r="DU9" s="172"/>
      <c r="DV9" s="172"/>
      <c r="DW9" s="172"/>
      <c r="DX9" s="172"/>
      <c r="DY9" s="172"/>
      <c r="DZ9" s="172">
        <v>621.04165799999998</v>
      </c>
      <c r="EA9" s="172">
        <f>(+'AI_Mapa Cons. REC_2021'!P56+'AI_Mapa Cons. REC_2021'!P67+'AI_Mapa Cons. REC_2021'!P70)/1000000</f>
        <v>0</v>
      </c>
      <c r="EB9" s="172"/>
      <c r="EC9" s="172"/>
      <c r="ED9" s="172"/>
      <c r="EE9" s="172"/>
      <c r="EF9" s="173">
        <f t="shared" si="4"/>
        <v>0</v>
      </c>
      <c r="EG9" s="174" t="e">
        <f t="shared" si="5"/>
        <v>#DIV/0!</v>
      </c>
      <c r="EH9" s="174" t="e">
        <f t="shared" si="0"/>
        <v>#DIV/0!</v>
      </c>
      <c r="EI9" s="167"/>
      <c r="EJ9" s="175">
        <f t="shared" si="1"/>
        <v>621.04165799999998</v>
      </c>
      <c r="EK9" s="176" t="e">
        <f t="shared" si="2"/>
        <v>#DIV/0!</v>
      </c>
      <c r="EL9" s="965">
        <f t="shared" si="6"/>
        <v>0</v>
      </c>
    </row>
    <row r="10" spans="1:143" ht="14.5" hidden="1">
      <c r="A10" s="888" t="s">
        <v>270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78"/>
      <c r="BF10" s="167"/>
      <c r="BG10" s="167"/>
      <c r="BH10" s="167"/>
      <c r="BI10" s="169"/>
      <c r="BJ10" s="167"/>
      <c r="BK10" s="169"/>
      <c r="BL10" s="169"/>
      <c r="BM10" s="169"/>
      <c r="BN10" s="169"/>
      <c r="BO10" s="169"/>
      <c r="BP10" s="169"/>
      <c r="BQ10" s="169"/>
      <c r="BR10" s="169"/>
      <c r="BS10" s="169"/>
      <c r="BT10" s="167"/>
      <c r="BU10" s="167"/>
      <c r="BV10" s="167"/>
      <c r="BW10" s="167"/>
      <c r="BX10" s="167"/>
      <c r="BY10" s="167"/>
      <c r="BZ10" s="169"/>
      <c r="CA10" s="169"/>
      <c r="CB10" s="169"/>
      <c r="CC10" s="170"/>
      <c r="CD10" s="170"/>
      <c r="CE10" s="171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70"/>
      <c r="CR10" s="170"/>
      <c r="CS10" s="171"/>
      <c r="CT10" s="170"/>
      <c r="CU10" s="169"/>
      <c r="CV10" s="167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>
        <v>4058.0738059999994</v>
      </c>
      <c r="DG10" s="169"/>
      <c r="DH10" s="169"/>
      <c r="DI10" s="169"/>
      <c r="DJ10" s="169"/>
      <c r="DK10" s="169"/>
      <c r="DL10" s="169">
        <v>1045.120692</v>
      </c>
      <c r="DM10" s="169"/>
      <c r="DN10" s="169"/>
      <c r="DO10" s="169"/>
      <c r="DP10" s="169"/>
      <c r="DQ10" s="169"/>
      <c r="DR10" s="169"/>
      <c r="DS10" s="172">
        <v>2086.2404919999999</v>
      </c>
      <c r="DT10" s="172">
        <f>(+'AI_Mapa Cons. REC_2021'!I61+'AI_Mapa Cons. REC_2021'!I68)/1000000</f>
        <v>14.324684</v>
      </c>
      <c r="DU10" s="172"/>
      <c r="DV10" s="172"/>
      <c r="DW10" s="172"/>
      <c r="DX10" s="172"/>
      <c r="DY10" s="172"/>
      <c r="DZ10" s="172">
        <v>68.556489999999997</v>
      </c>
      <c r="EA10" s="172">
        <f>(+'AI_Mapa Cons. REC_2021'!P61+'AI_Mapa Cons. REC_2021'!P68)/1000000</f>
        <v>0</v>
      </c>
      <c r="EB10" s="172"/>
      <c r="EC10" s="172"/>
      <c r="ED10" s="172"/>
      <c r="EE10" s="172"/>
      <c r="EF10" s="173">
        <f t="shared" si="4"/>
        <v>0</v>
      </c>
      <c r="EG10" s="174"/>
      <c r="EH10" s="174" t="e">
        <f t="shared" si="0"/>
        <v>#DIV/0!</v>
      </c>
      <c r="EI10" s="167"/>
      <c r="EJ10" s="175">
        <f t="shared" si="1"/>
        <v>68.556489999999997</v>
      </c>
      <c r="EK10" s="176" t="e">
        <f t="shared" si="2"/>
        <v>#DIV/0!</v>
      </c>
      <c r="EL10" s="965">
        <f t="shared" si="6"/>
        <v>0</v>
      </c>
    </row>
    <row r="11" spans="1:143" ht="15" customHeight="1">
      <c r="A11" s="166" t="s">
        <v>76</v>
      </c>
      <c r="B11" s="169">
        <v>4604.3937029999997</v>
      </c>
      <c r="C11" s="169">
        <v>252.31898099999998</v>
      </c>
      <c r="D11" s="169">
        <v>505.96287299999995</v>
      </c>
      <c r="E11" s="169">
        <v>954.8515809999999</v>
      </c>
      <c r="F11" s="169">
        <v>1239.091858</v>
      </c>
      <c r="G11" s="169">
        <v>1478.5246560000003</v>
      </c>
      <c r="H11" s="169">
        <v>2126.1790309999997</v>
      </c>
      <c r="I11" s="169">
        <v>2351.5486849999998</v>
      </c>
      <c r="J11" s="169">
        <v>2668.3603670000002</v>
      </c>
      <c r="K11" s="169">
        <v>3401.3340000000007</v>
      </c>
      <c r="L11" s="169">
        <v>3609.2206139999998</v>
      </c>
      <c r="M11" s="169">
        <v>3826.9305989999998</v>
      </c>
      <c r="N11" s="169">
        <v>4871.5754040000002</v>
      </c>
      <c r="O11" s="169">
        <v>5667.4217950000002</v>
      </c>
      <c r="P11" s="169">
        <v>738.06199200000003</v>
      </c>
      <c r="Q11" s="169">
        <v>1042.816515</v>
      </c>
      <c r="R11" s="169">
        <v>1553.4245469999998</v>
      </c>
      <c r="S11" s="169">
        <v>1707.3304479999997</v>
      </c>
      <c r="T11" s="169">
        <v>2091.3448450000001</v>
      </c>
      <c r="U11" s="169">
        <v>2688.9622859999999</v>
      </c>
      <c r="V11" s="169">
        <v>2709.1624669999997</v>
      </c>
      <c r="W11" s="169">
        <v>3236.3979839999997</v>
      </c>
      <c r="X11" s="169">
        <v>4103.0560840000007</v>
      </c>
      <c r="Y11" s="169">
        <v>4009.9071529999997</v>
      </c>
      <c r="Z11" s="169">
        <v>4569.7028190000001</v>
      </c>
      <c r="AA11" s="169">
        <v>5550.1651399999992</v>
      </c>
      <c r="AB11" s="169">
        <v>6637.0448300000007</v>
      </c>
      <c r="AC11" s="169">
        <v>308.79689200000001</v>
      </c>
      <c r="AD11" s="169">
        <v>645.82052499999986</v>
      </c>
      <c r="AE11" s="169">
        <v>1245.4801189999998</v>
      </c>
      <c r="AF11" s="169">
        <v>1385.015052</v>
      </c>
      <c r="AG11" s="169">
        <v>1754.7058939999999</v>
      </c>
      <c r="AH11" s="169">
        <v>2398.535644</v>
      </c>
      <c r="AI11" s="169">
        <v>2447.3885269999996</v>
      </c>
      <c r="AJ11" s="169">
        <v>2791.7315509999999</v>
      </c>
      <c r="AK11" s="169">
        <v>3954.191464</v>
      </c>
      <c r="AL11" s="169">
        <f>+'Mapa I_ Receitas'!AL40</f>
        <v>3610.4701989999999</v>
      </c>
      <c r="AM11" s="169">
        <f>+'Mapa I_ Receitas'!AM40</f>
        <v>4011.0584430000004</v>
      </c>
      <c r="AN11" s="169">
        <v>5424.2314500000011</v>
      </c>
      <c r="AO11" s="169">
        <v>6810.5658320000002</v>
      </c>
      <c r="AP11" s="169">
        <v>316</v>
      </c>
      <c r="AQ11" s="169">
        <v>648.90473099999997</v>
      </c>
      <c r="AR11" s="169">
        <v>1246.5665170000002</v>
      </c>
      <c r="AS11" s="169">
        <v>2155</v>
      </c>
      <c r="AT11" s="169">
        <v>2524</v>
      </c>
      <c r="AU11" s="169">
        <v>3277.9231920000002</v>
      </c>
      <c r="AV11" s="169">
        <v>3492.5087510000003</v>
      </c>
      <c r="AW11" s="169">
        <v>3847</v>
      </c>
      <c r="AX11" s="169">
        <v>4776.1827551600009</v>
      </c>
      <c r="AY11" s="169">
        <v>4664</v>
      </c>
      <c r="AZ11" s="169">
        <v>5127</v>
      </c>
      <c r="BA11" s="169">
        <v>8157.1396883999996</v>
      </c>
      <c r="BB11" s="169">
        <v>8877.2646679999998</v>
      </c>
      <c r="BC11" s="169">
        <v>6905.7199813999996</v>
      </c>
      <c r="BD11" s="169">
        <v>444.61133599999999</v>
      </c>
      <c r="BE11" s="178">
        <v>792.28481600000009</v>
      </c>
      <c r="BF11" s="167">
        <v>1454.3769320000001</v>
      </c>
      <c r="BG11" s="167">
        <v>1648.1374410000001</v>
      </c>
      <c r="BH11" s="167">
        <v>2165.611484</v>
      </c>
      <c r="BI11" s="169">
        <v>2843.779239</v>
      </c>
      <c r="BJ11" s="167">
        <v>2834.6822830000001</v>
      </c>
      <c r="BK11" s="169">
        <v>3254.5366190000004</v>
      </c>
      <c r="BL11" s="169">
        <v>4138.9324530000004</v>
      </c>
      <c r="BM11" s="169">
        <v>4548.5148489999992</v>
      </c>
      <c r="BN11" s="169">
        <v>5037.6394459999992</v>
      </c>
      <c r="BO11" s="169">
        <v>7269.6706409999997</v>
      </c>
      <c r="BP11" s="169">
        <v>7563.7349460000005</v>
      </c>
      <c r="BQ11" s="169">
        <v>8650.1567840000007</v>
      </c>
      <c r="BR11" s="169">
        <v>379.56075799999996</v>
      </c>
      <c r="BS11" s="169">
        <v>879.41537700000003</v>
      </c>
      <c r="BT11" s="167">
        <v>1560.078131</v>
      </c>
      <c r="BU11" s="167">
        <v>1763.9538870000001</v>
      </c>
      <c r="BV11" s="167">
        <v>2229.3138199999999</v>
      </c>
      <c r="BW11" s="167">
        <v>2961.7256750000001</v>
      </c>
      <c r="BX11" s="167">
        <v>3130.2659139999996</v>
      </c>
      <c r="BY11" s="167">
        <v>3595.6068230000005</v>
      </c>
      <c r="BZ11" s="169">
        <v>4697.0592729999998</v>
      </c>
      <c r="CA11" s="169">
        <v>5910.0254459999996</v>
      </c>
      <c r="CB11" s="169">
        <v>5583.4027370000003</v>
      </c>
      <c r="CC11" s="170">
        <v>7212.7045360000002</v>
      </c>
      <c r="CD11" s="170">
        <v>8752.6365930000011</v>
      </c>
      <c r="CE11" s="171">
        <v>521.98756100000003</v>
      </c>
      <c r="CF11" s="169">
        <v>1046.8809410000001</v>
      </c>
      <c r="CG11" s="169">
        <v>1849.9459272999998</v>
      </c>
      <c r="CH11" s="169">
        <v>2153.9548860000004</v>
      </c>
      <c r="CI11" s="169">
        <v>2632.330974</v>
      </c>
      <c r="CJ11" s="169">
        <v>3601.9421129999996</v>
      </c>
      <c r="CK11" s="169">
        <v>3667.3496270000001</v>
      </c>
      <c r="CL11" s="169">
        <v>4704.1617960000003</v>
      </c>
      <c r="CM11" s="169">
        <v>5764.4216972499999</v>
      </c>
      <c r="CN11" s="169">
        <v>5910.0254459999996</v>
      </c>
      <c r="CO11" s="169">
        <v>6999.3407209999996</v>
      </c>
      <c r="CP11" s="169">
        <v>8102.4227499999997</v>
      </c>
      <c r="CQ11" s="170">
        <v>13664.888940000001</v>
      </c>
      <c r="CR11" s="170">
        <v>13984.724604145002</v>
      </c>
      <c r="CS11" s="171">
        <v>771.97269300000005</v>
      </c>
      <c r="CT11" s="170">
        <v>1319.1277600000001</v>
      </c>
      <c r="CU11" s="169">
        <v>2001.6206550000002</v>
      </c>
      <c r="CV11" s="167">
        <v>2453.8988840000002</v>
      </c>
      <c r="CW11" s="169">
        <v>3261.5988379999999</v>
      </c>
      <c r="CX11" s="169">
        <v>3915.2811950049995</v>
      </c>
      <c r="CY11" s="169">
        <v>4429.3309360000003</v>
      </c>
      <c r="CZ11" s="169">
        <v>5167.1309330000004</v>
      </c>
      <c r="DA11" s="169">
        <v>5880.7316589999991</v>
      </c>
      <c r="DB11" s="169">
        <v>6800.7515219999996</v>
      </c>
      <c r="DC11" s="169">
        <v>6833.5900219999994</v>
      </c>
      <c r="DD11" s="169">
        <v>9889.1011049999997</v>
      </c>
      <c r="DE11" s="169">
        <v>14300.650451</v>
      </c>
      <c r="DF11" s="169">
        <v>11287.666043999998</v>
      </c>
      <c r="DG11" s="169">
        <v>752.77150000000006</v>
      </c>
      <c r="DH11" s="169">
        <v>1316.6566570000002</v>
      </c>
      <c r="DI11" s="169">
        <v>1701.6473299999998</v>
      </c>
      <c r="DJ11" s="169">
        <v>1897.6886000000002</v>
      </c>
      <c r="DK11" s="169">
        <v>2133.5112880000001</v>
      </c>
      <c r="DL11" s="169">
        <v>2404.1008900000002</v>
      </c>
      <c r="DM11" s="169">
        <v>2665.36213</v>
      </c>
      <c r="DN11" s="169">
        <v>2935.482368</v>
      </c>
      <c r="DO11" s="169">
        <v>3467.008988</v>
      </c>
      <c r="DP11" s="169">
        <v>3901.9571220000003</v>
      </c>
      <c r="DQ11" s="169">
        <v>4522.1065550000003</v>
      </c>
      <c r="DR11" s="169">
        <v>6233.9048509999993</v>
      </c>
      <c r="DS11" s="172">
        <f>+'Mapa I_ Receitas'!DS40</f>
        <v>14151.134111999998</v>
      </c>
      <c r="DT11" s="172">
        <f>+'Mapa I_ Receitas'!DT40</f>
        <v>12303.831869000001</v>
      </c>
      <c r="DU11" s="172">
        <v>301.17230799999999</v>
      </c>
      <c r="DV11" s="172">
        <v>618.16892100000007</v>
      </c>
      <c r="DW11" s="172">
        <v>1143.4079140000001</v>
      </c>
      <c r="DX11" s="172">
        <v>1468.0342079999998</v>
      </c>
      <c r="DY11" s="172">
        <v>1838.1652879999999</v>
      </c>
      <c r="DZ11" s="172">
        <f>+'Mapa I_ Receitas'!DZ40</f>
        <v>2209.5364250000002</v>
      </c>
      <c r="EA11" s="172">
        <f>+'Mapa I_ Receitas'!EA40</f>
        <v>2650.6548429999998</v>
      </c>
      <c r="EB11" s="172">
        <f>+'Mapa I_ Receitas'!EB40</f>
        <v>23.893194999999999</v>
      </c>
      <c r="EC11" s="172">
        <f>+'Mapa I_ Receitas'!EC40</f>
        <v>23.893194999999999</v>
      </c>
      <c r="ED11" s="172">
        <f>+'Mapa I_ Receitas'!ED40</f>
        <v>23.893194999999999</v>
      </c>
      <c r="EE11" s="172">
        <f>+'Mapa I_ Receitas'!EE40</f>
        <v>2241.3108470000002</v>
      </c>
      <c r="EF11" s="173">
        <f t="shared" si="4"/>
        <v>21.543327893470579</v>
      </c>
      <c r="EG11" s="174">
        <f t="shared" ref="EG11:EG25" si="7">(+EA11/DM11-1)*100</f>
        <v>-0.55179320042340052</v>
      </c>
      <c r="EH11" s="174">
        <f t="shared" si="0"/>
        <v>-0.55179320042340052</v>
      </c>
      <c r="EI11" s="169">
        <v>3370.3404569999998</v>
      </c>
      <c r="EJ11" s="175">
        <f t="shared" si="1"/>
        <v>-1160.8040319999996</v>
      </c>
      <c r="EK11" s="176">
        <f t="shared" si="2"/>
        <v>-34.441743996191178</v>
      </c>
      <c r="EL11" s="965">
        <f t="shared" si="6"/>
        <v>-14.707287000000179</v>
      </c>
    </row>
    <row r="12" spans="1:143" s="185" customFormat="1" ht="15" customHeight="1">
      <c r="A12" s="179" t="s">
        <v>121</v>
      </c>
      <c r="B12" s="158">
        <f>+B13+B14+B15+B16+B17+B18+B19+B20</f>
        <v>38310.697212570005</v>
      </c>
      <c r="C12" s="158">
        <f t="shared" ref="C12:BN12" si="8">+C13+C14+C15+C16+C17+C18+C19+C20</f>
        <v>1913.9961948509813</v>
      </c>
      <c r="D12" s="180">
        <f t="shared" si="8"/>
        <v>27914.826236212833</v>
      </c>
      <c r="E12" s="158">
        <f t="shared" si="8"/>
        <v>7088.8736758509822</v>
      </c>
      <c r="F12" s="158">
        <f t="shared" si="8"/>
        <v>9451.0599031625006</v>
      </c>
      <c r="G12" s="158">
        <f t="shared" si="8"/>
        <v>12303.4786400225</v>
      </c>
      <c r="H12" s="158">
        <f t="shared" si="8"/>
        <v>15005.828362022501</v>
      </c>
      <c r="I12" s="158">
        <f t="shared" si="8"/>
        <v>17248.490342022502</v>
      </c>
      <c r="J12" s="158">
        <f t="shared" si="8"/>
        <v>20218.043961172029</v>
      </c>
      <c r="K12" s="158">
        <f t="shared" si="8"/>
        <v>23003.324516459925</v>
      </c>
      <c r="L12" s="158">
        <f t="shared" si="8"/>
        <v>26078.325448459931</v>
      </c>
      <c r="M12" s="158">
        <f t="shared" si="8"/>
        <v>28730.622620984144</v>
      </c>
      <c r="N12" s="158">
        <f t="shared" si="8"/>
        <v>34262.01066498414</v>
      </c>
      <c r="O12" s="158">
        <f t="shared" si="8"/>
        <v>42112.365147588003</v>
      </c>
      <c r="P12" s="158">
        <f t="shared" si="8"/>
        <v>2269.5409309900001</v>
      </c>
      <c r="Q12" s="158">
        <f t="shared" si="8"/>
        <v>4660.4791329899999</v>
      </c>
      <c r="R12" s="158">
        <f t="shared" si="8"/>
        <v>8342.6974129900009</v>
      </c>
      <c r="S12" s="158">
        <f t="shared" si="8"/>
        <v>10000.94160654</v>
      </c>
      <c r="T12" s="158">
        <f t="shared" si="8"/>
        <v>13244.10942999</v>
      </c>
      <c r="U12" s="158">
        <f t="shared" si="8"/>
        <v>16235.464981350004</v>
      </c>
      <c r="V12" s="158">
        <f t="shared" si="8"/>
        <v>18825.885373989997</v>
      </c>
      <c r="W12" s="158">
        <f t="shared" si="8"/>
        <v>22240.04302135</v>
      </c>
      <c r="X12" s="158">
        <f t="shared" si="8"/>
        <v>23898.528944000002</v>
      </c>
      <c r="Y12" s="158">
        <f t="shared" si="8"/>
        <v>27453.715926329998</v>
      </c>
      <c r="Z12" s="158">
        <f t="shared" si="8"/>
        <v>30160.639497329998</v>
      </c>
      <c r="AA12" s="158">
        <f t="shared" si="8"/>
        <v>35424.057532899991</v>
      </c>
      <c r="AB12" s="158">
        <f t="shared" si="8"/>
        <v>43693.705970585826</v>
      </c>
      <c r="AC12" s="158">
        <f t="shared" si="8"/>
        <v>2371.1314410000005</v>
      </c>
      <c r="AD12" s="158">
        <f t="shared" si="8"/>
        <v>5020.4053269999986</v>
      </c>
      <c r="AE12" s="158">
        <f t="shared" si="8"/>
        <v>7903.1919460000008</v>
      </c>
      <c r="AF12" s="158">
        <f t="shared" si="8"/>
        <v>10901.755468000001</v>
      </c>
      <c r="AG12" s="158">
        <f t="shared" si="8"/>
        <v>13729.66639</v>
      </c>
      <c r="AH12" s="158">
        <f t="shared" si="8"/>
        <v>16589.705864</v>
      </c>
      <c r="AI12" s="180">
        <f t="shared" si="8"/>
        <v>19640.540615999998</v>
      </c>
      <c r="AJ12" s="158">
        <f t="shared" si="8"/>
        <v>22525.406804671104</v>
      </c>
      <c r="AK12" s="158">
        <f t="shared" si="8"/>
        <v>25764.801534000002</v>
      </c>
      <c r="AL12" s="158">
        <f t="shared" si="8"/>
        <v>28437.268703059999</v>
      </c>
      <c r="AM12" s="158">
        <f t="shared" si="8"/>
        <v>31076.872433459997</v>
      </c>
      <c r="AN12" s="158">
        <f t="shared" si="8"/>
        <v>37542.424217699423</v>
      </c>
      <c r="AO12" s="158">
        <f t="shared" si="8"/>
        <v>43913.093026000002</v>
      </c>
      <c r="AP12" s="158">
        <f t="shared" si="8"/>
        <v>2324.065427</v>
      </c>
      <c r="AQ12" s="158">
        <f t="shared" si="8"/>
        <v>4896.2066910000003</v>
      </c>
      <c r="AR12" s="158">
        <f t="shared" si="8"/>
        <v>9050.0743333400751</v>
      </c>
      <c r="AS12" s="158">
        <f t="shared" si="8"/>
        <v>11235.600227499999</v>
      </c>
      <c r="AT12" s="158">
        <f t="shared" si="8"/>
        <v>14883.935959</v>
      </c>
      <c r="AU12" s="158">
        <f t="shared" si="8"/>
        <v>19374.67439424698</v>
      </c>
      <c r="AV12" s="158">
        <f t="shared" si="8"/>
        <v>21544.334908000001</v>
      </c>
      <c r="AW12" s="158">
        <f t="shared" si="8"/>
        <v>24961.977681999997</v>
      </c>
      <c r="AX12" s="158">
        <f t="shared" si="8"/>
        <v>28898.442082805534</v>
      </c>
      <c r="AY12" s="158">
        <f t="shared" si="8"/>
        <v>30927.810084019999</v>
      </c>
      <c r="AZ12" s="158">
        <f t="shared" si="8"/>
        <v>34519.64455313528</v>
      </c>
      <c r="BA12" s="158">
        <f t="shared" si="8"/>
        <v>41068.109007800005</v>
      </c>
      <c r="BB12" s="158">
        <f t="shared" si="8"/>
        <v>49614.155821</v>
      </c>
      <c r="BC12" s="158">
        <f t="shared" si="8"/>
        <v>44015.265998190953</v>
      </c>
      <c r="BD12" s="158">
        <f t="shared" si="8"/>
        <v>2371.1095952500004</v>
      </c>
      <c r="BE12" s="181">
        <f t="shared" si="8"/>
        <v>5509.3221544099997</v>
      </c>
      <c r="BF12" s="180">
        <f t="shared" si="8"/>
        <v>9782.1775127779147</v>
      </c>
      <c r="BG12" s="180">
        <f t="shared" si="8"/>
        <v>15567.967878619998</v>
      </c>
      <c r="BH12" s="180">
        <f t="shared" si="8"/>
        <v>15646.639096355</v>
      </c>
      <c r="BI12" s="158">
        <f t="shared" si="8"/>
        <v>20659.831874620057</v>
      </c>
      <c r="BJ12" s="180">
        <f t="shared" si="8"/>
        <v>23039.111454091668</v>
      </c>
      <c r="BK12" s="158">
        <f t="shared" si="8"/>
        <v>26392.288117861666</v>
      </c>
      <c r="BL12" s="158">
        <f t="shared" si="8"/>
        <v>30364.567507419455</v>
      </c>
      <c r="BM12" s="158">
        <f t="shared" si="8"/>
        <v>32887.476412079995</v>
      </c>
      <c r="BN12" s="158">
        <f t="shared" si="8"/>
        <v>36131.664474489997</v>
      </c>
      <c r="BO12" s="158">
        <f t="shared" ref="BO12:DQ12" si="9">+BO13+BO14+BO15+BO16+BO17+BO18+BO19+BO20</f>
        <v>44988.985534960004</v>
      </c>
      <c r="BP12" s="158">
        <f t="shared" si="9"/>
        <v>48780.354896014993</v>
      </c>
      <c r="BQ12" s="158">
        <f t="shared" si="9"/>
        <v>49538.772408450008</v>
      </c>
      <c r="BR12" s="158">
        <f t="shared" si="9"/>
        <v>2700.8576809199994</v>
      </c>
      <c r="BS12" s="158">
        <f t="shared" si="9"/>
        <v>6059.0148639499994</v>
      </c>
      <c r="BT12" s="180">
        <f t="shared" si="9"/>
        <v>10286.327463689999</v>
      </c>
      <c r="BU12" s="180">
        <f t="shared" si="9"/>
        <v>13887.426122841822</v>
      </c>
      <c r="BV12" s="180">
        <f t="shared" si="9"/>
        <v>17052.533382539998</v>
      </c>
      <c r="BW12" s="180">
        <f t="shared" si="9"/>
        <v>20191.128885709411</v>
      </c>
      <c r="BX12" s="180">
        <f t="shared" si="9"/>
        <v>22953.915250911927</v>
      </c>
      <c r="BY12" s="180">
        <f t="shared" si="9"/>
        <v>27146.696855141105</v>
      </c>
      <c r="BZ12" s="158">
        <f t="shared" si="9"/>
        <v>30965.324247778703</v>
      </c>
      <c r="CA12" s="158">
        <f t="shared" si="9"/>
        <v>33149.841411937989</v>
      </c>
      <c r="CB12" s="158">
        <f t="shared" si="9"/>
        <v>37293.931381971604</v>
      </c>
      <c r="CC12" s="182">
        <f t="shared" si="9"/>
        <v>46169.521010070006</v>
      </c>
      <c r="CD12" s="182">
        <f t="shared" si="9"/>
        <v>53582.678831115001</v>
      </c>
      <c r="CE12" s="183">
        <f t="shared" si="9"/>
        <v>2997.5632053354352</v>
      </c>
      <c r="CF12" s="158">
        <f t="shared" si="9"/>
        <v>6158.6871041539744</v>
      </c>
      <c r="CG12" s="158">
        <f t="shared" si="9"/>
        <v>10399.019991655865</v>
      </c>
      <c r="CH12" s="158">
        <f t="shared" si="9"/>
        <v>14155.924731654301</v>
      </c>
      <c r="CI12" s="158">
        <f t="shared" si="9"/>
        <v>18536.58913386341</v>
      </c>
      <c r="CJ12" s="158">
        <f t="shared" si="9"/>
        <v>21712.124026999994</v>
      </c>
      <c r="CK12" s="158">
        <f t="shared" si="9"/>
        <v>25622.662262977243</v>
      </c>
      <c r="CL12" s="158">
        <f t="shared" si="9"/>
        <v>29745.931907999999</v>
      </c>
      <c r="CM12" s="184">
        <f t="shared" si="9"/>
        <v>34490.960229000011</v>
      </c>
      <c r="CN12" s="158">
        <f t="shared" si="9"/>
        <v>38276.034216419837</v>
      </c>
      <c r="CO12" s="158">
        <f t="shared" si="9"/>
        <v>42835.599576000001</v>
      </c>
      <c r="CP12" s="158">
        <f t="shared" si="9"/>
        <v>49797.64817</v>
      </c>
      <c r="CQ12" s="182">
        <f t="shared" si="9"/>
        <v>59146.75931173499</v>
      </c>
      <c r="CR12" s="182">
        <f t="shared" si="9"/>
        <v>56873.918827533984</v>
      </c>
      <c r="CS12" s="183">
        <f t="shared" si="9"/>
        <v>3753.4743090000002</v>
      </c>
      <c r="CT12" s="182">
        <f t="shared" si="9"/>
        <v>7899.5532615229831</v>
      </c>
      <c r="CU12" s="158">
        <f t="shared" si="9"/>
        <v>12771.76966077995</v>
      </c>
      <c r="CV12" s="180">
        <f t="shared" si="9"/>
        <v>15323.171162409999</v>
      </c>
      <c r="CW12" s="158">
        <f t="shared" si="9"/>
        <v>20142.41044893023</v>
      </c>
      <c r="CX12" s="158">
        <f t="shared" si="9"/>
        <v>24119.368183409999</v>
      </c>
      <c r="CY12" s="158">
        <f t="shared" si="9"/>
        <v>28413.457168410005</v>
      </c>
      <c r="CZ12" s="158">
        <f t="shared" si="9"/>
        <v>32404.553369410005</v>
      </c>
      <c r="DA12" s="158">
        <f t="shared" si="9"/>
        <v>36491.995719409999</v>
      </c>
      <c r="DB12" s="158">
        <f t="shared" si="9"/>
        <v>40784.547804357542</v>
      </c>
      <c r="DC12" s="158">
        <f t="shared" si="9"/>
        <v>45577.964922357547</v>
      </c>
      <c r="DD12" s="158">
        <f t="shared" si="9"/>
        <v>54850.481968410008</v>
      </c>
      <c r="DE12" s="158">
        <f t="shared" si="9"/>
        <v>62385.870566955004</v>
      </c>
      <c r="DF12" s="158">
        <f>+DF13+DF14+DF15+DF16+DF17+DF18+DF19+DF20</f>
        <v>64973.815866000004</v>
      </c>
      <c r="DG12" s="158">
        <f>+DG13+DG14+DG15+DG16+DG17+DG18+DG19+DG20</f>
        <v>3278.0205175961187</v>
      </c>
      <c r="DH12" s="158">
        <f t="shared" si="9"/>
        <v>7433.2735230000008</v>
      </c>
      <c r="DI12" s="158">
        <f t="shared" si="9"/>
        <v>11807.119100965214</v>
      </c>
      <c r="DJ12" s="158">
        <f t="shared" si="9"/>
        <v>15826.908270492235</v>
      </c>
      <c r="DK12" s="158">
        <f t="shared" si="9"/>
        <v>20219.577235000001</v>
      </c>
      <c r="DL12" s="158">
        <f t="shared" si="9"/>
        <v>24382.289376839475</v>
      </c>
      <c r="DM12" s="158">
        <f t="shared" si="9"/>
        <v>28784.265061638045</v>
      </c>
      <c r="DN12" s="158">
        <f t="shared" si="9"/>
        <v>32451.375996999999</v>
      </c>
      <c r="DO12" s="158">
        <f t="shared" si="9"/>
        <v>37686.992590138048</v>
      </c>
      <c r="DP12" s="158">
        <f t="shared" si="9"/>
        <v>42325.284825605704</v>
      </c>
      <c r="DQ12" s="158">
        <f t="shared" si="9"/>
        <v>47068.334893837913</v>
      </c>
      <c r="DR12" s="158">
        <v>54283.861394561107</v>
      </c>
      <c r="DS12" s="158">
        <f t="shared" ref="DS12" si="10">+DS13+DS14+DS15+DS16+DS17+DS18+DS19</f>
        <v>61004.397601999997</v>
      </c>
      <c r="DT12" s="158">
        <f>+DT13+DT14+DT15+DT16+DT17+DT18+DT19+DT20</f>
        <v>63473.053420999997</v>
      </c>
      <c r="DU12" s="158">
        <v>3159.710564</v>
      </c>
      <c r="DV12" s="158">
        <v>7272.4493650175527</v>
      </c>
      <c r="DW12" s="158">
        <v>12003.071378999997</v>
      </c>
      <c r="DX12" s="158">
        <v>16998.166376000001</v>
      </c>
      <c r="DY12" s="158">
        <v>21076.679742</v>
      </c>
      <c r="DZ12" s="158">
        <f>+DZ13+DZ14+DZ15+DZ16+DZ17+DZ18+DZ19+DZ20</f>
        <v>25466.699182</v>
      </c>
      <c r="EA12" s="158">
        <f>+EA13+EA14+EA15+EA16+EA17+EA18+EA19+EA20</f>
        <v>30070.697934</v>
      </c>
      <c r="EB12" s="158">
        <f t="shared" ref="EB12:EE12" si="11">+EB13+EB14+EB15+EB16+EB17+EB18+EB19+EB20</f>
        <v>549.20228299999997</v>
      </c>
      <c r="EC12" s="158">
        <f t="shared" si="11"/>
        <v>549.20228299999997</v>
      </c>
      <c r="ED12" s="158">
        <f t="shared" si="11"/>
        <v>549.20228299999997</v>
      </c>
      <c r="EE12" s="158">
        <f t="shared" si="11"/>
        <v>549.20228299999997</v>
      </c>
      <c r="EF12" s="159">
        <f t="shared" si="4"/>
        <v>47.375533889238007</v>
      </c>
      <c r="EG12" s="159">
        <f t="shared" si="7"/>
        <v>4.4692225756232107</v>
      </c>
      <c r="EH12" s="159">
        <f t="shared" si="0"/>
        <v>4.4692225756232107</v>
      </c>
      <c r="EI12" s="155">
        <f>+EI13+EI14+EI15+EI16+EI17+EI18+EI19</f>
        <v>25537.251320700001</v>
      </c>
      <c r="EJ12" s="161">
        <f t="shared" si="1"/>
        <v>-70.552138700000796</v>
      </c>
      <c r="EK12" s="162">
        <f t="shared" si="2"/>
        <v>-0.27627146639236377</v>
      </c>
      <c r="EL12" s="989">
        <f t="shared" si="6"/>
        <v>1286.4328723619547</v>
      </c>
    </row>
    <row r="13" spans="1:143" s="185" customFormat="1" ht="15" customHeight="1">
      <c r="A13" s="186" t="s">
        <v>92</v>
      </c>
      <c r="B13" s="172">
        <f>+'Mapa II_ Despesas'!B4</f>
        <v>17418.2485636276</v>
      </c>
      <c r="C13" s="172">
        <f>+'Mapa II_ Despesas'!C4</f>
        <v>1121.7585653560213</v>
      </c>
      <c r="D13" s="172">
        <f>+'Mapa II_ Despesas'!D4</f>
        <v>2364.8221493560213</v>
      </c>
      <c r="E13" s="172">
        <f>+'Mapa II_ Despesas'!E4</f>
        <v>3643.0483123560211</v>
      </c>
      <c r="F13" s="172">
        <f>+'Mapa II_ Despesas'!F4</f>
        <v>4890.6252433560212</v>
      </c>
      <c r="G13" s="172">
        <f>+'Mapa II_ Despesas'!G4</f>
        <v>6074.0002873560215</v>
      </c>
      <c r="H13" s="172">
        <f>+'Mapa II_ Despesas'!H4</f>
        <v>7595.2157843560217</v>
      </c>
      <c r="I13" s="172">
        <f>+'Mapa II_ Despesas'!I4</f>
        <v>8651.1387673560203</v>
      </c>
      <c r="J13" s="172">
        <f>+'Mapa II_ Despesas'!J4</f>
        <v>9829.2126083560215</v>
      </c>
      <c r="K13" s="172">
        <f>+'Mapa II_ Despesas'!K4</f>
        <v>11301.04455435602</v>
      </c>
      <c r="L13" s="172">
        <f>+'Mapa II_ Despesas'!L4</f>
        <v>12597.821247356022</v>
      </c>
      <c r="M13" s="172">
        <f>+'Mapa II_ Despesas'!M4</f>
        <v>13719.700188356022</v>
      </c>
      <c r="N13" s="172">
        <f>+'Mapa II_ Despesas'!N4</f>
        <v>15885.933759356019</v>
      </c>
      <c r="O13" s="172">
        <f>+'Mapa II_ Despesas'!O4</f>
        <v>18136.750954588002</v>
      </c>
      <c r="P13" s="172">
        <f>+'Mapa II_ Despesas'!P4</f>
        <v>1146.0453470000002</v>
      </c>
      <c r="Q13" s="172">
        <f>+'Mapa II_ Despesas'!Q4</f>
        <v>2409.5569420000002</v>
      </c>
      <c r="R13" s="172">
        <f>+'Mapa II_ Despesas'!R4</f>
        <v>4240.0050279999996</v>
      </c>
      <c r="S13" s="172">
        <f>+'Mapa II_ Despesas'!S4</f>
        <v>5186.0554665499994</v>
      </c>
      <c r="T13" s="172">
        <f>+'Mapa II_ Despesas'!T4</f>
        <v>6517.3788275500001</v>
      </c>
      <c r="U13" s="172">
        <f>+'Mapa II_ Despesas'!U4</f>
        <v>7776.6712724273784</v>
      </c>
      <c r="V13" s="172">
        <f>+'Mapa II_ Despesas'!V4</f>
        <v>8710.9285485500004</v>
      </c>
      <c r="W13" s="172">
        <f>+'Mapa II_ Despesas'!W4</f>
        <v>10589.862079549999</v>
      </c>
      <c r="X13" s="172">
        <f>+'Mapa II_ Despesas'!X4</f>
        <v>11304</v>
      </c>
      <c r="Y13" s="172">
        <f>+'Mapa II_ Despesas'!Y4</f>
        <v>13398.53671455</v>
      </c>
      <c r="Z13" s="172">
        <f>+'Mapa II_ Despesas'!Z4</f>
        <v>14637.62643255</v>
      </c>
      <c r="AA13" s="172">
        <f>+'Mapa II_ Despesas'!AA4</f>
        <v>16600.68168555</v>
      </c>
      <c r="AB13" s="172">
        <f>+'Mapa II_ Despesas'!AB4</f>
        <v>18486.344313477606</v>
      </c>
      <c r="AC13" s="172">
        <f>+'Mapa II_ Despesas'!AC4</f>
        <v>1260.1158849999999</v>
      </c>
      <c r="AD13" s="172">
        <f>+'Mapa II_ Despesas'!AD4</f>
        <v>2712.8779239999999</v>
      </c>
      <c r="AE13" s="172">
        <f>+'Mapa II_ Despesas'!AE4</f>
        <v>4082.1369420000001</v>
      </c>
      <c r="AF13" s="172">
        <f>+'Mapa II_ Despesas'!AF4</f>
        <v>5461.6335200000003</v>
      </c>
      <c r="AG13" s="172">
        <f>+'Mapa II_ Despesas'!AG4</f>
        <v>6915.9104720000005</v>
      </c>
      <c r="AH13" s="172">
        <f>+'Mapa II_ Despesas'!AH4</f>
        <v>8361.6355600000006</v>
      </c>
      <c r="AI13" s="187">
        <f>+'Mapa II_ Despesas'!AI4</f>
        <v>9526.4677670000001</v>
      </c>
      <c r="AJ13" s="172">
        <f>+'Mapa II_ Despesas'!AJ4</f>
        <v>10773.749083999999</v>
      </c>
      <c r="AK13" s="172">
        <f>+'Mapa II_ Despesas'!AK4</f>
        <v>12469.605764</v>
      </c>
      <c r="AL13" s="172">
        <f>+'Mapa II_ Despesas'!AL4</f>
        <v>13521.741058</v>
      </c>
      <c r="AM13" s="172">
        <f>+'Mapa II_ Despesas'!AM4</f>
        <v>14789.184789999999</v>
      </c>
      <c r="AN13" s="172">
        <f>+'Mapa II_ Despesas'!AN4</f>
        <v>17171.505576164691</v>
      </c>
      <c r="AO13" s="172">
        <f>+'Mapa II_ Despesas'!AO4</f>
        <v>18760</v>
      </c>
      <c r="AP13" s="172">
        <f>+'Mapa II_ Despesas'!AP4</f>
        <v>1007</v>
      </c>
      <c r="AQ13" s="172">
        <f>+'Mapa II_ Despesas'!AQ4</f>
        <v>2513.9457940000002</v>
      </c>
      <c r="AR13" s="172">
        <f>+'Mapa II_ Despesas'!AR4</f>
        <v>4176.6263791263136</v>
      </c>
      <c r="AS13" s="172">
        <f>+'Mapa II_ Despesas'!AS4</f>
        <v>5231.1339752499998</v>
      </c>
      <c r="AT13" s="172">
        <f>+'Mapa II_ Despesas'!AT4</f>
        <v>6636.8519272500007</v>
      </c>
      <c r="AU13" s="172">
        <f>+'Mapa II_ Despesas'!AU4</f>
        <v>8499.5601429866529</v>
      </c>
      <c r="AV13" s="172">
        <f>+'Mapa II_ Despesas'!AV4</f>
        <v>9423.7461652500006</v>
      </c>
      <c r="AW13" s="172">
        <f>+'Mapa II_ Despesas'!AW4</f>
        <v>10795.77687725</v>
      </c>
      <c r="AX13" s="172">
        <f>+'Mapa II_ Despesas'!AX4</f>
        <v>12509.200990187914</v>
      </c>
      <c r="AY13" s="172">
        <f>+'Mapa II_ Despesas'!AY4</f>
        <v>13431.252406</v>
      </c>
      <c r="AZ13" s="172">
        <f>+'Mapa II_ Despesas'!AZ4</f>
        <v>14788.10049425</v>
      </c>
      <c r="BA13" s="172">
        <f>+'Mapa II_ Despesas'!BA4</f>
        <v>17529.932374280004</v>
      </c>
      <c r="BB13" s="172">
        <f>+'Mapa II_ Despesas'!BB4</f>
        <v>20380.051187000001</v>
      </c>
      <c r="BC13" s="172">
        <f>+'Mapa II_ Despesas'!BC4</f>
        <v>18251.857760570001</v>
      </c>
      <c r="BD13" s="172">
        <f>+'Mapa II_ Despesas'!BD4</f>
        <v>1249.9204662400002</v>
      </c>
      <c r="BE13" s="188">
        <f>+'Mapa II_ Despesas'!BE4</f>
        <v>2757.7596910699999</v>
      </c>
      <c r="BF13" s="187">
        <f>+'Mapa II_ Despesas'!BF4</f>
        <v>4505.36754462307</v>
      </c>
      <c r="BG13" s="187">
        <f>+'Mapa II_ Despesas'!BG4</f>
        <v>7217.8205347499998</v>
      </c>
      <c r="BH13" s="187">
        <f>+'Mapa II_ Despesas'!BH4</f>
        <v>7195.4855889900009</v>
      </c>
      <c r="BI13" s="172">
        <f>+'Mapa II_ Despesas'!BI4</f>
        <v>9042.8116218300001</v>
      </c>
      <c r="BJ13" s="187">
        <f>+'Mapa II_ Despesas'!BJ4</f>
        <v>10033.362631889999</v>
      </c>
      <c r="BK13" s="172">
        <f>+'Mapa II_ Despesas'!BK4</f>
        <v>11494.687912559999</v>
      </c>
      <c r="BL13" s="172">
        <f>+'Mapa II_ Despesas'!BL4</f>
        <v>13111.115791893319</v>
      </c>
      <c r="BM13" s="172">
        <f>+'Mapa II_ Despesas'!BM4</f>
        <v>14330.312567999999</v>
      </c>
      <c r="BN13" s="172">
        <f>+'Mapa II_ Despesas'!BN4</f>
        <v>15710.309176000002</v>
      </c>
      <c r="BO13" s="172">
        <f>+'Mapa II_ Despesas'!BO4</f>
        <v>18364.716349009999</v>
      </c>
      <c r="BP13" s="172">
        <f>+'Mapa II_ Despesas'!BP4</f>
        <v>20724.044204624999</v>
      </c>
      <c r="BQ13" s="172">
        <f>+'Mapa II_ Despesas'!BQ4</f>
        <v>20331.044205999999</v>
      </c>
      <c r="BR13" s="172">
        <f>+'Mapa II_ Despesas'!BR4</f>
        <v>1230.8299482899999</v>
      </c>
      <c r="BS13" s="172">
        <f>+'Mapa II_ Despesas'!BS4</f>
        <v>2722.4684059599999</v>
      </c>
      <c r="BT13" s="187">
        <f>+'Mapa II_ Despesas'!BT4</f>
        <v>4452.0620280500007</v>
      </c>
      <c r="BU13" s="187">
        <f>+'Mapa II_ Despesas'!BU4</f>
        <v>5821.51232635</v>
      </c>
      <c r="BV13" s="187">
        <f>+'Mapa II_ Despesas'!BV4</f>
        <v>7382.3974727799996</v>
      </c>
      <c r="BW13" s="187">
        <f>+'Mapa II_ Despesas'!BW4</f>
        <v>9071.0799771811817</v>
      </c>
      <c r="BX13" s="187">
        <f>+'Mapa II_ Despesas'!BX4</f>
        <v>10530.50645913</v>
      </c>
      <c r="BY13" s="187">
        <f>+'Mapa II_ Despesas'!BY4</f>
        <v>12240.79196189</v>
      </c>
      <c r="BZ13" s="172">
        <f>+'Mapa II_ Despesas'!BZ4</f>
        <v>13898.520357384668</v>
      </c>
      <c r="CA13" s="172">
        <f>+'Mapa II_ Despesas'!CA4</f>
        <v>14849.01751736</v>
      </c>
      <c r="CB13" s="172">
        <f>+'Mapa II_ Despesas'!CB4</f>
        <v>16194.545432709998</v>
      </c>
      <c r="CC13" s="189">
        <f>+'Mapa II_ Despesas'!CC4</f>
        <v>18890.85096969</v>
      </c>
      <c r="CD13" s="189">
        <f>+'Mapa II_ Despesas'!CD4</f>
        <v>21665.789807410001</v>
      </c>
      <c r="CE13" s="190">
        <f>+'Mapa II_ Despesas'!CE4</f>
        <v>1278.5686679999999</v>
      </c>
      <c r="CF13" s="172">
        <f>+'Mapa II_ Despesas'!CF4</f>
        <v>2706.8485190000001</v>
      </c>
      <c r="CG13" s="172">
        <f>+'Mapa II_ Despesas'!CG4</f>
        <v>4514.1291670000001</v>
      </c>
      <c r="CH13" s="172">
        <f>+'Mapa II_ Despesas'!CH4</f>
        <v>6070.293756850001</v>
      </c>
      <c r="CI13" s="172">
        <f>+'Mapa II_ Despesas'!CI4</f>
        <v>7905.7124369999992</v>
      </c>
      <c r="CJ13" s="172">
        <f>+'Mapa II_ Despesas'!CJ4</f>
        <v>9566.2061049999993</v>
      </c>
      <c r="CK13" s="172">
        <f>+'Mapa II_ Despesas'!CK4</f>
        <v>10883.06200064411</v>
      </c>
      <c r="CL13" s="172">
        <f>+'Mapa II_ Despesas'!CL4</f>
        <v>12337.672039999999</v>
      </c>
      <c r="CM13" s="172">
        <f>+'Mapa II_ Despesas'!CM4</f>
        <v>14326.4284035</v>
      </c>
      <c r="CN13" s="172">
        <f>+'Mapa II_ Despesas'!CN4</f>
        <v>15399.468638</v>
      </c>
      <c r="CO13" s="172">
        <f>+'Mapa II_ Despesas'!CO4</f>
        <v>16912.963526000003</v>
      </c>
      <c r="CP13" s="172">
        <f>+'Mapa II_ Despesas'!CP4</f>
        <v>19580.434158</v>
      </c>
      <c r="CQ13" s="189">
        <f>+'Mapa II_ Despesas'!CQ4</f>
        <v>23206.87695786</v>
      </c>
      <c r="CR13" s="189">
        <f>+'Mapa II_ Despesas'!CR4</f>
        <v>23206.876957999997</v>
      </c>
      <c r="CS13" s="190">
        <f>+'Mapa II_ Despesas'!CS4</f>
        <v>1457.3246809999998</v>
      </c>
      <c r="CT13" s="189">
        <f>+'Mapa II_ Despesas'!CT4</f>
        <v>3183.1829687700001</v>
      </c>
      <c r="CU13" s="172">
        <f>+'Mapa II_ Despesas'!CU4</f>
        <v>4998.3229343099993</v>
      </c>
      <c r="CV13" s="187">
        <f>+'Mapa II_ Despesas'!CV4</f>
        <v>6755.6400513099998</v>
      </c>
      <c r="CW13" s="172">
        <f>+'Mapa II_ Despesas'!CW4</f>
        <v>8474.0454353099994</v>
      </c>
      <c r="CX13" s="172">
        <f>+'Mapa II_ Despesas'!CX4</f>
        <v>10101.53968631</v>
      </c>
      <c r="CY13" s="172">
        <f>+'Mapa II_ Despesas'!CY4</f>
        <v>11759.689348309999</v>
      </c>
      <c r="CZ13" s="172">
        <f>+'Mapa II_ Despesas'!CZ4</f>
        <v>13473.586316309998</v>
      </c>
      <c r="DA13" s="172">
        <f>+'Mapa II_ Despesas'!DA4</f>
        <v>15106.954906309998</v>
      </c>
      <c r="DB13" s="172">
        <f>+'Mapa II_ Despesas'!DB4</f>
        <v>16834.021059309998</v>
      </c>
      <c r="DC13" s="172">
        <f>+'Mapa II_ Despesas'!DC4</f>
        <v>18404.772766309998</v>
      </c>
      <c r="DD13" s="172">
        <f>+'Mapa II_ Despesas'!DD4</f>
        <v>21176.56329631</v>
      </c>
      <c r="DE13" s="172">
        <f>+'Mapa II_ Despesas'!DE4</f>
        <v>23999.909333475</v>
      </c>
      <c r="DF13" s="172">
        <f>+'Mapa II_ Despesas'!DF4</f>
        <v>23647.624434000001</v>
      </c>
      <c r="DG13" s="172">
        <f>+'Mapa II_ Despesas'!DG4</f>
        <v>1550.99775</v>
      </c>
      <c r="DH13" s="172">
        <f>+'Mapa II_ Despesas'!DH4</f>
        <v>3347.1515139999997</v>
      </c>
      <c r="DI13" s="172">
        <f>+'Mapa II_ Despesas'!DI4</f>
        <v>5097.7184289999996</v>
      </c>
      <c r="DJ13" s="172">
        <f>+'Mapa II_ Despesas'!DJ4</f>
        <v>6758.9461729999994</v>
      </c>
      <c r="DK13" s="172">
        <f>+'Mapa II_ Despesas'!DK4</f>
        <v>8483.7113089999984</v>
      </c>
      <c r="DL13" s="172">
        <f>+'Mapa II_ Despesas'!DL4</f>
        <v>10283.774267000001</v>
      </c>
      <c r="DM13" s="172">
        <f>+'Mapa II_ Despesas'!DM4</f>
        <v>12052.501936000001</v>
      </c>
      <c r="DN13" s="172">
        <f>+'Mapa II_ Despesas'!DN4</f>
        <v>13849.089792999999</v>
      </c>
      <c r="DO13" s="172">
        <f>+'Mapa II_ Despesas'!DO4</f>
        <v>15779.73927</v>
      </c>
      <c r="DP13" s="172">
        <f>+'Mapa II_ Despesas'!DP4</f>
        <v>17659.986965</v>
      </c>
      <c r="DQ13" s="172">
        <f>+'Mapa II_ Despesas'!DQ4</f>
        <v>19249.108028000002</v>
      </c>
      <c r="DR13" s="172">
        <v>21569.100390000003</v>
      </c>
      <c r="DS13" s="172">
        <f>+'Mapa II_ Despesas'!DS4</f>
        <v>24230.012386999999</v>
      </c>
      <c r="DT13" s="172">
        <f>+'Mapa II_ Despesas'!DT4</f>
        <v>24479.538951999999</v>
      </c>
      <c r="DU13" s="172">
        <v>1548.968445</v>
      </c>
      <c r="DV13" s="172">
        <v>3216.1288559999998</v>
      </c>
      <c r="DW13" s="172">
        <v>5192.5589529999997</v>
      </c>
      <c r="DX13" s="172">
        <v>7058.877144</v>
      </c>
      <c r="DY13" s="172">
        <v>8839.1312890000008</v>
      </c>
      <c r="DZ13" s="172">
        <f>+'Mapa II_ Despesas'!DZ4</f>
        <v>10673.187997000001</v>
      </c>
      <c r="EA13" s="172">
        <f>+'Mapa II_ Despesas'!EA4</f>
        <v>12467.852366000001</v>
      </c>
      <c r="EB13" s="172"/>
      <c r="EC13" s="172"/>
      <c r="ED13" s="172"/>
      <c r="EE13" s="172"/>
      <c r="EF13" s="173">
        <f t="shared" si="4"/>
        <v>50.931728699822457</v>
      </c>
      <c r="EG13" s="174">
        <f t="shared" si="7"/>
        <v>3.4461760073182468</v>
      </c>
      <c r="EH13" s="174">
        <f t="shared" si="0"/>
        <v>3.4461760073182468</v>
      </c>
      <c r="EI13" s="187">
        <f>9762.590444+526+200</f>
        <v>10488.590443999999</v>
      </c>
      <c r="EJ13" s="175">
        <f t="shared" si="1"/>
        <v>184.59755300000143</v>
      </c>
      <c r="EK13" s="176">
        <f t="shared" si="2"/>
        <v>1.7599843752656108</v>
      </c>
      <c r="EL13" s="965">
        <f t="shared" si="6"/>
        <v>415.35043000000042</v>
      </c>
    </row>
    <row r="14" spans="1:143" s="185" customFormat="1" ht="15" customHeight="1">
      <c r="A14" s="186" t="s">
        <v>95</v>
      </c>
      <c r="B14" s="172">
        <f>+'Mapa II_ Despesas'!B7</f>
        <v>6619.9807429850498</v>
      </c>
      <c r="C14" s="172">
        <f>+'Mapa II_ Despesas'!C7</f>
        <v>77.552519494959995</v>
      </c>
      <c r="D14" s="187">
        <f>+'Mapa II_ Despesas'!D7</f>
        <v>239.80597849495999</v>
      </c>
      <c r="E14" s="172">
        <f>+'Mapa II_ Despesas'!E7</f>
        <v>497.67568249496003</v>
      </c>
      <c r="F14" s="172">
        <f>+'Mapa II_ Despesas'!F7</f>
        <v>724.74099780647998</v>
      </c>
      <c r="G14" s="172">
        <f>+'Mapa II_ Despesas'!G7</f>
        <v>971.74889666647994</v>
      </c>
      <c r="H14" s="172">
        <f>+'Mapa II_ Despesas'!H7</f>
        <v>1344.75037666648</v>
      </c>
      <c r="I14" s="172">
        <f>+'Mapa II_ Despesas'!I7</f>
        <v>1659.37444066648</v>
      </c>
      <c r="J14" s="172">
        <f>+'Mapa II_ Despesas'!J7</f>
        <v>2162.4856688160066</v>
      </c>
      <c r="K14" s="172">
        <f>+'Mapa II_ Despesas'!K7</f>
        <v>2555.8950611039068</v>
      </c>
      <c r="L14" s="172">
        <f>+'Mapa II_ Despesas'!L7</f>
        <v>3026.6471101039069</v>
      </c>
      <c r="M14" s="172">
        <f>+'Mapa II_ Despesas'!M7</f>
        <v>3583.5426746281191</v>
      </c>
      <c r="N14" s="172">
        <f>+'Mapa II_ Despesas'!N7</f>
        <v>4994.8710806281197</v>
      </c>
      <c r="O14" s="172">
        <f>+'Mapa II_ Despesas'!O7</f>
        <v>8479.5745609999994</v>
      </c>
      <c r="P14" s="172">
        <f>+'Mapa II_ Despesas'!P7</f>
        <v>77.920172000000008</v>
      </c>
      <c r="Q14" s="172">
        <f>+'Mapa II_ Despesas'!Q7</f>
        <v>290.58282700000001</v>
      </c>
      <c r="R14" s="172">
        <f>+'Mapa II_ Despesas'!R7</f>
        <v>879.71322899999996</v>
      </c>
      <c r="S14" s="172">
        <f>+'Mapa II_ Despesas'!S7</f>
        <v>900.37508899999989</v>
      </c>
      <c r="T14" s="172">
        <f>+'Mapa II_ Despesas'!T7</f>
        <v>1278.085321</v>
      </c>
      <c r="U14" s="172">
        <f>+'Mapa II_ Despesas'!U7</f>
        <v>1851.2942848552548</v>
      </c>
      <c r="V14" s="172">
        <f>+'Mapa II_ Despesas'!V7</f>
        <v>1976.7813019999999</v>
      </c>
      <c r="W14" s="172">
        <f>+'Mapa II_ Despesas'!W7</f>
        <v>2368.0869463600002</v>
      </c>
      <c r="X14" s="172">
        <f>+'Mapa II_ Despesas'!X7</f>
        <v>2850</v>
      </c>
      <c r="Y14" s="172">
        <f>+'Mapa II_ Despesas'!Y7</f>
        <v>3161.69012479</v>
      </c>
      <c r="Z14" s="172">
        <f>+'Mapa II_ Despesas'!Z7</f>
        <v>3527.7488117900002</v>
      </c>
      <c r="AA14" s="172">
        <f>+'Mapa II_ Despesas'!AA7</f>
        <v>5061.5339533599999</v>
      </c>
      <c r="AB14" s="172">
        <f>+'Mapa II_ Despesas'!AB7</f>
        <v>8395.8515215980242</v>
      </c>
      <c r="AC14" s="172">
        <f>+'Mapa II_ Despesas'!AC7</f>
        <v>146.34195199999999</v>
      </c>
      <c r="AD14" s="172">
        <f>+'Mapa II_ Despesas'!AD7</f>
        <v>422.458797</v>
      </c>
      <c r="AE14" s="172">
        <f>+'Mapa II_ Despesas'!AE7</f>
        <v>720.68237799999997</v>
      </c>
      <c r="AF14" s="172">
        <f>+'Mapa II_ Despesas'!AF7</f>
        <v>1084.544789</v>
      </c>
      <c r="AG14" s="172">
        <f>+'Mapa II_ Despesas'!AG7</f>
        <v>1394.453295</v>
      </c>
      <c r="AH14" s="172">
        <f>+'Mapa II_ Despesas'!AH7</f>
        <v>1791.6906100000001</v>
      </c>
      <c r="AI14" s="172">
        <f>+'Mapa II_ Despesas'!AI7</f>
        <v>1915.4469569999999</v>
      </c>
      <c r="AJ14" s="172">
        <f>+'Mapa II_ Despesas'!AJ7</f>
        <v>2201.7985800000001</v>
      </c>
      <c r="AK14" s="172">
        <f>+'Mapa II_ Despesas'!AK7</f>
        <v>3152.1598640000002</v>
      </c>
      <c r="AL14" s="172">
        <f>+'Mapa II_ Despesas'!AL7</f>
        <v>2961.7888780600001</v>
      </c>
      <c r="AM14" s="172">
        <f>+'Mapa II_ Despesas'!AM7</f>
        <v>3392.1955800599999</v>
      </c>
      <c r="AN14" s="172">
        <f>+'Mapa II_ Despesas'!AN7</f>
        <v>5744.1135562627496</v>
      </c>
      <c r="AO14" s="172">
        <f>+'Mapa II_ Despesas'!AO7</f>
        <v>8588</v>
      </c>
      <c r="AP14" s="172">
        <f>+'Mapa II_ Despesas'!AP7</f>
        <v>89</v>
      </c>
      <c r="AQ14" s="172">
        <f>+'Mapa II_ Despesas'!AQ7</f>
        <v>285</v>
      </c>
      <c r="AR14" s="172">
        <f>+'Mapa II_ Despesas'!AR7</f>
        <v>987.04931411762709</v>
      </c>
      <c r="AS14" s="172">
        <f>+'Mapa II_ Despesas'!AS7</f>
        <v>1047.3361009999999</v>
      </c>
      <c r="AT14" s="172">
        <f>+'Mapa II_ Despesas'!AT7</f>
        <v>1491.285676</v>
      </c>
      <c r="AU14" s="172">
        <f>+'Mapa II_ Despesas'!AU7</f>
        <v>2543.7741522117676</v>
      </c>
      <c r="AV14" s="172">
        <f>+'Mapa II_ Despesas'!AV7</f>
        <v>2526.8370409999998</v>
      </c>
      <c r="AW14" s="172">
        <f>+'Mapa II_ Despesas'!AW7</f>
        <v>2984.6275479999999</v>
      </c>
      <c r="AX14" s="172">
        <f>+'Mapa II_ Despesas'!AX7</f>
        <v>4227.404882033783</v>
      </c>
      <c r="AY14" s="172">
        <f>+'Mapa II_ Despesas'!AY7</f>
        <v>3899.1861790000003</v>
      </c>
      <c r="AZ14" s="172">
        <f>+'Mapa II_ Despesas'!AZ7</f>
        <v>4452.4963422700002</v>
      </c>
      <c r="BA14" s="172">
        <f>+'Mapa II_ Despesas'!BA7</f>
        <v>7433.2766981000004</v>
      </c>
      <c r="BB14" s="172">
        <f>+'Mapa II_ Despesas'!BB7</f>
        <v>9810.5102330000009</v>
      </c>
      <c r="BC14" s="172">
        <f>+'Mapa II_ Despesas'!BC7</f>
        <v>6770.3631319150008</v>
      </c>
      <c r="BD14" s="172">
        <f>+'Mapa II_ Despesas'!BD7</f>
        <v>95.799769010000006</v>
      </c>
      <c r="BE14" s="188">
        <f>+'Mapa II_ Despesas'!BE7</f>
        <v>350.34941934</v>
      </c>
      <c r="BF14" s="187">
        <f>+'Mapa II_ Despesas'!BF7</f>
        <v>1164.5064298730213</v>
      </c>
      <c r="BG14" s="187">
        <f>+'Mapa II_ Despesas'!BG7</f>
        <v>1399.7307362700003</v>
      </c>
      <c r="BH14" s="187">
        <f>+'Mapa II_ Despesas'!BH7</f>
        <v>1518.069213345</v>
      </c>
      <c r="BI14" s="172">
        <f>+'Mapa II_ Despesas'!BI7</f>
        <v>2440.7836974249999</v>
      </c>
      <c r="BJ14" s="187">
        <f>+'Mapa II_ Despesas'!BJ7</f>
        <v>2264.877073785</v>
      </c>
      <c r="BK14" s="172">
        <f>+'Mapa II_ Despesas'!BK7</f>
        <v>2611.0464998850002</v>
      </c>
      <c r="BL14" s="172">
        <f>+'Mapa II_ Despesas'!BL7</f>
        <v>4036.5195016097387</v>
      </c>
      <c r="BM14" s="172">
        <f>+'Mapa II_ Despesas'!BM7</f>
        <v>3479.0325543299996</v>
      </c>
      <c r="BN14" s="172">
        <f>+'Mapa II_ Despesas'!BN7</f>
        <v>3957.4167217400004</v>
      </c>
      <c r="BO14" s="172">
        <f>+'Mapa II_ Despesas'!BO7</f>
        <v>7562.7395483200007</v>
      </c>
      <c r="BP14" s="172">
        <f>+'Mapa II_ Despesas'!BP7</f>
        <v>8985.9390535400016</v>
      </c>
      <c r="BQ14" s="172">
        <f>+'Mapa II_ Despesas'!BQ7</f>
        <v>8047.5870620000005</v>
      </c>
      <c r="BR14" s="172">
        <f>+'Mapa II_ Despesas'!BR7</f>
        <v>90.187001629999997</v>
      </c>
      <c r="BS14" s="172">
        <f>+'Mapa II_ Despesas'!BS7</f>
        <v>341.12873998999999</v>
      </c>
      <c r="BT14" s="187">
        <f>+'Mapa II_ Despesas'!BT7</f>
        <v>867.40539749999994</v>
      </c>
      <c r="BU14" s="187">
        <f>+'Mapa II_ Despesas'!BU7</f>
        <v>987.40175704000012</v>
      </c>
      <c r="BV14" s="187">
        <f>+'Mapa II_ Despesas'!BV7</f>
        <v>1363.2996877099999</v>
      </c>
      <c r="BW14" s="187">
        <f>+'Mapa II_ Despesas'!BW7</f>
        <v>2156.4412509132121</v>
      </c>
      <c r="BX14" s="187">
        <f>+'Mapa II_ Despesas'!BX7</f>
        <v>2070.8492839600003</v>
      </c>
      <c r="BY14" s="187">
        <f>+'Mapa II_ Despesas'!BY7</f>
        <v>2548.0314100400001</v>
      </c>
      <c r="BZ14" s="172">
        <f>+'Mapa II_ Despesas'!BZ7</f>
        <v>3914.8997512903393</v>
      </c>
      <c r="CA14" s="172">
        <f>+'Mapa II_ Despesas'!CA7</f>
        <v>3330.7121413999998</v>
      </c>
      <c r="CB14" s="172">
        <f>+'Mapa II_ Despesas'!CB7</f>
        <v>3973.2343998199995</v>
      </c>
      <c r="CC14" s="189">
        <f>+'Mapa II_ Despesas'!CC7</f>
        <v>6960.6098057299996</v>
      </c>
      <c r="CD14" s="189">
        <f>+'Mapa II_ Despesas'!CD7</f>
        <v>9204.3599493399997</v>
      </c>
      <c r="CE14" s="190">
        <f>+'Mapa II_ Despesas'!CE7</f>
        <v>102.72132000000001</v>
      </c>
      <c r="CF14" s="172">
        <f>+'Mapa II_ Despesas'!CF7</f>
        <v>472.31006600000001</v>
      </c>
      <c r="CG14" s="172">
        <f>+'Mapa II_ Despesas'!CG7</f>
        <v>1162.2342840000001</v>
      </c>
      <c r="CH14" s="172">
        <f>+'Mapa II_ Despesas'!CH7</f>
        <v>1563.0151779349999</v>
      </c>
      <c r="CI14" s="172">
        <f>+'Mapa II_ Despesas'!CI7</f>
        <v>2093.2232509999999</v>
      </c>
      <c r="CJ14" s="172">
        <f>+'Mapa II_ Despesas'!CJ7</f>
        <v>2598.6308669999999</v>
      </c>
      <c r="CK14" s="172">
        <f>+'Mapa II_ Despesas'!CK7</f>
        <v>3154.8509098343961</v>
      </c>
      <c r="CL14" s="172">
        <f>+'Mapa II_ Despesas'!CL7</f>
        <v>3684.6339470000003</v>
      </c>
      <c r="CM14" s="191">
        <f>+'Mapa II_ Despesas'!CM7</f>
        <v>4383.8375575</v>
      </c>
      <c r="CN14" s="172">
        <f>+'Mapa II_ Despesas'!CN7</f>
        <v>4867.4095649999999</v>
      </c>
      <c r="CO14" s="172">
        <f>+'Mapa II_ Despesas'!CO7</f>
        <v>5747.9975670000003</v>
      </c>
      <c r="CP14" s="172">
        <f>+'Mapa II_ Despesas'!CP7</f>
        <v>7505.0486490000003</v>
      </c>
      <c r="CQ14" s="189">
        <f>+'Mapa II_ Despesas'!CQ7</f>
        <v>10790.152629304999</v>
      </c>
      <c r="CR14" s="189">
        <f>+'Mapa II_ Despesas'!CR7</f>
        <v>9217.3121449639912</v>
      </c>
      <c r="CS14" s="190">
        <f>+'Mapa II_ Despesas'!CS7</f>
        <v>295.06072499999999</v>
      </c>
      <c r="CT14" s="189">
        <f>+'Mapa II_ Despesas'!CT7</f>
        <v>818.30550500000004</v>
      </c>
      <c r="CU14" s="172">
        <f>+'Mapa II_ Despesas'!CU7</f>
        <v>1341.0084001</v>
      </c>
      <c r="CV14" s="187">
        <f>+'Mapa II_ Despesas'!CV7</f>
        <v>1927.1726990999998</v>
      </c>
      <c r="CW14" s="172">
        <f>+'Mapa II_ Despesas'!CW7</f>
        <v>2499.2347880999996</v>
      </c>
      <c r="CX14" s="172">
        <f>+'Mapa II_ Despesas'!CX7</f>
        <v>3078.3761010999997</v>
      </c>
      <c r="CY14" s="172">
        <f>+'Mapa II_ Despesas'!CY7</f>
        <v>3682.6318310999995</v>
      </c>
      <c r="CZ14" s="172">
        <f>+'Mapa II_ Despesas'!CZ7</f>
        <v>4233.6125530999998</v>
      </c>
      <c r="DA14" s="172">
        <f>+'Mapa II_ Despesas'!DA7</f>
        <v>4842.1842691000002</v>
      </c>
      <c r="DB14" s="172">
        <f>+'Mapa II_ Despesas'!DB7</f>
        <v>5566.3660210999997</v>
      </c>
      <c r="DC14" s="172">
        <f>+'Mapa II_ Despesas'!DC7</f>
        <v>6436.4276540999999</v>
      </c>
      <c r="DD14" s="172">
        <f>+'Mapa II_ Despesas'!DD7</f>
        <v>9248.3028621000012</v>
      </c>
      <c r="DE14" s="172">
        <f>+'Mapa II_ Despesas'!DE7</f>
        <v>13374.57913428</v>
      </c>
      <c r="DF14" s="172">
        <f>+'Mapa II_ Despesas'!DF7</f>
        <v>15438.382281999999</v>
      </c>
      <c r="DG14" s="172">
        <f>+'Mapa II_ Despesas'!DG7</f>
        <v>171.81163599999999</v>
      </c>
      <c r="DH14" s="172">
        <f>+'Mapa II_ Despesas'!DH7</f>
        <v>760.00392499999998</v>
      </c>
      <c r="DI14" s="172">
        <f>+'Mapa II_ Despesas'!DI7</f>
        <v>1476.001546</v>
      </c>
      <c r="DJ14" s="172">
        <f>+'Mapa II_ Despesas'!DJ7</f>
        <v>2037.9119769999998</v>
      </c>
      <c r="DK14" s="172">
        <f>+'Mapa II_ Despesas'!DK7</f>
        <v>2715.2540209999997</v>
      </c>
      <c r="DL14" s="172">
        <f>+'Mapa II_ Despesas'!DL7</f>
        <v>3341.2315120000003</v>
      </c>
      <c r="DM14" s="172">
        <f>+'Mapa II_ Despesas'!DM7</f>
        <v>4079.2955609999999</v>
      </c>
      <c r="DN14" s="172">
        <f>+'Mapa II_ Despesas'!DN7</f>
        <v>4579.8343690000002</v>
      </c>
      <c r="DO14" s="172">
        <f>+'Mapa II_ Despesas'!DO7</f>
        <v>5823.4771620000001</v>
      </c>
      <c r="DP14" s="172">
        <f>+'Mapa II_ Despesas'!DP7</f>
        <v>6661.808231</v>
      </c>
      <c r="DQ14" s="172">
        <f>+'Mapa II_ Despesas'!DQ7</f>
        <v>7719.1017629999997</v>
      </c>
      <c r="DR14" s="172">
        <v>10148.008776999999</v>
      </c>
      <c r="DS14" s="172">
        <f>+'Mapa II_ Despesas'!DS7</f>
        <v>11372.349899999999</v>
      </c>
      <c r="DT14" s="172">
        <f>+'Mapa II_ Despesas'!DT7</f>
        <v>12291.885581</v>
      </c>
      <c r="DU14" s="172">
        <v>81.159509999999997</v>
      </c>
      <c r="DV14" s="172">
        <v>743.20300299999997</v>
      </c>
      <c r="DW14" s="172">
        <v>1466.4630810000001</v>
      </c>
      <c r="DX14" s="172">
        <v>2156.6820899999998</v>
      </c>
      <c r="DY14" s="172">
        <v>2898.536126</v>
      </c>
      <c r="DZ14" s="172">
        <f>+'Mapa II_ Despesas'!DZ7</f>
        <v>3601.6302190000001</v>
      </c>
      <c r="EA14" s="172">
        <f>+'Mapa II_ Despesas'!EA7</f>
        <v>4365.2989610000004</v>
      </c>
      <c r="EB14" s="172"/>
      <c r="EC14" s="172"/>
      <c r="ED14" s="172"/>
      <c r="EE14" s="172"/>
      <c r="EF14" s="173">
        <f t="shared" si="4"/>
        <v>35.513664134228492</v>
      </c>
      <c r="EG14" s="174">
        <f t="shared" si="7"/>
        <v>7.0110977673284669</v>
      </c>
      <c r="EH14" s="174">
        <f t="shared" si="0"/>
        <v>7.0110977673284669</v>
      </c>
      <c r="EI14" s="187">
        <f>2252.355714+1906</f>
        <v>4158.3557139999994</v>
      </c>
      <c r="EJ14" s="175">
        <f t="shared" si="1"/>
        <v>-556.72549499999923</v>
      </c>
      <c r="EK14" s="176">
        <f t="shared" si="2"/>
        <v>-13.38811620000817</v>
      </c>
      <c r="EL14" s="965">
        <f t="shared" si="6"/>
        <v>286.00340000000051</v>
      </c>
    </row>
    <row r="15" spans="1:143" s="185" customFormat="1" ht="15" customHeight="1">
      <c r="A15" s="186" t="s">
        <v>96</v>
      </c>
      <c r="B15" s="172">
        <f>+'Mapa II_ Despesas'!B8</f>
        <v>2474.3400540000002</v>
      </c>
      <c r="C15" s="172">
        <f>+'Mapa II_ Despesas'!C8</f>
        <v>84.583600000000004</v>
      </c>
      <c r="D15" s="172">
        <f>+'Mapa II_ Despesas'!D8</f>
        <v>23985.892040361854</v>
      </c>
      <c r="E15" s="172">
        <f>+'Mapa II_ Despesas'!E8</f>
        <v>788.30059400000005</v>
      </c>
      <c r="F15" s="172">
        <f>+'Mapa II_ Despesas'!F8</f>
        <v>955.42771800000003</v>
      </c>
      <c r="G15" s="172">
        <f>+'Mapa II_ Despesas'!G8</f>
        <v>1357.4235370000001</v>
      </c>
      <c r="H15" s="172">
        <f>+'Mapa II_ Despesas'!H8</f>
        <v>1555.4596740000002</v>
      </c>
      <c r="I15" s="172">
        <f>+'Mapa II_ Despesas'!I8</f>
        <v>1617.5324599999999</v>
      </c>
      <c r="J15" s="172">
        <f>+'Mapa II_ Despesas'!J8</f>
        <v>1934.410975</v>
      </c>
      <c r="K15" s="172">
        <f>+'Mapa II_ Despesas'!K8</f>
        <v>2123.8815030000001</v>
      </c>
      <c r="L15" s="172">
        <f>+'Mapa II_ Despesas'!L8</f>
        <v>2347.248317</v>
      </c>
      <c r="M15" s="172">
        <f>+'Mapa II_ Despesas'!M8</f>
        <v>2554.954381</v>
      </c>
      <c r="N15" s="172">
        <f>+'Mapa II_ Despesas'!N8</f>
        <v>2857.7293870000003</v>
      </c>
      <c r="O15" s="172">
        <f>+'Mapa II_ Despesas'!O8</f>
        <v>3680.8274840000004</v>
      </c>
      <c r="P15" s="172">
        <f>+'Mapa II_ Despesas'!P8</f>
        <v>237.66050598999999</v>
      </c>
      <c r="Q15" s="172">
        <f>+'Mapa II_ Despesas'!Q8</f>
        <v>433.24364799</v>
      </c>
      <c r="R15" s="172">
        <f>+'Mapa II_ Despesas'!R8</f>
        <v>702.97429398999998</v>
      </c>
      <c r="S15" s="172">
        <f>+'Mapa II_ Despesas'!S8</f>
        <v>950.91419098999995</v>
      </c>
      <c r="T15" s="172">
        <f>+'Mapa II_ Despesas'!T8</f>
        <v>1459.6045029899999</v>
      </c>
      <c r="U15" s="172">
        <f>+'Mapa II_ Despesas'!U8</f>
        <v>1699.1071762633283</v>
      </c>
      <c r="V15" s="172">
        <f>+'Mapa II_ Despesas'!V8</f>
        <v>1963.51106899</v>
      </c>
      <c r="W15" s="172">
        <f>+'Mapa II_ Despesas'!W8</f>
        <v>2176.3758229900004</v>
      </c>
      <c r="X15" s="172">
        <f>+'Mapa II_ Despesas'!X8</f>
        <v>2424.3817140000001</v>
      </c>
      <c r="Y15" s="172">
        <f>+'Mapa II_ Despesas'!Y8</f>
        <v>2726.55854099</v>
      </c>
      <c r="Z15" s="172">
        <f>+'Mapa II_ Despesas'!Z8</f>
        <v>3019.4207239899997</v>
      </c>
      <c r="AA15" s="172">
        <f>+'Mapa II_ Despesas'!AA8</f>
        <v>3383.2951849900001</v>
      </c>
      <c r="AB15" s="187">
        <f>+'Mapa II_ Despesas'!AB8</f>
        <v>4200.4167829999997</v>
      </c>
      <c r="AC15" s="187">
        <f>+'Mapa II_ Despesas'!AC8</f>
        <v>229.51840299999998</v>
      </c>
      <c r="AD15" s="187">
        <f>+'Mapa II_ Despesas'!AD8</f>
        <v>418.80856899999998</v>
      </c>
      <c r="AE15" s="187">
        <f>+'Mapa II_ Despesas'!AE8</f>
        <v>743.22185500000001</v>
      </c>
      <c r="AF15" s="187">
        <f>+'Mapa II_ Despesas'!AF8</f>
        <v>952.33776099999989</v>
      </c>
      <c r="AG15" s="187">
        <f>+'Mapa II_ Despesas'!AG8</f>
        <v>1549.1416570000001</v>
      </c>
      <c r="AH15" s="187">
        <f>+'Mapa II_ Despesas'!AH8</f>
        <v>1780.451444</v>
      </c>
      <c r="AI15" s="187">
        <f>+'Mapa II_ Despesas'!AI8</f>
        <v>2023.3469599999999</v>
      </c>
      <c r="AJ15" s="187">
        <f>+'Mapa II_ Despesas'!AJ8</f>
        <v>2267.6469406711058</v>
      </c>
      <c r="AK15" s="187">
        <f>+'Mapa II_ Despesas'!AK8</f>
        <v>2626.7092109999999</v>
      </c>
      <c r="AL15" s="187">
        <f>+'Mapa II_ Despesas'!AL8</f>
        <v>2895.3900679999997</v>
      </c>
      <c r="AM15" s="187">
        <f>+'Mapa II_ Despesas'!AM8</f>
        <v>3171.51037</v>
      </c>
      <c r="AN15" s="187">
        <f>+'Mapa II_ Despesas'!AN8</f>
        <v>3444.0178460000002</v>
      </c>
      <c r="AO15" s="187">
        <f>+'Mapa II_ Despesas'!AO8</f>
        <v>4185</v>
      </c>
      <c r="AP15" s="187">
        <f>+'Mapa II_ Despesas'!AP8</f>
        <v>333.21386200000001</v>
      </c>
      <c r="AQ15" s="187">
        <f>+'Mapa II_ Despesas'!AQ8</f>
        <v>553.39200600000004</v>
      </c>
      <c r="AR15" s="187">
        <f>+'Mapa II_ Despesas'!AR8</f>
        <v>1008.6420359999998</v>
      </c>
      <c r="AS15" s="187">
        <f>+'Mapa II_ Despesas'!AS8</f>
        <v>1125.456835</v>
      </c>
      <c r="AT15" s="187">
        <f>+'Mapa II_ Despesas'!AT8</f>
        <v>1704.0417480000001</v>
      </c>
      <c r="AU15" s="187">
        <f>+'Mapa II_ Despesas'!AU8</f>
        <v>2210.1521319999997</v>
      </c>
      <c r="AV15" s="187">
        <f>+'Mapa II_ Despesas'!AV8</f>
        <v>2313.6044449999999</v>
      </c>
      <c r="AW15" s="187">
        <f>+'Mapa II_ Despesas'!AW8</f>
        <v>2696.150995</v>
      </c>
      <c r="AX15" s="187">
        <f>+'Mapa II_ Despesas'!AX8</f>
        <v>3158.6423929999996</v>
      </c>
      <c r="AY15" s="187">
        <f>+'Mapa II_ Despesas'!AY8</f>
        <v>3389</v>
      </c>
      <c r="AZ15" s="187">
        <f>+'Mapa II_ Despesas'!AZ8</f>
        <v>3794.6687305952751</v>
      </c>
      <c r="BA15" s="187">
        <f>+'Mapa II_ Despesas'!BA8</f>
        <v>4134.2079789999998</v>
      </c>
      <c r="BB15" s="172">
        <f>+'Mapa II_ Despesas'!BB8</f>
        <v>4261</v>
      </c>
      <c r="BC15" s="172">
        <f>+'Mapa II_ Despesas'!BC8</f>
        <v>4223.468071865962</v>
      </c>
      <c r="BD15" s="187">
        <f>+'Mapa II_ Despesas'!BD8</f>
        <v>272.96856100000002</v>
      </c>
      <c r="BE15" s="192">
        <f>+'Mapa II_ Despesas'!BE8</f>
        <v>514.78894600000001</v>
      </c>
      <c r="BF15" s="187">
        <f>+'Mapa II_ Despesas'!BF8</f>
        <v>979.88059599999997</v>
      </c>
      <c r="BG15" s="187">
        <f>+'Mapa II_ Despesas'!BG8</f>
        <v>1979.9670839999999</v>
      </c>
      <c r="BH15" s="187">
        <f>+'Mapa II_ Despesas'!BH8</f>
        <v>1979.9670839999999</v>
      </c>
      <c r="BI15" s="187">
        <f>+'Mapa II_ Despesas'!BI8</f>
        <v>2293.9814663450593</v>
      </c>
      <c r="BJ15" s="187">
        <f>+'Mapa II_ Despesas'!BJ8</f>
        <v>2595.3415729999997</v>
      </c>
      <c r="BK15" s="187">
        <f>+'Mapa II_ Despesas'!BK8</f>
        <v>2840.4261179999999</v>
      </c>
      <c r="BL15" s="187">
        <f>+'Mapa II_ Despesas'!BL8</f>
        <v>3335.7963558377942</v>
      </c>
      <c r="BM15" s="187">
        <f>+'Mapa II_ Despesas'!BM8</f>
        <v>3671.26532</v>
      </c>
      <c r="BN15" s="187">
        <f>+'Mapa II_ Despesas'!BN8</f>
        <v>3991.7807440000001</v>
      </c>
      <c r="BO15" s="187">
        <f>+'Mapa II_ Despesas'!BO8</f>
        <v>4223.0582979999999</v>
      </c>
      <c r="BP15" s="172">
        <f>+'Mapa II_ Despesas'!BP8</f>
        <v>4709</v>
      </c>
      <c r="BQ15" s="172">
        <f>+'Mapa II_ Despesas'!BQ8</f>
        <v>4769</v>
      </c>
      <c r="BR15" s="187">
        <f>+'Mapa II_ Despesas'!BR8</f>
        <v>335.03950399999997</v>
      </c>
      <c r="BS15" s="187">
        <f>+'Mapa II_ Despesas'!BS8</f>
        <v>540.14010299999995</v>
      </c>
      <c r="BT15" s="187">
        <f>+'Mapa II_ Despesas'!BT8</f>
        <v>1097.7339100000002</v>
      </c>
      <c r="BU15" s="187">
        <f>+'Mapa II_ Despesas'!BU8</f>
        <v>2111.2708845418224</v>
      </c>
      <c r="BV15" s="187">
        <f>+'Mapa II_ Despesas'!BV8</f>
        <v>2091.6753629999998</v>
      </c>
      <c r="BW15" s="187">
        <f>+'Mapa II_ Despesas'!BW8</f>
        <v>2393.9277851599995</v>
      </c>
      <c r="BX15" s="187">
        <f>+'Mapa II_ Despesas'!BX8</f>
        <v>2727.4232291719318</v>
      </c>
      <c r="BY15" s="187">
        <f>+'Mapa II_ Despesas'!BY8</f>
        <v>3377.0046325611061</v>
      </c>
      <c r="BZ15" s="172">
        <f>+'Mapa II_ Despesas'!BZ8</f>
        <v>3495.8351771511516</v>
      </c>
      <c r="CA15" s="172">
        <f>+'Mapa II_ Despesas'!CA8</f>
        <v>3827.3229705279882</v>
      </c>
      <c r="CB15" s="172">
        <f>+'Mapa II_ Despesas'!CB8</f>
        <v>4214.7521927916077</v>
      </c>
      <c r="CC15" s="189">
        <f>+'Mapa II_ Despesas'!CC8</f>
        <v>4523.463565</v>
      </c>
      <c r="CD15" s="189">
        <f>+'Mapa II_ Despesas'!CD8</f>
        <v>5496.2687900000001</v>
      </c>
      <c r="CE15" s="190">
        <f>+'Mapa II_ Despesas'!CE8</f>
        <v>329.37177833543501</v>
      </c>
      <c r="CF15" s="172">
        <f>+'Mapa II_ Despesas'!CF8</f>
        <v>529.91043615397507</v>
      </c>
      <c r="CG15" s="172">
        <f>+'Mapa II_ Despesas'!CG8</f>
        <v>901.9496320508631</v>
      </c>
      <c r="CH15" s="172">
        <f>+'Mapa II_ Despesas'!CH8</f>
        <v>1426.749468329298</v>
      </c>
      <c r="CI15" s="172">
        <f>+'Mapa II_ Despesas'!CI8</f>
        <v>2118.3432608634107</v>
      </c>
      <c r="CJ15" s="172">
        <f>+'Mapa II_ Despesas'!CJ8</f>
        <v>2391.2088949999998</v>
      </c>
      <c r="CK15" s="172">
        <f>+'Mapa II_ Despesas'!CK8</f>
        <v>2781.5047720000002</v>
      </c>
      <c r="CL15" s="172">
        <f>+'Mapa II_ Despesas'!CL8</f>
        <v>2996.0351780000001</v>
      </c>
      <c r="CM15" s="172">
        <f>+'Mapa II_ Despesas'!CM8</f>
        <v>3554.3866420000004</v>
      </c>
      <c r="CN15" s="172">
        <f>+'Mapa II_ Despesas'!CN8</f>
        <v>4012.3596494198359</v>
      </c>
      <c r="CO15" s="172">
        <f>+'Mapa II_ Despesas'!CO8</f>
        <v>4386.6945629999991</v>
      </c>
      <c r="CP15" s="172">
        <f>+'Mapa II_ Despesas'!CP8</f>
        <v>4733.4072530000003</v>
      </c>
      <c r="CQ15" s="189">
        <f>+'Mapa II_ Despesas'!CQ8</f>
        <v>5636.5699080000004</v>
      </c>
      <c r="CR15" s="189">
        <f>+'Mapa II_ Despesas'!CR8</f>
        <v>5636.5699080000004</v>
      </c>
      <c r="CS15" s="190">
        <f>+'Mapa II_ Despesas'!CS8</f>
        <v>340.86056100000002</v>
      </c>
      <c r="CT15" s="189">
        <f>+'Mapa II_ Despesas'!CT8</f>
        <v>740.69149375298275</v>
      </c>
      <c r="CU15" s="172">
        <f>+'Mapa II_ Despesas'!CU8</f>
        <v>1182.4087913599528</v>
      </c>
      <c r="CV15" s="187">
        <f>+'Mapa II_ Despesas'!CV8</f>
        <v>1579.531804</v>
      </c>
      <c r="CW15" s="172">
        <f>+'Mapa II_ Despesas'!CW8</f>
        <v>2278.5422285202353</v>
      </c>
      <c r="CX15" s="172">
        <f>+'Mapa II_ Despesas'!CX8</f>
        <v>2581.1990719999999</v>
      </c>
      <c r="CY15" s="172">
        <f>+'Mapa II_ Despesas'!CY8</f>
        <v>2994.0047600000003</v>
      </c>
      <c r="CZ15" s="172">
        <f>+'Mapa II_ Despesas'!CZ8</f>
        <v>3225.9752279999998</v>
      </c>
      <c r="DA15" s="172">
        <f>+'Mapa II_ Despesas'!DA8</f>
        <v>3869.9272880000003</v>
      </c>
      <c r="DB15" s="172">
        <f>+'Mapa II_ Despesas'!DB8</f>
        <v>4290.0153470000005</v>
      </c>
      <c r="DC15" s="172">
        <f>+'Mapa II_ Despesas'!DC8</f>
        <v>4616.6573520000002</v>
      </c>
      <c r="DD15" s="172">
        <f>+'Mapa II_ Despesas'!DD8</f>
        <v>4991.2831809999998</v>
      </c>
      <c r="DE15" s="172">
        <f>+'Mapa II_ Despesas'!DE8</f>
        <v>5662</v>
      </c>
      <c r="DF15" s="172">
        <f>+'Mapa II_ Despesas'!DF8</f>
        <v>5186.8378890000004</v>
      </c>
      <c r="DG15" s="172">
        <f>+'Mapa II_ Despesas'!DG8</f>
        <v>419.58211659611891</v>
      </c>
      <c r="DH15" s="172">
        <f>+'Mapa II_ Despesas'!DH8</f>
        <v>788.57912199999998</v>
      </c>
      <c r="DI15" s="172">
        <f>+'Mapa II_ Despesas'!DI8</f>
        <v>1252.979507</v>
      </c>
      <c r="DJ15" s="172">
        <f>+'Mapa II_ Despesas'!DJ8</f>
        <v>1678.9946091857871</v>
      </c>
      <c r="DK15" s="172">
        <f>+'Mapa II_ Despesas'!DK8</f>
        <v>2357.7417140000002</v>
      </c>
      <c r="DL15" s="172">
        <f>+'Mapa II_ Despesas'!DL8</f>
        <v>2694.8409508394757</v>
      </c>
      <c r="DM15" s="172">
        <f>+'Mapa II_ Despesas'!DM8</f>
        <v>3105.6935436380459</v>
      </c>
      <c r="DN15" s="172">
        <f>+'Mapa II_ Despesas'!DN8</f>
        <v>3320.3244610000002</v>
      </c>
      <c r="DO15" s="172">
        <f>+'Mapa II_ Despesas'!DO8</f>
        <v>3754.0924051380466</v>
      </c>
      <c r="DP15" s="172">
        <f>+'Mapa II_ Despesas'!DP8</f>
        <v>4179.2937056057099</v>
      </c>
      <c r="DQ15" s="172">
        <f>+'Mapa II_ Despesas'!DQ8</f>
        <v>4451.7935428379142</v>
      </c>
      <c r="DR15" s="172">
        <v>4808.1108655611097</v>
      </c>
      <c r="DS15" s="172">
        <f>+'Mapa II_ Despesas'!DS8</f>
        <v>5462.7073419999997</v>
      </c>
      <c r="DT15" s="172">
        <f>+'Mapa II_ Despesas'!DT8</f>
        <v>4485.0032689999998</v>
      </c>
      <c r="DU15" s="172">
        <v>367.45873900000004</v>
      </c>
      <c r="DV15" s="172">
        <v>579.76672301755207</v>
      </c>
      <c r="DW15" s="172">
        <v>974.54652199999998</v>
      </c>
      <c r="DX15" s="172">
        <v>1713.2877380000002</v>
      </c>
      <c r="DY15" s="172">
        <v>1738.3569640000001</v>
      </c>
      <c r="DZ15" s="172">
        <f>+'Mapa II_ Despesas'!DZ8</f>
        <v>2056.644667</v>
      </c>
      <c r="EA15" s="172">
        <f>+'Mapa II_ Despesas'!EA8</f>
        <v>2439.028198</v>
      </c>
      <c r="EB15" s="172">
        <f>+'Mapa II_ Despesas'!EB8</f>
        <v>0</v>
      </c>
      <c r="EC15" s="172">
        <f>+'Mapa II_ Despesas'!EC8</f>
        <v>0</v>
      </c>
      <c r="ED15" s="172">
        <f>+'Mapa II_ Despesas'!ED8</f>
        <v>0</v>
      </c>
      <c r="EE15" s="172">
        <f>+'Mapa II_ Despesas'!EE8</f>
        <v>0</v>
      </c>
      <c r="EF15" s="173">
        <f t="shared" si="4"/>
        <v>54.3818599834336</v>
      </c>
      <c r="EG15" s="174">
        <f t="shared" si="7"/>
        <v>-21.465908862891425</v>
      </c>
      <c r="EH15" s="174">
        <f t="shared" si="0"/>
        <v>-21.465908862891425</v>
      </c>
      <c r="EI15" s="167">
        <v>2466.8900600000002</v>
      </c>
      <c r="EJ15" s="175">
        <f t="shared" si="1"/>
        <v>-410.24539300000015</v>
      </c>
      <c r="EK15" s="176">
        <f t="shared" si="2"/>
        <v>-16.630063886997871</v>
      </c>
      <c r="EL15" s="965">
        <f t="shared" si="6"/>
        <v>-666.66534563804589</v>
      </c>
    </row>
    <row r="16" spans="1:143" s="185" customFormat="1" ht="15" customHeight="1">
      <c r="A16" s="186" t="s">
        <v>100</v>
      </c>
      <c r="B16" s="172">
        <f>+'Mapa II_ Despesas'!B12</f>
        <v>438.512</v>
      </c>
      <c r="C16" s="172">
        <f>+'Mapa II_ Despesas'!C12</f>
        <v>6.9593340000000001</v>
      </c>
      <c r="D16" s="172">
        <f>+'Mapa II_ Despesas'!D12</f>
        <v>17.252001</v>
      </c>
      <c r="E16" s="172">
        <f>+'Mapa II_ Despesas'!E12</f>
        <v>21.294668000000001</v>
      </c>
      <c r="F16" s="172">
        <f>+'Mapa II_ Despesas'!F12</f>
        <v>25.337334999999999</v>
      </c>
      <c r="G16" s="172">
        <f>+'Mapa II_ Despesas'!G12</f>
        <v>176.32123000000001</v>
      </c>
      <c r="H16" s="172">
        <f>+'Mapa II_ Despesas'!H12</f>
        <v>179.56122999999999</v>
      </c>
      <c r="I16" s="172">
        <f>+'Mapa II_ Despesas'!I12</f>
        <v>193.47989799999999</v>
      </c>
      <c r="J16" s="172">
        <f>+'Mapa II_ Despesas'!J12</f>
        <v>203.92856399999999</v>
      </c>
      <c r="K16" s="172">
        <f>+'Mapa II_ Despesas'!K12</f>
        <v>210.88789800000001</v>
      </c>
      <c r="L16" s="172">
        <f>+'Mapa II_ Despesas'!L12</f>
        <v>233.04165800000001</v>
      </c>
      <c r="M16" s="172">
        <f>+'Mapa II_ Despesas'!M12</f>
        <v>250.000992</v>
      </c>
      <c r="N16" s="172">
        <f>+'Mapa II_ Despesas'!N12</f>
        <v>274.46032600000001</v>
      </c>
      <c r="O16" s="172">
        <f>+'Mapa II_ Despesas'!O12</f>
        <v>450.24197400000003</v>
      </c>
      <c r="P16" s="172">
        <f>+'Mapa II_ Despesas'!P12</f>
        <v>16.959333999999998</v>
      </c>
      <c r="Q16" s="172">
        <f>+'Mapa II_ Despesas'!Q12</f>
        <v>31.418668</v>
      </c>
      <c r="R16" s="172">
        <f>+'Mapa II_ Despesas'!R12</f>
        <v>38.378002000000002</v>
      </c>
      <c r="S16" s="172">
        <f>+'Mapa II_ Despesas'!S12</f>
        <v>38.378002000000002</v>
      </c>
      <c r="T16" s="172">
        <f>+'Mapa II_ Despesas'!T12</f>
        <v>52.296669999999999</v>
      </c>
      <c r="U16" s="172">
        <f>+'Mapa II_ Despesas'!U12</f>
        <v>59.256003999999997</v>
      </c>
      <c r="V16" s="172">
        <f>+'Mapa II_ Despesas'!V12</f>
        <v>66.215338000000003</v>
      </c>
      <c r="W16" s="172">
        <f>+'Mapa II_ Despesas'!W12</f>
        <v>73.174672000000001</v>
      </c>
      <c r="X16" s="172">
        <f>+'Mapa II_ Despesas'!X12</f>
        <v>80.134005999999999</v>
      </c>
      <c r="Y16" s="172">
        <f>+'Mapa II_ Despesas'!Y12</f>
        <v>87.093339999999998</v>
      </c>
      <c r="Z16" s="172">
        <f>+'Mapa II_ Despesas'!Z12</f>
        <v>94.052673999999996</v>
      </c>
      <c r="AA16" s="172">
        <f>+'Mapa II_ Despesas'!AA12</f>
        <v>101.012</v>
      </c>
      <c r="AB16" s="187">
        <f>+'Mapa II_ Despesas'!AB12</f>
        <v>170.241974</v>
      </c>
      <c r="AC16" s="187">
        <f>+'Mapa II_ Despesas'!AC12</f>
        <v>0</v>
      </c>
      <c r="AD16" s="187">
        <f>+'Mapa II_ Despesas'!AD12</f>
        <v>10.159333999999999</v>
      </c>
      <c r="AE16" s="187">
        <f>+'Mapa II_ Despesas'!AE12</f>
        <v>29.422190000000001</v>
      </c>
      <c r="AF16" s="187">
        <f>+'Mapa II_ Despesas'!AF12</f>
        <v>34.987014000000002</v>
      </c>
      <c r="AG16" s="187">
        <f>+'Mapa II_ Despesas'!AG12</f>
        <v>48.982795000000003</v>
      </c>
      <c r="AH16" s="187">
        <f>+'Mapa II_ Despesas'!AH12</f>
        <v>55.942129000000001</v>
      </c>
      <c r="AI16" s="187">
        <f>+'Mapa II_ Despesas'!AI12</f>
        <v>64.914741000000006</v>
      </c>
      <c r="AJ16" s="187">
        <f>+'Mapa II_ Despesas'!AJ12</f>
        <v>71.874075000000005</v>
      </c>
      <c r="AK16" s="187">
        <f>+'Mapa II_ Despesas'!AK12</f>
        <v>80.853408999999999</v>
      </c>
      <c r="AL16" s="187">
        <f>+'Mapa II_ Despesas'!AL12</f>
        <v>89.412743000000006</v>
      </c>
      <c r="AM16" s="187">
        <f>+'Mapa II_ Despesas'!AM12</f>
        <v>96.372077000000004</v>
      </c>
      <c r="AN16" s="187">
        <f>+'Mapa II_ Despesas'!AN12</f>
        <v>106.525159</v>
      </c>
      <c r="AO16" s="187">
        <f>+'Mapa II_ Despesas'!AO12</f>
        <v>97</v>
      </c>
      <c r="AP16" s="187">
        <f>+'Mapa II_ Despesas'!AP12</f>
        <v>6.9593340000000001</v>
      </c>
      <c r="AQ16" s="187">
        <f>+'Mapa II_ Despesas'!AQ12</f>
        <v>6.9593340000000001</v>
      </c>
      <c r="AR16" s="187">
        <f>+'Mapa II_ Despesas'!AR12</f>
        <v>20.878001999999999</v>
      </c>
      <c r="AS16" s="187">
        <f>+'Mapa II_ Despesas'!AS12</f>
        <v>45.215645000000002</v>
      </c>
      <c r="AT16" s="187">
        <f>+'Mapa II_ Despesas'!AT12</f>
        <v>54.000643000000004</v>
      </c>
      <c r="AU16" s="187">
        <f>+'Mapa II_ Despesas'!AU12</f>
        <v>74.880630999999994</v>
      </c>
      <c r="AV16" s="187">
        <f>+'Mapa II_ Despesas'!AV12</f>
        <v>102.732079</v>
      </c>
      <c r="AW16" s="187">
        <f>+'Mapa II_ Despesas'!AW12</f>
        <v>114.580443</v>
      </c>
      <c r="AX16" s="187">
        <f>+'Mapa II_ Despesas'!AX12</f>
        <v>127.391746</v>
      </c>
      <c r="AY16" s="187">
        <f>+'Mapa II_ Despesas'!AY12</f>
        <v>134.35108</v>
      </c>
      <c r="AZ16" s="187">
        <f>+'Mapa II_ Despesas'!AZ12</f>
        <v>141.31041400000001</v>
      </c>
      <c r="BA16" s="187">
        <f>+'Mapa II_ Despesas'!BA12</f>
        <v>161.27067100000002</v>
      </c>
      <c r="BB16" s="172">
        <f>+'Mapa II_ Despesas'!BB12</f>
        <v>245.58922799999999</v>
      </c>
      <c r="BC16" s="172">
        <f>+'Mapa II_ Despesas'!BC12</f>
        <v>159.96068500000001</v>
      </c>
      <c r="BD16" s="187">
        <f>+'Mapa II_ Despesas'!BD12</f>
        <v>7.1563340000000002</v>
      </c>
      <c r="BE16" s="192">
        <f>+'Mapa II_ Despesas'!BE12</f>
        <v>18.365641</v>
      </c>
      <c r="BF16" s="187">
        <f>+'Mapa II_ Despesas'!BF12</f>
        <v>37.968665000000001</v>
      </c>
      <c r="BG16" s="187">
        <f>+'Mapa II_ Despesas'!BG12</f>
        <v>86.887331000000003</v>
      </c>
      <c r="BH16" s="187">
        <f>+'Mapa II_ Despesas'!BH12</f>
        <v>86.887331000000003</v>
      </c>
      <c r="BI16" s="187">
        <f>+'Mapa II_ Despesas'!BI12</f>
        <v>96.641090000000005</v>
      </c>
      <c r="BJ16" s="187">
        <f>+'Mapa II_ Despesas'!BJ12</f>
        <v>111.092564</v>
      </c>
      <c r="BK16" s="187">
        <f>+'Mapa II_ Despesas'!BK12</f>
        <v>129.381989</v>
      </c>
      <c r="BL16" s="187">
        <f>+'Mapa II_ Despesas'!BL12</f>
        <v>136.34132199999999</v>
      </c>
      <c r="BM16" s="187">
        <f>+'Mapa II_ Despesas'!BM12</f>
        <v>145.84067100000001</v>
      </c>
      <c r="BN16" s="187">
        <f>+'Mapa II_ Despesas'!BN12</f>
        <v>152.800004</v>
      </c>
      <c r="BO16" s="187">
        <f>+'Mapa II_ Despesas'!BO12</f>
        <v>166.95046099999999</v>
      </c>
      <c r="BP16" s="172">
        <f>+'Mapa II_ Despesas'!BP12</f>
        <v>232.57962600000002</v>
      </c>
      <c r="BQ16" s="172">
        <f>+'Mapa II_ Despesas'!BQ12</f>
        <v>232.57962600000002</v>
      </c>
      <c r="BR16" s="187">
        <f>+'Mapa II_ Despesas'!BR12</f>
        <v>9.0593330000000005</v>
      </c>
      <c r="BS16" s="187">
        <f>+'Mapa II_ Despesas'!BS12</f>
        <v>16.936070000000001</v>
      </c>
      <c r="BT16" s="187">
        <f>+'Mapa II_ Despesas'!BT12</f>
        <v>35.400793</v>
      </c>
      <c r="BU16" s="187">
        <f>+'Mapa II_ Despesas'!BU12</f>
        <v>42.360126000000001</v>
      </c>
      <c r="BV16" s="187">
        <f>+'Mapa II_ Despesas'!BV12</f>
        <v>55.199458999999997</v>
      </c>
      <c r="BW16" s="187">
        <f>+'Mapa II_ Despesas'!BW12</f>
        <v>59.242125999999999</v>
      </c>
      <c r="BX16" s="187">
        <f>+'Mapa II_ Despesas'!BX12</f>
        <v>64.584793000000005</v>
      </c>
      <c r="BY16" s="187">
        <f>+'Mapa II_ Despesas'!BY12</f>
        <v>73.157599000000005</v>
      </c>
      <c r="BZ16" s="172">
        <f>+'Mapa II_ Despesas'!BZ12</f>
        <v>84.850404999999995</v>
      </c>
      <c r="CA16" s="172">
        <f>+'Mapa II_ Despesas'!CA12</f>
        <v>94.223211000000006</v>
      </c>
      <c r="CB16" s="172">
        <f>+'Mapa II_ Despesas'!CB12</f>
        <v>98.265878000000001</v>
      </c>
      <c r="CC16" s="189">
        <f>+'Mapa II_ Despesas'!CC12</f>
        <v>124.076301</v>
      </c>
      <c r="CD16" s="189">
        <f>+'Mapa II_ Despesas'!CD12</f>
        <v>252.67362600000001</v>
      </c>
      <c r="CE16" s="190">
        <f>+'Mapa II_ Despesas'!CE12</f>
        <v>8.5426669999999998</v>
      </c>
      <c r="CF16" s="172">
        <f>+'Mapa II_ Despesas'!CF12</f>
        <v>17.085334</v>
      </c>
      <c r="CG16" s="172">
        <f>+'Mapa II_ Despesas'!CG12</f>
        <v>27.448001000000001</v>
      </c>
      <c r="CH16" s="172">
        <f>+'Mapa II_ Despesas'!CH12</f>
        <v>35.990667999999999</v>
      </c>
      <c r="CI16" s="172">
        <f>+'Mapa II_ Despesas'!CI12</f>
        <v>44.533335000000001</v>
      </c>
      <c r="CJ16" s="172">
        <f>+'Mapa II_ Despesas'!CJ12</f>
        <v>54.817971999999997</v>
      </c>
      <c r="CK16" s="172">
        <f>+'Mapa II_ Despesas'!CK12</f>
        <v>71.473288999999994</v>
      </c>
      <c r="CL16" s="172">
        <f>+'Mapa II_ Despesas'!CL12</f>
        <v>84.443755999999993</v>
      </c>
      <c r="CM16" s="172">
        <f>+'Mapa II_ Despesas'!CM12</f>
        <v>120.901833</v>
      </c>
      <c r="CN16" s="172">
        <f>+'Mapa II_ Despesas'!CN12</f>
        <v>134.46449999999999</v>
      </c>
      <c r="CO16" s="172">
        <f>+'Mapa II_ Despesas'!CO12</f>
        <v>143.50716700000001</v>
      </c>
      <c r="CP16" s="172">
        <f>+'Mapa II_ Despesas'!CP12</f>
        <v>152.54982999999999</v>
      </c>
      <c r="CQ16" s="189">
        <f>+'Mapa II_ Despesas'!CQ12</f>
        <v>578.96722</v>
      </c>
      <c r="CR16" s="189">
        <f>+'Mapa II_ Despesas'!CR12</f>
        <v>578.96722</v>
      </c>
      <c r="CS16" s="190">
        <f>+'Mapa II_ Despesas'!CS12</f>
        <v>9.0426669999999998</v>
      </c>
      <c r="CT16" s="189">
        <f>+'Mapa II_ Despesas'!CT12</f>
        <v>18.085334</v>
      </c>
      <c r="CU16" s="172">
        <f>+'Mapa II_ Despesas'!CU12</f>
        <v>33.139133000000001</v>
      </c>
      <c r="CV16" s="187">
        <f>+'Mapa II_ Despesas'!CV12</f>
        <v>42.321800000000003</v>
      </c>
      <c r="CW16" s="172">
        <f>+'Mapa II_ Despesas'!CW12</f>
        <v>60.135891000000001</v>
      </c>
      <c r="CX16" s="172">
        <f>+'Mapa II_ Despesas'!CX12</f>
        <v>69.178557999999995</v>
      </c>
      <c r="CY16" s="172">
        <f>+'Mapa II_ Despesas'!CY12</f>
        <v>79.721225000000004</v>
      </c>
      <c r="CZ16" s="172">
        <f>+'Mapa II_ Despesas'!CZ12</f>
        <v>123.61389200000001</v>
      </c>
      <c r="DA16" s="172">
        <f>+'Mapa II_ Despesas'!DA12</f>
        <v>132.65655899999999</v>
      </c>
      <c r="DB16" s="172">
        <f>+'Mapa II_ Despesas'!DB12</f>
        <v>141.99922599999999</v>
      </c>
      <c r="DC16" s="172">
        <f>+'Mapa II_ Despesas'!DC12</f>
        <v>151.04189299999999</v>
      </c>
      <c r="DD16" s="172">
        <f>+'Mapa II_ Despesas'!DD12</f>
        <v>160.08456000000001</v>
      </c>
      <c r="DE16" s="172">
        <f>+'Mapa II_ Despesas'!DE12</f>
        <v>728.98601099999996</v>
      </c>
      <c r="DF16" s="172">
        <f>+'Mapa II_ Despesas'!DF12</f>
        <v>890.90100800000005</v>
      </c>
      <c r="DG16" s="172">
        <f>+'Mapa II_ Despesas'!DG12</f>
        <v>9.0426669999999998</v>
      </c>
      <c r="DH16" s="172">
        <f>+'Mapa II_ Despesas'!DH12</f>
        <v>69.832317000000003</v>
      </c>
      <c r="DI16" s="172">
        <f>+'Mapa II_ Despesas'!DI12</f>
        <v>91.308252999999993</v>
      </c>
      <c r="DJ16" s="172">
        <f>+'Mapa II_ Despesas'!DJ12</f>
        <v>200.35092</v>
      </c>
      <c r="DK16" s="172">
        <f>+'Mapa II_ Despesas'!DK12</f>
        <v>209.393587</v>
      </c>
      <c r="DL16" s="172">
        <f>+'Mapa II_ Despesas'!DL12</f>
        <v>275.73625399999997</v>
      </c>
      <c r="DM16" s="172">
        <f>+'Mapa II_ Despesas'!DM12</f>
        <v>339.77892100000003</v>
      </c>
      <c r="DN16" s="172">
        <f>+'Mapa II_ Despesas'!DN12</f>
        <v>293.82158800000002</v>
      </c>
      <c r="DO16" s="172">
        <f>+'Mapa II_ Despesas'!DO12</f>
        <v>410.24538799999999</v>
      </c>
      <c r="DP16" s="172">
        <f>+'Mapa II_ Despesas'!DP12</f>
        <v>444.28805499999999</v>
      </c>
      <c r="DQ16" s="172">
        <f>+'Mapa II_ Despesas'!DQ12</f>
        <v>573.33072200000004</v>
      </c>
      <c r="DR16" s="172">
        <v>628.24989900000003</v>
      </c>
      <c r="DS16" s="172">
        <f>+'Mapa II_ Despesas'!DS12</f>
        <v>628.54395599999998</v>
      </c>
      <c r="DT16" s="172">
        <f>+'Mapa II_ Despesas'!DT12</f>
        <v>1115.847698</v>
      </c>
      <c r="DU16" s="172">
        <v>9.0426669999999998</v>
      </c>
      <c r="DV16" s="172">
        <v>69.395133999999999</v>
      </c>
      <c r="DW16" s="172">
        <v>104.747601</v>
      </c>
      <c r="DX16" s="172">
        <v>529.18600600000002</v>
      </c>
      <c r="DY16" s="172">
        <v>569.53847299999995</v>
      </c>
      <c r="DZ16" s="172">
        <f>+'Mapa II_ Despesas'!DZ12</f>
        <v>599.89094</v>
      </c>
      <c r="EA16" s="172">
        <f>+'Mapa II_ Despesas'!EA12</f>
        <v>690.24340700000005</v>
      </c>
      <c r="EB16" s="172"/>
      <c r="EC16" s="172"/>
      <c r="ED16" s="172"/>
      <c r="EE16" s="172"/>
      <c r="EF16" s="173">
        <f t="shared" si="4"/>
        <v>61.858209524217713</v>
      </c>
      <c r="EG16" s="174">
        <f t="shared" si="7"/>
        <v>103.14485812379162</v>
      </c>
      <c r="EH16" s="174">
        <f t="shared" si="0"/>
        <v>103.14485812379162</v>
      </c>
      <c r="EI16" s="167">
        <f>292.0440777+300</f>
        <v>592.0440777</v>
      </c>
      <c r="EJ16" s="175">
        <f t="shared" si="1"/>
        <v>7.846862299999998</v>
      </c>
      <c r="EK16" s="176">
        <f t="shared" si="2"/>
        <v>1.325384814334063</v>
      </c>
      <c r="EL16" s="965">
        <f t="shared" si="6"/>
        <v>350.46448600000002</v>
      </c>
    </row>
    <row r="17" spans="1:146" s="185" customFormat="1" ht="15" customHeight="1">
      <c r="A17" s="186" t="s">
        <v>101</v>
      </c>
      <c r="B17" s="172">
        <f>+'Mapa II_ Despesas'!B13</f>
        <v>4495.5618694204004</v>
      </c>
      <c r="C17" s="172">
        <f>+'Mapa II_ Despesas'!C13</f>
        <v>258.437073</v>
      </c>
      <c r="D17" s="172">
        <f>+'Mapa II_ Despesas'!D13</f>
        <v>535.25861700000007</v>
      </c>
      <c r="E17" s="172">
        <f>+'Mapa II_ Despesas'!E13</f>
        <v>887.88210599999991</v>
      </c>
      <c r="F17" s="172">
        <f>+'Mapa II_ Despesas'!F13</f>
        <v>1190.952978</v>
      </c>
      <c r="G17" s="172">
        <f>+'Mapa II_ Despesas'!G13</f>
        <v>1572.2391180000002</v>
      </c>
      <c r="H17" s="172">
        <f>+'Mapa II_ Despesas'!H13</f>
        <v>1689.538168</v>
      </c>
      <c r="I17" s="172">
        <f>+'Mapa II_ Despesas'!I13</f>
        <v>2041.7438970000001</v>
      </c>
      <c r="J17" s="172">
        <f>+'Mapa II_ Despesas'!J13</f>
        <v>2526.3130249999999</v>
      </c>
      <c r="K17" s="172">
        <f>+'Mapa II_ Despesas'!K13</f>
        <v>2827.9194630000002</v>
      </c>
      <c r="L17" s="172">
        <f>+'Mapa II_ Despesas'!L13</f>
        <v>3247.5760989999999</v>
      </c>
      <c r="M17" s="172">
        <f>+'Mapa II_ Despesas'!M13</f>
        <v>3563.3703630000005</v>
      </c>
      <c r="N17" s="172">
        <f>+'Mapa II_ Despesas'!N13</f>
        <v>3909.9548009999999</v>
      </c>
      <c r="O17" s="172">
        <f>+'Mapa II_ Despesas'!O13</f>
        <v>4636.7396239999998</v>
      </c>
      <c r="P17" s="172">
        <f>+'Mapa II_ Despesas'!P13</f>
        <v>286.39060000000001</v>
      </c>
      <c r="Q17" s="172">
        <f>+'Mapa II_ Despesas'!Q13</f>
        <v>559.06560500000001</v>
      </c>
      <c r="R17" s="172">
        <f>+'Mapa II_ Despesas'!R13</f>
        <v>899.36783100000002</v>
      </c>
      <c r="S17" s="172">
        <f>+'Mapa II_ Despesas'!S13</f>
        <v>958.41321600000003</v>
      </c>
      <c r="T17" s="172">
        <f>+'Mapa II_ Despesas'!T13</f>
        <v>1544.1208839999999</v>
      </c>
      <c r="U17" s="172">
        <f>+'Mapa II_ Despesas'!U13</f>
        <v>1871.2527495278066</v>
      </c>
      <c r="V17" s="172">
        <f>+'Mapa II_ Despesas'!V13</f>
        <v>2211.604292</v>
      </c>
      <c r="W17" s="172">
        <f>+'Mapa II_ Despesas'!W13</f>
        <v>2534.3686889999999</v>
      </c>
      <c r="X17" s="172">
        <f>+'Mapa II_ Despesas'!X13</f>
        <v>2882.9289720000002</v>
      </c>
      <c r="Y17" s="172">
        <f>+'Mapa II_ Despesas'!Y13</f>
        <v>3233.2274630000002</v>
      </c>
      <c r="Z17" s="172">
        <f>+'Mapa II_ Despesas'!Z13</f>
        <v>3549.0192539999998</v>
      </c>
      <c r="AA17" s="172">
        <f>+'Mapa II_ Despesas'!AA13</f>
        <v>4074.4664990000001</v>
      </c>
      <c r="AB17" s="187">
        <f>+'Mapa II_ Despesas'!AB13</f>
        <v>5370.6789662297106</v>
      </c>
      <c r="AC17" s="187">
        <f>+'Mapa II_ Despesas'!AC13</f>
        <v>269.416045</v>
      </c>
      <c r="AD17" s="187">
        <f>+'Mapa II_ Despesas'!AD13</f>
        <v>567.38669500000003</v>
      </c>
      <c r="AE17" s="187">
        <f>+'Mapa II_ Despesas'!AE13</f>
        <v>861.00159899999994</v>
      </c>
      <c r="AF17" s="187">
        <f>+'Mapa II_ Despesas'!AF13</f>
        <v>1209.0652239999999</v>
      </c>
      <c r="AG17" s="187">
        <f>+'Mapa II_ Despesas'!AG13</f>
        <v>1578.2776529999999</v>
      </c>
      <c r="AH17" s="187">
        <f>+'Mapa II_ Despesas'!AH13</f>
        <v>1906.3547570000001</v>
      </c>
      <c r="AI17" s="187">
        <f>+'Mapa II_ Despesas'!AI13</f>
        <v>2377.2549719999997</v>
      </c>
      <c r="AJ17" s="187">
        <f>+'Mapa II_ Despesas'!AJ13</f>
        <v>2706.1716820000001</v>
      </c>
      <c r="AK17" s="187">
        <f>+'Mapa II_ Despesas'!AK13</f>
        <v>2873</v>
      </c>
      <c r="AL17" s="187">
        <f>+'Mapa II_ Despesas'!AL13</f>
        <v>3468.475058</v>
      </c>
      <c r="AM17" s="187">
        <f>+'Mapa II_ Despesas'!AM13</f>
        <v>3809.5305439999997</v>
      </c>
      <c r="AN17" s="187">
        <f>+'Mapa II_ Despesas'!AN13</f>
        <v>4389.2856759999995</v>
      </c>
      <c r="AO17" s="187">
        <f>+'Mapa II_ Despesas'!AO13</f>
        <v>5185.0930259999996</v>
      </c>
      <c r="AP17" s="187">
        <f>+'Mapa II_ Despesas'!AP13</f>
        <v>329.79077999999998</v>
      </c>
      <c r="AQ17" s="187">
        <f>+'Mapa II_ Despesas'!AQ13</f>
        <v>659.09181899999999</v>
      </c>
      <c r="AR17" s="187">
        <f>+'Mapa II_ Despesas'!AR13</f>
        <v>1030.695052418333</v>
      </c>
      <c r="AS17" s="187">
        <f>+'Mapa II_ Despesas'!AS13</f>
        <v>1494.3484080000001</v>
      </c>
      <c r="AT17" s="187">
        <f>+'Mapa II_ Despesas'!AT13</f>
        <v>1856.4412050000001</v>
      </c>
      <c r="AU17" s="187">
        <f>+'Mapa II_ Despesas'!AU13</f>
        <v>2425.4286023332329</v>
      </c>
      <c r="AV17" s="187">
        <f>+'Mapa II_ Despesas'!AV13</f>
        <v>2694.56619</v>
      </c>
      <c r="AW17" s="187">
        <f>+'Mapa II_ Despesas'!AW13</f>
        <v>3124.9822280000003</v>
      </c>
      <c r="AX17" s="187">
        <f>+'Mapa II_ Despesas'!AX13</f>
        <v>3392.2941659577159</v>
      </c>
      <c r="AY17" s="187">
        <f>+'Mapa II_ Despesas'!AY13</f>
        <v>3802.6685329999996</v>
      </c>
      <c r="AZ17" s="187">
        <f>+'Mapa II_ Despesas'!AZ13</f>
        <v>4168.8426520000003</v>
      </c>
      <c r="BA17" s="187">
        <f>+'Mapa II_ Despesas'!BA13</f>
        <v>4754.699834</v>
      </c>
      <c r="BB17" s="172">
        <f>+'Mapa II_ Despesas'!BB13</f>
        <v>6265.1496420000003</v>
      </c>
      <c r="BC17" s="172">
        <f>+'Mapa II_ Despesas'!BC13</f>
        <v>4903.4316044899997</v>
      </c>
      <c r="BD17" s="187">
        <f>+'Mapa II_ Despesas'!BD13</f>
        <v>277.273031</v>
      </c>
      <c r="BE17" s="192">
        <f>+'Mapa II_ Despesas'!BE13</f>
        <v>674.70480499999996</v>
      </c>
      <c r="BF17" s="187">
        <f>+'Mapa II_ Despesas'!BF13</f>
        <v>1241.8333602918242</v>
      </c>
      <c r="BG17" s="187">
        <f>+'Mapa II_ Despesas'!BG13</f>
        <v>1960.2146940099999</v>
      </c>
      <c r="BH17" s="187">
        <f>+'Mapa II_ Despesas'!BH13</f>
        <v>1919.2645084300002</v>
      </c>
      <c r="BI17" s="187">
        <f>+'Mapa II_ Despesas'!BI13</f>
        <v>2275.4123054299998</v>
      </c>
      <c r="BJ17" s="187">
        <f>+'Mapa II_ Despesas'!BJ13</f>
        <v>2642.89860249</v>
      </c>
      <c r="BK17" s="187">
        <f>+'Mapa II_ Despesas'!BK13</f>
        <v>3063.1557644899999</v>
      </c>
      <c r="BL17" s="187">
        <f>+'Mapa II_ Despesas'!BL13</f>
        <v>3604.0848386861067</v>
      </c>
      <c r="BM17" s="187">
        <f>+'Mapa II_ Despesas'!BM13</f>
        <v>3837.9933844900002</v>
      </c>
      <c r="BN17" s="187">
        <f>+'Mapa II_ Despesas'!BN13</f>
        <v>4198.5020974900008</v>
      </c>
      <c r="BO17" s="187">
        <f>+'Mapa II_ Despesas'!BO13</f>
        <v>4895.38570549</v>
      </c>
      <c r="BP17" s="172">
        <f>+'Mapa II_ Despesas'!BP13</f>
        <v>6078.4196014499994</v>
      </c>
      <c r="BQ17" s="172">
        <f>+'Mapa II_ Despesas'!BQ13</f>
        <v>6078.4196014499994</v>
      </c>
      <c r="BR17" s="187">
        <f>+'Mapa II_ Despesas'!BR13</f>
        <v>291.521725</v>
      </c>
      <c r="BS17" s="187">
        <f>+'Mapa II_ Despesas'!BS13</f>
        <v>622.6170709999999</v>
      </c>
      <c r="BT17" s="187">
        <f>+'Mapa II_ Despesas'!BT13</f>
        <v>1021.2130569999999</v>
      </c>
      <c r="BU17" s="187">
        <f>+'Mapa II_ Despesas'!BU13</f>
        <v>1371.4494420000001</v>
      </c>
      <c r="BV17" s="187">
        <f>+'Mapa II_ Despesas'!BV13</f>
        <v>1703.0140060000001</v>
      </c>
      <c r="BW17" s="187">
        <f>+'Mapa II_ Despesas'!BW13</f>
        <v>2108.380836982567</v>
      </c>
      <c r="BX17" s="187">
        <f>+'Mapa II_ Despesas'!BX13</f>
        <v>2412.4124220000003</v>
      </c>
      <c r="BY17" s="187">
        <f>+'Mapa II_ Despesas'!BY13</f>
        <v>2815.9075940000002</v>
      </c>
      <c r="BZ17" s="172">
        <f>+'Mapa II_ Despesas'!BZ13</f>
        <v>3349.7844698567578</v>
      </c>
      <c r="CA17" s="172">
        <f>+'Mapa II_ Despesas'!CA13</f>
        <v>3638.7283520000001</v>
      </c>
      <c r="CB17" s="172">
        <f>+'Mapa II_ Despesas'!CB13</f>
        <v>4066.6043209999998</v>
      </c>
      <c r="CC17" s="189">
        <f>+'Mapa II_ Despesas'!CC13</f>
        <v>6001.3392239999994</v>
      </c>
      <c r="CD17" s="189">
        <f>+'Mapa II_ Despesas'!CD13</f>
        <v>6920.5577835399999</v>
      </c>
      <c r="CE17" s="190">
        <f>+'Mapa II_ Despesas'!CE13</f>
        <v>471.38994099999996</v>
      </c>
      <c r="CF17" s="172">
        <f>+'Mapa II_ Despesas'!CF13</f>
        <v>818.019183</v>
      </c>
      <c r="CG17" s="172">
        <f>+'Mapa II_ Despesas'!CG13</f>
        <v>1254.788305</v>
      </c>
      <c r="CH17" s="172">
        <f>+'Mapa II_ Despesas'!CH13</f>
        <v>1631.6704579350001</v>
      </c>
      <c r="CI17" s="172">
        <f>+'Mapa II_ Despesas'!CI13</f>
        <v>2066.0503450000001</v>
      </c>
      <c r="CJ17" s="172">
        <f>+'Mapa II_ Despesas'!CJ13</f>
        <v>2565.5676269999999</v>
      </c>
      <c r="CK17" s="172">
        <f>+'Mapa II_ Despesas'!CK13</f>
        <v>2594.6796516483441</v>
      </c>
      <c r="CL17" s="172">
        <f>+'Mapa II_ Despesas'!CL13</f>
        <v>3540.0819379999998</v>
      </c>
      <c r="CM17" s="172">
        <f>+'Mapa II_ Despesas'!CM13</f>
        <v>4149.0743149999998</v>
      </c>
      <c r="CN17" s="172">
        <f>+'Mapa II_ Despesas'!CN13</f>
        <v>4557.5688960000007</v>
      </c>
      <c r="CO17" s="172">
        <f>+'Mapa II_ Despesas'!CO13</f>
        <v>5313.1979039999997</v>
      </c>
      <c r="CP17" s="172">
        <f>+'Mapa II_ Despesas'!CP13</f>
        <v>6344.759556</v>
      </c>
      <c r="CQ17" s="189">
        <f>+'Mapa II_ Despesas'!CQ13</f>
        <v>6155.8846055700005</v>
      </c>
      <c r="CR17" s="189">
        <f>+'Mapa II_ Despesas'!CR13</f>
        <v>6155.8846055700005</v>
      </c>
      <c r="CS17" s="190">
        <f>+'Mapa II_ Despesas'!CS13</f>
        <v>310.62248799999998</v>
      </c>
      <c r="CT17" s="189">
        <f>+'Mapa II_ Despesas'!CT13</f>
        <v>721.93018299999994</v>
      </c>
      <c r="CU17" s="172">
        <f>+'Mapa II_ Despesas'!CU13</f>
        <v>1208.7757859999999</v>
      </c>
      <c r="CV17" s="187">
        <f>+'Mapa II_ Despesas'!CV13</f>
        <v>1707.330956</v>
      </c>
      <c r="CW17" s="172">
        <f>+'Mapa II_ Despesas'!CW13</f>
        <v>2216.4719279999999</v>
      </c>
      <c r="CX17" s="172">
        <f>+'Mapa II_ Despesas'!CX13</f>
        <v>2651.3312960000003</v>
      </c>
      <c r="CY17" s="172">
        <f>+'Mapa II_ Despesas'!CY13</f>
        <v>3172.7659960000005</v>
      </c>
      <c r="CZ17" s="172">
        <f>+'Mapa II_ Despesas'!CZ13</f>
        <v>3651.195174</v>
      </c>
      <c r="DA17" s="172">
        <f>+'Mapa II_ Despesas'!DA13</f>
        <v>4136.9074689999998</v>
      </c>
      <c r="DB17" s="172">
        <f>+'Mapa II_ Despesas'!DB13</f>
        <v>4628.5088949999999</v>
      </c>
      <c r="DC17" s="172">
        <f>+'Mapa II_ Despesas'!DC13</f>
        <v>5115.1454640000002</v>
      </c>
      <c r="DD17" s="172">
        <f>+'Mapa II_ Despesas'!DD13</f>
        <v>6041.0864980000006</v>
      </c>
      <c r="DE17" s="172">
        <f>+'Mapa II_ Despesas'!DE13</f>
        <v>7013.3922520850001</v>
      </c>
      <c r="DF17" s="172">
        <f>+'Mapa II_ Despesas'!DF13</f>
        <v>8071.996631</v>
      </c>
      <c r="DG17" s="172">
        <f>+'Mapa II_ Despesas'!DG13</f>
        <v>364.94490300000001</v>
      </c>
      <c r="DH17" s="172">
        <f>+'Mapa II_ Despesas'!DH13</f>
        <v>933.26432399999999</v>
      </c>
      <c r="DI17" s="172">
        <f>+'Mapa II_ Despesas'!DI13</f>
        <v>1441.326656</v>
      </c>
      <c r="DJ17" s="172">
        <f>+'Mapa II_ Despesas'!DJ13</f>
        <v>1900.619631</v>
      </c>
      <c r="DK17" s="172">
        <f>+'Mapa II_ Despesas'!DK13</f>
        <v>2313.0668479999999</v>
      </c>
      <c r="DL17" s="172">
        <f>+'Mapa II_ Despesas'!DL13</f>
        <v>2809.3614170000001</v>
      </c>
      <c r="DM17" s="172">
        <f>+'Mapa II_ Despesas'!DM13</f>
        <v>3317.3432330000001</v>
      </c>
      <c r="DN17" s="172">
        <f>+'Mapa II_ Despesas'!DN13</f>
        <v>3926.5131569999994</v>
      </c>
      <c r="DO17" s="172">
        <f>+'Mapa II_ Despesas'!DO13</f>
        <v>4513.7310109999999</v>
      </c>
      <c r="DP17" s="172">
        <f>+'Mapa II_ Despesas'!DP13</f>
        <v>5097.0330909999993</v>
      </c>
      <c r="DQ17" s="172">
        <f>+'Mapa II_ Despesas'!DQ13</f>
        <v>5734.4859480000005</v>
      </c>
      <c r="DR17" s="172">
        <v>6481.6380339999996</v>
      </c>
      <c r="DS17" s="172">
        <f>+'Mapa II_ Despesas'!DS13</f>
        <v>7388.8962700000002</v>
      </c>
      <c r="DT17" s="172">
        <f>+'Mapa II_ Despesas'!DT13</f>
        <v>7846.673785</v>
      </c>
      <c r="DU17" s="172">
        <v>386.22414499999996</v>
      </c>
      <c r="DV17" s="172">
        <v>935.360499</v>
      </c>
      <c r="DW17" s="172">
        <v>1352.1162340000001</v>
      </c>
      <c r="DX17" s="172">
        <v>1810.2053599999999</v>
      </c>
      <c r="DY17" s="172">
        <v>2252.2015739999997</v>
      </c>
      <c r="DZ17" s="172">
        <f>+'Mapa II_ Despesas'!DZ13</f>
        <v>2643.7914350000001</v>
      </c>
      <c r="EA17" s="172">
        <f>+'Mapa II_ Despesas'!EA13</f>
        <v>3084.0779510000002</v>
      </c>
      <c r="EB17" s="172"/>
      <c r="EC17" s="172"/>
      <c r="ED17" s="172"/>
      <c r="EE17" s="172"/>
      <c r="EF17" s="173">
        <f t="shared" si="4"/>
        <v>39.304271281108193</v>
      </c>
      <c r="EG17" s="174">
        <f t="shared" si="7"/>
        <v>-7.0316896870827872</v>
      </c>
      <c r="EH17" s="174">
        <f t="shared" si="0"/>
        <v>-7.0316896870827872</v>
      </c>
      <c r="EI17" s="167">
        <v>2612.6597099999999</v>
      </c>
      <c r="EJ17" s="175">
        <f t="shared" si="1"/>
        <v>31.131725000000188</v>
      </c>
      <c r="EK17" s="176">
        <f t="shared" si="2"/>
        <v>1.1915721316803296</v>
      </c>
      <c r="EL17" s="965">
        <f t="shared" si="6"/>
        <v>-233.26528199999984</v>
      </c>
    </row>
    <row r="18" spans="1:146" s="185" customFormat="1" ht="15" customHeight="1">
      <c r="A18" s="186" t="s">
        <v>122</v>
      </c>
      <c r="B18" s="172">
        <f>+'Mapa II_ Despesas'!B17</f>
        <v>3686.6461360000003</v>
      </c>
      <c r="C18" s="172">
        <f>+'Mapa II_ Despesas'!C17</f>
        <v>317.59938800000003</v>
      </c>
      <c r="D18" s="172">
        <f>+'Mapa II_ Despesas'!D17</f>
        <v>636.78038700000002</v>
      </c>
      <c r="E18" s="172">
        <f>+'Mapa II_ Despesas'!E17</f>
        <v>959.037147</v>
      </c>
      <c r="F18" s="172">
        <f>+'Mapa II_ Despesas'!F17</f>
        <v>1277.4026269999999</v>
      </c>
      <c r="G18" s="172">
        <f>+'Mapa II_ Despesas'!G17</f>
        <v>1590.063789</v>
      </c>
      <c r="H18" s="172">
        <f>+'Mapa II_ Despesas'!H17</f>
        <v>1891.4535089999999</v>
      </c>
      <c r="I18" s="172">
        <f>+'Mapa II_ Despesas'!I17</f>
        <v>2259.1606449999999</v>
      </c>
      <c r="J18" s="172">
        <f>+'Mapa II_ Despesas'!J17</f>
        <v>2576.4512119999999</v>
      </c>
      <c r="K18" s="172">
        <f>+'Mapa II_ Despesas'!K17</f>
        <v>2917.5746400000003</v>
      </c>
      <c r="L18" s="172">
        <f>+'Mapa II_ Despesas'!L17</f>
        <v>3248.8452940000002</v>
      </c>
      <c r="M18" s="172">
        <f>+'Mapa II_ Despesas'!M17</f>
        <v>3583.7602160000001</v>
      </c>
      <c r="N18" s="172">
        <f>+'Mapa II_ Despesas'!N17</f>
        <v>3917.9290419999998</v>
      </c>
      <c r="O18" s="172">
        <f>+'Mapa II_ Despesas'!O17</f>
        <v>3851.6003329999999</v>
      </c>
      <c r="P18" s="172">
        <f>+'Mapa II_ Despesas'!P17</f>
        <v>343.180139</v>
      </c>
      <c r="Q18" s="172">
        <f>+'Mapa II_ Despesas'!Q17</f>
        <v>672.01096299999995</v>
      </c>
      <c r="R18" s="172">
        <f>+'Mapa II_ Despesas'!R17</f>
        <v>1056.341085</v>
      </c>
      <c r="S18" s="172">
        <f>+'Mapa II_ Despesas'!S17</f>
        <v>1349.7339459999998</v>
      </c>
      <c r="T18" s="172">
        <f>+'Mapa II_ Despesas'!T17</f>
        <v>1697.7156680000001</v>
      </c>
      <c r="U18" s="172">
        <f>+'Mapa II_ Despesas'!U17</f>
        <v>2015.6296590000002</v>
      </c>
      <c r="V18" s="172">
        <f>+'Mapa II_ Despesas'!V17</f>
        <v>2354.7161289999999</v>
      </c>
      <c r="W18" s="172">
        <f>+'Mapa II_ Despesas'!W17</f>
        <v>2732.5428879999999</v>
      </c>
      <c r="X18" s="172">
        <f>+'Mapa II_ Despesas'!X17</f>
        <v>3044.0842520000001</v>
      </c>
      <c r="Y18" s="172">
        <f>+'Mapa II_ Despesas'!Y17</f>
        <v>3433.2280860000001</v>
      </c>
      <c r="Z18" s="172">
        <f>+'Mapa II_ Despesas'!Z17</f>
        <v>3793.6798410000001</v>
      </c>
      <c r="AA18" s="172">
        <f>+'Mapa II_ Despesas'!AA17</f>
        <v>4150.3777899999995</v>
      </c>
      <c r="AB18" s="187">
        <f>+'Mapa II_ Despesas'!AB17</f>
        <v>3985.9241499999998</v>
      </c>
      <c r="AC18" s="187">
        <f>+'Mapa II_ Despesas'!AC17</f>
        <v>351.89706000000001</v>
      </c>
      <c r="AD18" s="187">
        <f>+'Mapa II_ Despesas'!AD17</f>
        <v>698.54013099999997</v>
      </c>
      <c r="AE18" s="187">
        <f>+'Mapa II_ Despesas'!AE17</f>
        <v>1046.4955179999999</v>
      </c>
      <c r="AF18" s="187">
        <f>+'Mapa II_ Despesas'!AF17</f>
        <v>1363.735122</v>
      </c>
      <c r="AG18" s="187">
        <f>+'Mapa II_ Despesas'!AG17</f>
        <v>1735.6131419999999</v>
      </c>
      <c r="AH18" s="187">
        <f>+'Mapa II_ Despesas'!AH17</f>
        <v>2091.7710110000003</v>
      </c>
      <c r="AI18" s="187">
        <f>+'Mapa II_ Despesas'!AI17</f>
        <v>2459.650721</v>
      </c>
      <c r="AJ18" s="187">
        <f>+'Mapa II_ Despesas'!AJ17</f>
        <v>2822.081647</v>
      </c>
      <c r="AK18" s="187">
        <f>+'Mapa II_ Despesas'!AK17</f>
        <v>3189.147837</v>
      </c>
      <c r="AL18" s="187">
        <f>+'Mapa II_ Despesas'!AL17</f>
        <v>3574.0411960000001</v>
      </c>
      <c r="AM18" s="187">
        <f>+'Mapa II_ Despesas'!AM17</f>
        <v>3919.4207970000002</v>
      </c>
      <c r="AN18" s="187">
        <f>+'Mapa II_ Despesas'!AN17</f>
        <v>4347.9257959999995</v>
      </c>
      <c r="AO18" s="187">
        <f>+'Mapa II_ Despesas'!AO17</f>
        <v>4119</v>
      </c>
      <c r="AP18" s="187">
        <f>+'Mapa II_ Despesas'!AP17</f>
        <v>359.110749</v>
      </c>
      <c r="AQ18" s="187">
        <f>+'Mapa II_ Despesas'!AQ17</f>
        <v>739.66762500000004</v>
      </c>
      <c r="AR18" s="187">
        <f>+'Mapa II_ Despesas'!AR17</f>
        <v>1127.7045210000001</v>
      </c>
      <c r="AS18" s="187">
        <f>+'Mapa II_ Despesas'!AS17</f>
        <v>1510.6343529999999</v>
      </c>
      <c r="AT18" s="187">
        <f>+'Mapa II_ Despesas'!AT17</f>
        <v>1876.166275</v>
      </c>
      <c r="AU18" s="187">
        <f>+'Mapa II_ Despesas'!AU17</f>
        <v>2280.9388869999998</v>
      </c>
      <c r="AV18" s="187">
        <f>+'Mapa II_ Despesas'!AV17</f>
        <v>2672.5242239999998</v>
      </c>
      <c r="AW18" s="187">
        <f>+'Mapa II_ Despesas'!AW17</f>
        <v>3073.743332</v>
      </c>
      <c r="AX18" s="187">
        <f>+'Mapa II_ Despesas'!AX17</f>
        <v>3468.1736940000001</v>
      </c>
      <c r="AY18" s="187">
        <f>+'Mapa II_ Despesas'!AY17</f>
        <v>3885.8075880000001</v>
      </c>
      <c r="AZ18" s="187">
        <f>+'Mapa II_ Despesas'!AZ17</f>
        <v>4302.6187380000001</v>
      </c>
      <c r="BA18" s="187">
        <f>+'Mapa II_ Despesas'!BA17</f>
        <v>4735.1190542899994</v>
      </c>
      <c r="BB18" s="172">
        <f>+'Mapa II_ Despesas'!BB17</f>
        <v>5102.3994819999998</v>
      </c>
      <c r="BC18" s="172">
        <f>+'Mapa II_ Despesas'!BC17</f>
        <v>5148.2540739999995</v>
      </c>
      <c r="BD18" s="187">
        <f>+'Mapa II_ Despesas'!BD17</f>
        <v>410.96856299999996</v>
      </c>
      <c r="BE18" s="192">
        <f>+'Mapa II_ Despesas'!BE17</f>
        <v>828.82522599999993</v>
      </c>
      <c r="BF18" s="187">
        <f>+'Mapa II_ Despesas'!BF17</f>
        <v>1233.085709</v>
      </c>
      <c r="BG18" s="187">
        <f>+'Mapa II_ Despesas'!BG17</f>
        <v>2059.580841</v>
      </c>
      <c r="BH18" s="187">
        <f>+'Mapa II_ Despesas'!BH17</f>
        <v>2079.2757940000001</v>
      </c>
      <c r="BI18" s="187">
        <f>+'Mapa II_ Despesas'!BI17</f>
        <v>2507.2977179999998</v>
      </c>
      <c r="BJ18" s="187">
        <f>+'Mapa II_ Despesas'!BJ17</f>
        <v>2932.3043519999997</v>
      </c>
      <c r="BK18" s="187">
        <f>+'Mapa II_ Despesas'!BK17</f>
        <v>3360.4292820000001</v>
      </c>
      <c r="BL18" s="187">
        <f>+'Mapa II_ Despesas'!BL17</f>
        <v>3782.1695599999998</v>
      </c>
      <c r="BM18" s="187">
        <f>+'Mapa II_ Despesas'!BM17</f>
        <v>4217.8064370000002</v>
      </c>
      <c r="BN18" s="187">
        <f>+'Mapa II_ Despesas'!BN17</f>
        <v>4665.4826279999997</v>
      </c>
      <c r="BO18" s="187">
        <f>+'Mapa II_ Despesas'!BO17</f>
        <v>5164.9558459999998</v>
      </c>
      <c r="BP18" s="172">
        <f>+'Mapa II_ Despesas'!BP17</f>
        <v>5475.6876409999995</v>
      </c>
      <c r="BQ18" s="172">
        <f>+'Mapa II_ Despesas'!BQ17</f>
        <v>5475.6876409999995</v>
      </c>
      <c r="BR18" s="187">
        <f>+'Mapa II_ Despesas'!BR17</f>
        <v>432.60572000000002</v>
      </c>
      <c r="BS18" s="187">
        <f>+'Mapa II_ Despesas'!BS17</f>
        <v>856.88155999999992</v>
      </c>
      <c r="BT18" s="187">
        <f>+'Mapa II_ Despesas'!BT17</f>
        <v>1297.4795319999998</v>
      </c>
      <c r="BU18" s="187">
        <f>+'Mapa II_ Despesas'!BU17</f>
        <v>1723.5591089999998</v>
      </c>
      <c r="BV18" s="187">
        <f>+'Mapa II_ Despesas'!BV17</f>
        <v>2174.470542</v>
      </c>
      <c r="BW18" s="187">
        <f>+'Mapa II_ Despesas'!BW17</f>
        <v>2617.1780369999997</v>
      </c>
      <c r="BX18" s="187">
        <f>+'Mapa II_ Despesas'!BX17</f>
        <v>3064.9068039999997</v>
      </c>
      <c r="BY18" s="187">
        <f>+'Mapa II_ Despesas'!BY17</f>
        <v>3515.4887049999998</v>
      </c>
      <c r="BZ18" s="172">
        <f>+'Mapa II_ Despesas'!BZ17</f>
        <v>3983.3940709999997</v>
      </c>
      <c r="CA18" s="172">
        <f>+'Mapa II_ Despesas'!CA17</f>
        <v>4444.408367</v>
      </c>
      <c r="CB18" s="172">
        <f>+'Mapa II_ Despesas'!CB17</f>
        <v>4919.759137</v>
      </c>
      <c r="CC18" s="189">
        <f>+'Mapa II_ Despesas'!CC17</f>
        <v>5541.1932210000004</v>
      </c>
      <c r="CD18" s="189">
        <f>+'Mapa II_ Despesas'!CD17</f>
        <v>5700.2738639999998</v>
      </c>
      <c r="CE18" s="190">
        <f>+'Mapa II_ Despesas'!CE17</f>
        <v>485.84303199999999</v>
      </c>
      <c r="CF18" s="172">
        <f>+'Mapa II_ Despesas'!CF17</f>
        <v>984.97179700000004</v>
      </c>
      <c r="CG18" s="172">
        <f>+'Mapa II_ Despesas'!CG17</f>
        <v>1480.595227</v>
      </c>
      <c r="CH18" s="172">
        <f>+'Mapa II_ Despesas'!CH17</f>
        <v>1981.5552540000001</v>
      </c>
      <c r="CI18" s="172">
        <f>+'Mapa II_ Despesas'!CI17</f>
        <v>2498.1908309999999</v>
      </c>
      <c r="CJ18" s="172">
        <f>+'Mapa II_ Despesas'!CJ17</f>
        <v>3009.0695109999997</v>
      </c>
      <c r="CK18" s="172">
        <f>+'Mapa II_ Despesas'!CK17</f>
        <v>3459.644108</v>
      </c>
      <c r="CL18" s="172">
        <f>+'Mapa II_ Despesas'!CL17</f>
        <v>4037.099655</v>
      </c>
      <c r="CM18" s="172">
        <f>+'Mapa II_ Despesas'!CM17</f>
        <v>4591.1772959999998</v>
      </c>
      <c r="CN18" s="172">
        <f>+'Mapa II_ Despesas'!CN17</f>
        <v>5115.0391209999998</v>
      </c>
      <c r="CO18" s="172">
        <f>+'Mapa II_ Despesas'!CO17</f>
        <v>5645.8998599999995</v>
      </c>
      <c r="CP18" s="172">
        <f>+'Mapa II_ Despesas'!CP17</f>
        <v>6237.0322310000001</v>
      </c>
      <c r="CQ18" s="189">
        <f>+'Mapa II_ Despesas'!CQ17</f>
        <v>6962.893454</v>
      </c>
      <c r="CR18" s="189">
        <f>+'Mapa II_ Despesas'!CR17</f>
        <v>6962.893454</v>
      </c>
      <c r="CS18" s="190">
        <f>+'Mapa II_ Despesas'!CS17</f>
        <v>554.85018200000002</v>
      </c>
      <c r="CT18" s="189">
        <f>+'Mapa II_ Despesas'!CT17</f>
        <v>1117.7348059999999</v>
      </c>
      <c r="CU18" s="172">
        <f>+'Mapa II_ Despesas'!CU17</f>
        <v>1689.546973</v>
      </c>
      <c r="CV18" s="187">
        <f>+'Mapa II_ Despesas'!CV17</f>
        <v>2298.483467</v>
      </c>
      <c r="CW18" s="172">
        <f>+'Mapa II_ Despesas'!CW17</f>
        <v>2896.779669</v>
      </c>
      <c r="CX18" s="172">
        <f>+'Mapa II_ Despesas'!CX17</f>
        <v>3482.772559</v>
      </c>
      <c r="CY18" s="172">
        <f>+'Mapa II_ Despesas'!CY17</f>
        <v>4078.2972360000003</v>
      </c>
      <c r="CZ18" s="172">
        <f>+'Mapa II_ Despesas'!CZ17</f>
        <v>4676.5571599999994</v>
      </c>
      <c r="DA18" s="172">
        <f>+'Mapa II_ Despesas'!DA17</f>
        <v>5283.1205100000006</v>
      </c>
      <c r="DB18" s="172">
        <f>+'Mapa II_ Despesas'!DB17</f>
        <v>5907.9173370000008</v>
      </c>
      <c r="DC18" s="172">
        <f>+'Mapa II_ Despesas'!DC17</f>
        <v>6559.9721520000003</v>
      </c>
      <c r="DD18" s="172">
        <f>+'Mapa II_ Despesas'!DD17</f>
        <v>7272.1631319999997</v>
      </c>
      <c r="DE18" s="172">
        <f>+'Mapa II_ Despesas'!DE17</f>
        <v>7485.5728410000002</v>
      </c>
      <c r="DF18" s="172">
        <f>+'Mapa II_ Despesas'!DF17</f>
        <v>8046.1606499999998</v>
      </c>
      <c r="DG18" s="172">
        <f>+'Mapa II_ Despesas'!DG17</f>
        <v>577.52776199999994</v>
      </c>
      <c r="DH18" s="172">
        <f>+'Mapa II_ Despesas'!DH17</f>
        <v>1195.792387</v>
      </c>
      <c r="DI18" s="172">
        <f>+'Mapa II_ Despesas'!DI17</f>
        <v>1830.3320739999999</v>
      </c>
      <c r="DJ18" s="172">
        <f>+'Mapa II_ Despesas'!DJ17</f>
        <v>2508.5270930000001</v>
      </c>
      <c r="DK18" s="172">
        <f>+'Mapa II_ Despesas'!DK17</f>
        <v>3295.1140150000001</v>
      </c>
      <c r="DL18" s="172">
        <f>+'Mapa II_ Despesas'!DL17</f>
        <v>3912.8749640000001</v>
      </c>
      <c r="DM18" s="172">
        <f>+'Mapa II_ Despesas'!DM17</f>
        <v>4553.570095</v>
      </c>
      <c r="DN18" s="172">
        <f>+'Mapa II_ Despesas'!DN17</f>
        <v>5244.2895639999997</v>
      </c>
      <c r="DO18" s="172">
        <f>+'Mapa II_ Despesas'!DO17</f>
        <v>5915.9828589999997</v>
      </c>
      <c r="DP18" s="172">
        <f>+'Mapa II_ Despesas'!DP17</f>
        <v>6636.4707269999999</v>
      </c>
      <c r="DQ18" s="172">
        <f>+'Mapa II_ Despesas'!DQ17</f>
        <v>7314.1039120000005</v>
      </c>
      <c r="DR18" s="172">
        <v>8264.8353399999996</v>
      </c>
      <c r="DS18" s="172">
        <f>+'Mapa II_ Despesas'!DS17</f>
        <v>8070.8166890000002</v>
      </c>
      <c r="DT18" s="172">
        <f>+'Mapa II_ Despesas'!DT17</f>
        <v>9178.8836030000002</v>
      </c>
      <c r="DU18" s="172">
        <v>614.06433700000002</v>
      </c>
      <c r="DV18" s="172">
        <v>1357.8905500000001</v>
      </c>
      <c r="DW18" s="172">
        <v>2195.3145949999998</v>
      </c>
      <c r="DX18" s="172">
        <v>2892.2964590000001</v>
      </c>
      <c r="DY18" s="172">
        <v>3781.4258650000002</v>
      </c>
      <c r="DZ18" s="172">
        <f>+'Mapa II_ Despesas'!DZ17</f>
        <v>4686.6121139999996</v>
      </c>
      <c r="EA18" s="172">
        <f>+'Mapa II_ Despesas'!EA17</f>
        <v>5582.2765460000001</v>
      </c>
      <c r="EB18" s="172"/>
      <c r="EC18" s="172"/>
      <c r="ED18" s="172"/>
      <c r="EE18" s="172"/>
      <c r="EF18" s="173">
        <f t="shared" si="4"/>
        <v>60.816508711097548</v>
      </c>
      <c r="EG18" s="174">
        <f t="shared" si="7"/>
        <v>22.591207108671952</v>
      </c>
      <c r="EH18" s="174">
        <f t="shared" si="0"/>
        <v>22.591207108671952</v>
      </c>
      <c r="EI18" s="187">
        <f>3510.831603+800</f>
        <v>4310.8316030000005</v>
      </c>
      <c r="EJ18" s="175">
        <f t="shared" si="1"/>
        <v>375.78051099999902</v>
      </c>
      <c r="EK18" s="176">
        <f t="shared" si="2"/>
        <v>8.7171234139251652</v>
      </c>
      <c r="EL18" s="965">
        <f t="shared" si="6"/>
        <v>1028.706451</v>
      </c>
    </row>
    <row r="19" spans="1:146" s="185" customFormat="1" ht="15" customHeight="1">
      <c r="A19" s="186" t="s">
        <v>123</v>
      </c>
      <c r="B19" s="172">
        <f>+'Mapa II_ Despesas'!B18</f>
        <v>3177.4078465369498</v>
      </c>
      <c r="C19" s="172">
        <f>+'Mapa II_ Despesas'!C18</f>
        <v>47.105715000000004</v>
      </c>
      <c r="D19" s="172">
        <f>+'Mapa II_ Despesas'!D18</f>
        <v>135.015063</v>
      </c>
      <c r="E19" s="172">
        <f>+'Mapa II_ Despesas'!E18</f>
        <v>291.63516600000003</v>
      </c>
      <c r="F19" s="172">
        <f>+'Mapa II_ Despesas'!F18</f>
        <v>386.57300399999997</v>
      </c>
      <c r="G19" s="172">
        <f>+'Mapa II_ Despesas'!G18</f>
        <v>561.681782</v>
      </c>
      <c r="H19" s="172">
        <f>+'Mapa II_ Despesas'!H18</f>
        <v>749.84961999999996</v>
      </c>
      <c r="I19" s="172">
        <f>+'Mapa II_ Despesas'!I18</f>
        <v>826.06023399999992</v>
      </c>
      <c r="J19" s="172">
        <f>+'Mapa II_ Despesas'!J18</f>
        <v>985.24190799999997</v>
      </c>
      <c r="K19" s="172">
        <f>+'Mapa II_ Despesas'!K18</f>
        <v>1066.1213969999999</v>
      </c>
      <c r="L19" s="172">
        <f>+'Mapa II_ Despesas'!L18</f>
        <v>1377.1457229999999</v>
      </c>
      <c r="M19" s="172">
        <f>+'Mapa II_ Despesas'!M18</f>
        <v>1475.2938059999999</v>
      </c>
      <c r="N19" s="172">
        <f>+'Mapa II_ Despesas'!N18</f>
        <v>2421.1322690000002</v>
      </c>
      <c r="O19" s="172">
        <f>+'Mapa II_ Despesas'!O18</f>
        <v>2876.6302169999999</v>
      </c>
      <c r="P19" s="172">
        <f>+'Mapa II_ Despesas'!P18</f>
        <v>70.395026000000001</v>
      </c>
      <c r="Q19" s="172">
        <f>+'Mapa II_ Despesas'!Q18</f>
        <v>137.243909</v>
      </c>
      <c r="R19" s="172">
        <f>+'Mapa II_ Despesas'!R18</f>
        <v>317.40389800000003</v>
      </c>
      <c r="S19" s="172">
        <f>+'Mapa II_ Despesas'!S18</f>
        <v>341.19083800000004</v>
      </c>
      <c r="T19" s="172">
        <f>+'Mapa II_ Despesas'!T18</f>
        <v>447.24667699999998</v>
      </c>
      <c r="U19" s="172">
        <f>+'Mapa II_ Despesas'!U18</f>
        <v>617.75768082623244</v>
      </c>
      <c r="V19" s="172">
        <f>+'Mapa II_ Despesas'!V18</f>
        <v>1089.9034220000001</v>
      </c>
      <c r="W19" s="172">
        <f>+'Mapa II_ Despesas'!W18</f>
        <v>1204.394423</v>
      </c>
      <c r="X19" s="172">
        <f>+'Mapa II_ Despesas'!X18</f>
        <v>1313</v>
      </c>
      <c r="Y19" s="172">
        <f>+'Mapa II_ Despesas'!Y18</f>
        <v>1413.3816569999999</v>
      </c>
      <c r="Z19" s="172">
        <f>+'Mapa II_ Despesas'!Z18</f>
        <v>1539.09176</v>
      </c>
      <c r="AA19" s="172">
        <f>+'Mapa II_ Despesas'!AA18</f>
        <v>2052.6904199999999</v>
      </c>
      <c r="AB19" s="172">
        <f>+'Mapa II_ Despesas'!AB18</f>
        <v>3084.2482622804787</v>
      </c>
      <c r="AC19" s="172">
        <f>+'Mapa II_ Despesas'!AC18</f>
        <v>59.196193999999998</v>
      </c>
      <c r="AD19" s="172">
        <f>+'Mapa II_ Despesas'!AD18</f>
        <v>126.77842</v>
      </c>
      <c r="AE19" s="172">
        <f>+'Mapa II_ Despesas'!AE18</f>
        <v>210.140816</v>
      </c>
      <c r="AF19" s="172">
        <f>+'Mapa II_ Despesas'!AF18</f>
        <v>378.41026199999999</v>
      </c>
      <c r="AG19" s="172">
        <f>+'Mapa II_ Despesas'!AG18</f>
        <v>507.28737599999999</v>
      </c>
      <c r="AH19" s="172">
        <f>+'Mapa II_ Despesas'!AH18</f>
        <v>601.86035300000003</v>
      </c>
      <c r="AI19" s="172">
        <f>+'Mapa II_ Despesas'!AI18</f>
        <v>705.41352600000005</v>
      </c>
      <c r="AJ19" s="172">
        <f>+'Mapa II_ Despesas'!AJ18</f>
        <v>804.82498499999997</v>
      </c>
      <c r="AK19" s="172">
        <f>+'Mapa II_ Despesas'!AK18</f>
        <v>899.52400499999999</v>
      </c>
      <c r="AL19" s="172">
        <f>+'Mapa II_ Despesas'!AL18</f>
        <v>1026.0025049999999</v>
      </c>
      <c r="AM19" s="172">
        <f>+'Mapa II_ Despesas'!AM18</f>
        <v>1157.873063</v>
      </c>
      <c r="AN19" s="172">
        <f>+'Mapa II_ Despesas'!AN18</f>
        <v>2339.0506082719894</v>
      </c>
      <c r="AO19" s="172">
        <f>+'Mapa II_ Despesas'!AO18</f>
        <v>2979</v>
      </c>
      <c r="AP19" s="172">
        <f>+'Mapa II_ Despesas'!AP18</f>
        <v>33</v>
      </c>
      <c r="AQ19" s="172">
        <f>+'Mapa II_ Despesas'!AQ18</f>
        <v>138.150113</v>
      </c>
      <c r="AR19" s="172">
        <f>+'Mapa II_ Despesas'!AR18</f>
        <v>408.02783442780162</v>
      </c>
      <c r="AS19" s="172">
        <f>+'Mapa II_ Despesas'!AS18</f>
        <v>491.02371600000004</v>
      </c>
      <c r="AT19" s="172">
        <f>+'Mapa II_ Despesas'!AT18</f>
        <v>629.33061999999995</v>
      </c>
      <c r="AU19" s="172">
        <f>+'Mapa II_ Despesas'!AU18</f>
        <v>778.33901396533054</v>
      </c>
      <c r="AV19" s="172">
        <f>+'Mapa II_ Despesas'!AV18</f>
        <v>915.73019999999997</v>
      </c>
      <c r="AW19" s="172">
        <f>+'Mapa II_ Despesas'!AW18</f>
        <v>1132.6377219999999</v>
      </c>
      <c r="AX19" s="172">
        <f>+'Mapa II_ Despesas'!AX18</f>
        <v>1242.2488120361213</v>
      </c>
      <c r="AY19" s="172">
        <f>+'Mapa II_ Despesas'!AY18</f>
        <v>1640.6124749999999</v>
      </c>
      <c r="AZ19" s="172">
        <f>+'Mapa II_ Despesas'!AZ18</f>
        <v>1871.60718202</v>
      </c>
      <c r="BA19" s="172">
        <f>+'Mapa II_ Despesas'!BA18</f>
        <v>2319.6023971300001</v>
      </c>
      <c r="BB19" s="172">
        <f>+'Mapa II_ Despesas'!BB18</f>
        <v>3549.4560489999999</v>
      </c>
      <c r="BC19" s="172">
        <f>+'Mapa II_ Despesas'!BC18</f>
        <v>4557.9306703499997</v>
      </c>
      <c r="BD19" s="172">
        <f>+'Mapa II_ Despesas'!BD18</f>
        <v>57.022871000000002</v>
      </c>
      <c r="BE19" s="188">
        <f>+'Mapa II_ Despesas'!BE18</f>
        <v>183.178214</v>
      </c>
      <c r="BF19" s="187">
        <f>+'Mapa II_ Despesas'!BF18</f>
        <v>389.18739899000002</v>
      </c>
      <c r="BG19" s="187">
        <f>+'Mapa II_ Despesas'!BG18</f>
        <v>657.75422459000004</v>
      </c>
      <c r="BH19" s="187">
        <f>+'Mapa II_ Despesas'!BH18</f>
        <v>671.48692359000006</v>
      </c>
      <c r="BI19" s="172">
        <f>+'Mapa II_ Despesas'!BI18</f>
        <v>792.47054059000004</v>
      </c>
      <c r="BJ19" s="187">
        <f>+'Mapa II_ Despesas'!BJ18</f>
        <v>932.77027826000005</v>
      </c>
      <c r="BK19" s="172">
        <f>+'Mapa II_ Despesas'!BK18</f>
        <v>1167.0241552599998</v>
      </c>
      <c r="BL19" s="172">
        <f>+'Mapa II_ Despesas'!BL18</f>
        <v>1248.9024046424945</v>
      </c>
      <c r="BM19" s="172">
        <f>+'Mapa II_ Despesas'!BM18</f>
        <v>1667.2254772599999</v>
      </c>
      <c r="BN19" s="172">
        <f>+'Mapa II_ Despesas'!BN18</f>
        <v>1917.3731032599999</v>
      </c>
      <c r="BO19" s="172">
        <f>+'Mapa II_ Despesas'!BO18</f>
        <v>3189.1341470399998</v>
      </c>
      <c r="BP19" s="172">
        <f>+'Mapa II_ Despesas'!BP18</f>
        <v>2574.6847693999998</v>
      </c>
      <c r="BQ19" s="172">
        <f>+'Mapa II_ Despesas'!BQ18</f>
        <v>4604.4542720000136</v>
      </c>
      <c r="BR19" s="172">
        <f>+'Mapa II_ Despesas'!BR18</f>
        <v>78.790145999999993</v>
      </c>
      <c r="BS19" s="172">
        <f>+'Mapa II_ Despesas'!BS18</f>
        <v>334.39296400000001</v>
      </c>
      <c r="BT19" s="187">
        <f>+'Mapa II_ Despesas'!BT18</f>
        <v>454.46072714000002</v>
      </c>
      <c r="BU19" s="187">
        <f>+'Mapa II_ Despesas'!BU18</f>
        <v>560.79260905000001</v>
      </c>
      <c r="BV19" s="187">
        <f>+'Mapa II_ Despesas'!BV18</f>
        <v>813.97621404999995</v>
      </c>
      <c r="BW19" s="187">
        <f>+'Mapa II_ Despesas'!BW18</f>
        <v>973.40864147245179</v>
      </c>
      <c r="BX19" s="187">
        <f>+'Mapa II_ Despesas'!BX18</f>
        <v>1076.99943605</v>
      </c>
      <c r="BY19" s="187">
        <f>+'Mapa II_ Despesas'!BY18</f>
        <v>1226.9519710500001</v>
      </c>
      <c r="BZ19" s="172">
        <f>+'Mapa II_ Despesas'!BZ18</f>
        <v>1487.738554495787</v>
      </c>
      <c r="CA19" s="172">
        <f>+'Mapa II_ Despesas'!CA18</f>
        <v>1643.4935440500001</v>
      </c>
      <c r="CB19" s="172">
        <f>+'Mapa II_ Despesas'!CB18</f>
        <v>1933.59145205</v>
      </c>
      <c r="CC19" s="189">
        <f>+'Mapa II_ Despesas'!CC18</f>
        <v>2718.15608505</v>
      </c>
      <c r="CD19" s="189">
        <f>+'Mapa II_ Despesas'!CD18</f>
        <v>4342.7550108249998</v>
      </c>
      <c r="CE19" s="190">
        <f>+'Mapa II_ Despesas'!CE18</f>
        <v>71.486591000000004</v>
      </c>
      <c r="CF19" s="172">
        <f>+'Mapa II_ Despesas'!CF18</f>
        <v>189.57575700000001</v>
      </c>
      <c r="CG19" s="172">
        <f>+'Mapa II_ Despesas'!CG18</f>
        <v>690.69676060500001</v>
      </c>
      <c r="CH19" s="172">
        <f>+'Mapa II_ Despesas'!CH18</f>
        <v>847.73009960499996</v>
      </c>
      <c r="CI19" s="172">
        <f>+'Mapa II_ Despesas'!CI18</f>
        <v>1017.3744390000001</v>
      </c>
      <c r="CJ19" s="172">
        <f>+'Mapa II_ Despesas'!CJ18</f>
        <v>1526.6230499999999</v>
      </c>
      <c r="CK19" s="172">
        <f>+'Mapa II_ Despesas'!CK18</f>
        <v>1983.0219858503926</v>
      </c>
      <c r="CL19" s="172">
        <f>+'Mapa II_ Despesas'!CL18</f>
        <v>2198.502481</v>
      </c>
      <c r="CM19" s="172">
        <f>+'Mapa II_ Despesas'!CM18</f>
        <v>2480.179427</v>
      </c>
      <c r="CN19" s="172">
        <f>+'Mapa II_ Despesas'!CN18</f>
        <v>2682.5278640000001</v>
      </c>
      <c r="CO19" s="172">
        <f>+'Mapa II_ Despesas'!CO18</f>
        <v>2936.5281459999997</v>
      </c>
      <c r="CP19" s="172">
        <f>+'Mapa II_ Despesas'!CP18</f>
        <v>3518.6713850000001</v>
      </c>
      <c r="CQ19" s="189">
        <f>+'Mapa II_ Despesas'!CQ18</f>
        <v>5815.4145369999997</v>
      </c>
      <c r="CR19" s="189">
        <f>+'Mapa II_ Despesas'!CR18</f>
        <v>5115.4145370000006</v>
      </c>
      <c r="CS19" s="190">
        <f>+'Mapa II_ Despesas'!CS18</f>
        <v>71.809367000000009</v>
      </c>
      <c r="CT19" s="189">
        <f>+'Mapa II_ Despesas'!CT18</f>
        <v>171.01814000000002</v>
      </c>
      <c r="CU19" s="172">
        <f>+'Mapa II_ Despesas'!CU18</f>
        <v>559.47261100000003</v>
      </c>
      <c r="CV19" s="187">
        <f>+'Mapa II_ Despesas'!CV18</f>
        <v>698.98175200000003</v>
      </c>
      <c r="CW19" s="172">
        <f>+'Mapa II_ Despesas'!CW18</f>
        <v>1320.3345490000002</v>
      </c>
      <c r="CX19" s="172">
        <f>+'Mapa II_ Despesas'!CX18</f>
        <v>1607.3409770000001</v>
      </c>
      <c r="CY19" s="172">
        <f>+'Mapa II_ Despesas'!CY18</f>
        <v>1990.8145950000001</v>
      </c>
      <c r="CZ19" s="172">
        <f>+'Mapa II_ Despesas'!CZ18</f>
        <v>2184.5810540000002</v>
      </c>
      <c r="DA19" s="172">
        <f>+'Mapa II_ Despesas'!DA18</f>
        <v>2315.3873760000001</v>
      </c>
      <c r="DB19" s="172">
        <f>+'Mapa II_ Despesas'!DB18</f>
        <v>2461.0671050000001</v>
      </c>
      <c r="DC19" s="172">
        <f>+'Mapa II_ Despesas'!DC18</f>
        <v>3236.3614619999998</v>
      </c>
      <c r="DD19" s="172">
        <f>+'Mapa II_ Despesas'!DD18</f>
        <v>5960.998439</v>
      </c>
      <c r="DE19" s="172">
        <f>+'Mapa II_ Despesas'!DE18</f>
        <v>4121.4309951149999</v>
      </c>
      <c r="DF19" s="172">
        <f>+'Mapa II_ Despesas'!DF18</f>
        <v>3691.9129720000001</v>
      </c>
      <c r="DG19" s="172">
        <f>+'Mapa II_ Despesas'!DG18</f>
        <v>33.994137000000002</v>
      </c>
      <c r="DH19" s="172">
        <f>+'Mapa II_ Despesas'!DH18</f>
        <v>158.32523900000001</v>
      </c>
      <c r="DI19" s="172">
        <f>+'Mapa II_ Despesas'!DI18</f>
        <v>383.47138999999999</v>
      </c>
      <c r="DJ19" s="172">
        <f>+'Mapa II_ Despesas'!DJ18</f>
        <v>534.57681200000002</v>
      </c>
      <c r="DK19" s="172">
        <f>+'Mapa II_ Despesas'!DK18</f>
        <v>696.51590899999997</v>
      </c>
      <c r="DL19" s="172">
        <f>+'Mapa II_ Despesas'!DL18</f>
        <v>805.84787199999994</v>
      </c>
      <c r="DM19" s="172">
        <f>+'Mapa II_ Despesas'!DM18</f>
        <v>970.14230100000009</v>
      </c>
      <c r="DN19" s="172">
        <f>+'Mapa II_ Despesas'!DN18</f>
        <v>1017.828243</v>
      </c>
      <c r="DO19" s="172">
        <f>+'Mapa II_ Despesas'!DO18</f>
        <v>1159.2573690000002</v>
      </c>
      <c r="DP19" s="172">
        <f>+'Mapa II_ Despesas'!DP18</f>
        <v>1285.4518800000001</v>
      </c>
      <c r="DQ19" s="172">
        <f>+'Mapa II_ Despesas'!DQ18</f>
        <v>1490.6309560000002</v>
      </c>
      <c r="DR19" s="172">
        <v>1892.038599</v>
      </c>
      <c r="DS19" s="172">
        <f>+'Mapa II_ Despesas'!DS18</f>
        <v>3851.071058</v>
      </c>
      <c r="DT19" s="172">
        <f>+'Mapa II_ Despesas'!DT18</f>
        <v>4075.2205330000002</v>
      </c>
      <c r="DU19" s="172">
        <v>20.373698000000001</v>
      </c>
      <c r="DV19" s="172">
        <v>107.066098</v>
      </c>
      <c r="DW19" s="172">
        <v>336.32687600000003</v>
      </c>
      <c r="DX19" s="172">
        <v>516.89921300000003</v>
      </c>
      <c r="DY19" s="172">
        <v>639.17165699999998</v>
      </c>
      <c r="DZ19" s="172">
        <f>+'Mapa II_ Despesas'!DZ18</f>
        <v>771.87979199999995</v>
      </c>
      <c r="EA19" s="172">
        <f>+'Mapa II_ Despesas'!EA18</f>
        <v>892.71822199999997</v>
      </c>
      <c r="EB19" s="172"/>
      <c r="EC19" s="172"/>
      <c r="ED19" s="172"/>
      <c r="EE19" s="172"/>
      <c r="EF19" s="173">
        <f t="shared" si="4"/>
        <v>21.906010110888886</v>
      </c>
      <c r="EG19" s="174">
        <f t="shared" si="7"/>
        <v>-7.9806930303104151</v>
      </c>
      <c r="EH19" s="174">
        <f t="shared" si="0"/>
        <v>-7.9806930303104151</v>
      </c>
      <c r="EI19" s="172">
        <v>907.87971200000004</v>
      </c>
      <c r="EJ19" s="175">
        <f t="shared" si="1"/>
        <v>-135.99992000000009</v>
      </c>
      <c r="EK19" s="176">
        <f t="shared" si="2"/>
        <v>-14.979949238032987</v>
      </c>
      <c r="EL19" s="965">
        <f t="shared" si="6"/>
        <v>-77.42407900000012</v>
      </c>
    </row>
    <row r="20" spans="1:146" s="185" customFormat="1" ht="14.5">
      <c r="A20" s="186" t="s">
        <v>107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>
        <v>90.989806999999999</v>
      </c>
      <c r="Q20" s="172">
        <v>127.356571</v>
      </c>
      <c r="R20" s="172">
        <v>208.51404600000001</v>
      </c>
      <c r="S20" s="172">
        <v>275.88085799999999</v>
      </c>
      <c r="T20" s="172">
        <v>247.66087944999998</v>
      </c>
      <c r="U20" s="172">
        <v>344.49615445000001</v>
      </c>
      <c r="V20" s="172">
        <v>452.22527344999997</v>
      </c>
      <c r="W20" s="172">
        <v>561.23750045000008</v>
      </c>
      <c r="X20" s="172"/>
      <c r="Y20" s="172"/>
      <c r="Z20" s="172"/>
      <c r="AA20" s="172"/>
      <c r="AB20" s="172"/>
      <c r="AC20" s="172">
        <v>54.645902</v>
      </c>
      <c r="AD20" s="172">
        <v>63.395457</v>
      </c>
      <c r="AE20" s="172">
        <v>210.09064799999999</v>
      </c>
      <c r="AF20" s="172">
        <v>417.04177600000003</v>
      </c>
      <c r="AG20" s="172">
        <v>0</v>
      </c>
      <c r="AH20" s="172">
        <v>0</v>
      </c>
      <c r="AI20" s="172">
        <v>568.04497200000003</v>
      </c>
      <c r="AJ20" s="172">
        <v>877.25981100000001</v>
      </c>
      <c r="AK20" s="172">
        <v>473.801444</v>
      </c>
      <c r="AL20" s="172">
        <v>900.41719699999999</v>
      </c>
      <c r="AM20" s="172">
        <v>740.78521239999998</v>
      </c>
      <c r="AN20" s="172"/>
      <c r="AO20" s="172"/>
      <c r="AP20" s="172">
        <v>165.990702</v>
      </c>
      <c r="AQ20" s="172"/>
      <c r="AR20" s="172">
        <v>290.45119425000001</v>
      </c>
      <c r="AS20" s="172">
        <v>290.45119425000001</v>
      </c>
      <c r="AT20" s="172">
        <v>635.81786475000001</v>
      </c>
      <c r="AU20" s="172">
        <v>561.60083275</v>
      </c>
      <c r="AV20" s="172">
        <v>894.59456375000002</v>
      </c>
      <c r="AW20" s="172">
        <v>1039.4785367500001</v>
      </c>
      <c r="AX20" s="172">
        <v>773.08539959000007</v>
      </c>
      <c r="AY20" s="172">
        <v>744.93182302000002</v>
      </c>
      <c r="AZ20" s="172">
        <v>1000</v>
      </c>
      <c r="BA20" s="172"/>
      <c r="BB20" s="172"/>
      <c r="BC20" s="172"/>
      <c r="BD20" s="172"/>
      <c r="BE20" s="188">
        <v>181.350212</v>
      </c>
      <c r="BF20" s="187">
        <v>230.34780900000001</v>
      </c>
      <c r="BG20" s="187">
        <v>206.01243299999999</v>
      </c>
      <c r="BH20" s="187">
        <v>196.202653</v>
      </c>
      <c r="BI20" s="172">
        <v>1210.4334349999999</v>
      </c>
      <c r="BJ20" s="187">
        <v>1526.46437866667</v>
      </c>
      <c r="BK20" s="172">
        <v>1726.1363966666702</v>
      </c>
      <c r="BL20" s="172">
        <v>1109.6377327499999</v>
      </c>
      <c r="BM20" s="172">
        <v>1538</v>
      </c>
      <c r="BN20" s="172">
        <v>1538</v>
      </c>
      <c r="BO20" s="172">
        <v>1422.0451800999999</v>
      </c>
      <c r="BP20" s="172"/>
      <c r="BQ20" s="172"/>
      <c r="BR20" s="172">
        <v>232.82430299999999</v>
      </c>
      <c r="BS20" s="172">
        <v>624.44994999999994</v>
      </c>
      <c r="BT20" s="187">
        <v>1060.572019</v>
      </c>
      <c r="BU20" s="187">
        <v>1269.0798688599998</v>
      </c>
      <c r="BV20" s="187">
        <v>1468.500638</v>
      </c>
      <c r="BW20" s="187">
        <v>811.47023100000001</v>
      </c>
      <c r="BX20" s="187">
        <v>1006.2328236000001</v>
      </c>
      <c r="BY20" s="187">
        <v>1349.3629816</v>
      </c>
      <c r="BZ20" s="172">
        <v>750.30146160000004</v>
      </c>
      <c r="CA20" s="172">
        <v>1321.9353086000001</v>
      </c>
      <c r="CB20" s="172">
        <v>1893.1785685999998</v>
      </c>
      <c r="CC20" s="189">
        <v>1409.8318385999999</v>
      </c>
      <c r="CD20" s="189"/>
      <c r="CE20" s="190">
        <v>249.639208</v>
      </c>
      <c r="CF20" s="172">
        <v>439.96601199999998</v>
      </c>
      <c r="CG20" s="172">
        <v>367.17861499999998</v>
      </c>
      <c r="CH20" s="172">
        <v>598.919849</v>
      </c>
      <c r="CI20" s="172">
        <v>793.16123500000003</v>
      </c>
      <c r="CJ20" s="172"/>
      <c r="CK20" s="172">
        <v>694.42554600000005</v>
      </c>
      <c r="CL20" s="172">
        <v>867.46291300000007</v>
      </c>
      <c r="CM20" s="172">
        <v>884.97475499999996</v>
      </c>
      <c r="CN20" s="172">
        <v>1507.1959830000003</v>
      </c>
      <c r="CO20" s="172">
        <v>1748.810843</v>
      </c>
      <c r="CP20" s="172">
        <v>1725.7451080000001</v>
      </c>
      <c r="CQ20" s="189"/>
      <c r="CR20" s="189"/>
      <c r="CS20" s="190">
        <v>713.903638</v>
      </c>
      <c r="CT20" s="189">
        <v>1128.6048309999999</v>
      </c>
      <c r="CU20" s="172">
        <v>1759.0950320100001</v>
      </c>
      <c r="CV20" s="187">
        <v>313.70863299999996</v>
      </c>
      <c r="CW20" s="172">
        <v>396.86596000000009</v>
      </c>
      <c r="CX20" s="172">
        <v>547.62993400000005</v>
      </c>
      <c r="CY20" s="172">
        <v>655.53217699999993</v>
      </c>
      <c r="CZ20" s="172">
        <v>835.43199200000015</v>
      </c>
      <c r="DA20" s="172">
        <v>804.85734200000002</v>
      </c>
      <c r="DB20" s="172">
        <v>954.65281394754402</v>
      </c>
      <c r="DC20" s="172">
        <v>1057.5861789475439</v>
      </c>
      <c r="DD20" s="172">
        <v>0</v>
      </c>
      <c r="DE20" s="172"/>
      <c r="DF20" s="172"/>
      <c r="DG20" s="172">
        <v>150.11954600000001</v>
      </c>
      <c r="DH20" s="172">
        <v>180.32469499999999</v>
      </c>
      <c r="DI20" s="172">
        <v>233.98124596521325</v>
      </c>
      <c r="DJ20" s="172">
        <v>206.98105530644798</v>
      </c>
      <c r="DK20" s="172">
        <v>148.77983199999997</v>
      </c>
      <c r="DL20" s="172">
        <v>258.62214</v>
      </c>
      <c r="DM20" s="172">
        <v>365.93947099999997</v>
      </c>
      <c r="DN20" s="172">
        <v>219.67482200000001</v>
      </c>
      <c r="DO20" s="172">
        <v>330.46712599999989</v>
      </c>
      <c r="DP20" s="172">
        <v>360.95217099999991</v>
      </c>
      <c r="DQ20" s="172">
        <v>535.78002199999992</v>
      </c>
      <c r="DR20" s="172">
        <v>491.87948999999998</v>
      </c>
      <c r="DS20" s="172"/>
      <c r="DT20" s="172"/>
      <c r="DU20" s="172">
        <v>132.41902300000001</v>
      </c>
      <c r="DV20" s="172">
        <v>263.63850200000002</v>
      </c>
      <c r="DW20" s="172">
        <v>380.99751700000002</v>
      </c>
      <c r="DX20" s="172">
        <v>320.73236600000001</v>
      </c>
      <c r="DY20" s="172">
        <v>358.31779399999999</v>
      </c>
      <c r="DZ20" s="172">
        <f>+'Mapa II_ Despesas'!DZ19</f>
        <v>433.06201800000002</v>
      </c>
      <c r="EA20" s="172">
        <f>+'Mapa II_ Despesas'!EA19</f>
        <v>549.20228299999997</v>
      </c>
      <c r="EB20" s="172">
        <f>+'AI_Por Regularizar e OPT'!$F$41/1000000</f>
        <v>549.20228299999997</v>
      </c>
      <c r="EC20" s="172">
        <f>+'AI_Por Regularizar e OPT'!$F$41/1000000</f>
        <v>549.20228299999997</v>
      </c>
      <c r="ED20" s="172">
        <f>+'AI_Por Regularizar e OPT'!$F$41/1000000</f>
        <v>549.20228299999997</v>
      </c>
      <c r="EE20" s="172">
        <f>+'AI_Por Regularizar e OPT'!$F$41/1000000</f>
        <v>549.20228299999997</v>
      </c>
      <c r="EF20" s="173" t="s">
        <v>75</v>
      </c>
      <c r="EG20" s="174">
        <f t="shared" si="7"/>
        <v>50.080088791514932</v>
      </c>
      <c r="EH20" s="174">
        <f t="shared" si="0"/>
        <v>50.080088791514932</v>
      </c>
      <c r="EI20" s="169"/>
      <c r="EJ20" s="175">
        <f t="shared" si="1"/>
        <v>433.06201800000002</v>
      </c>
      <c r="EK20" s="176" t="e">
        <f t="shared" si="2"/>
        <v>#DIV/0!</v>
      </c>
      <c r="EL20" s="965">
        <f t="shared" si="6"/>
        <v>183.262812</v>
      </c>
    </row>
    <row r="21" spans="1:146" s="196" customFormat="1" ht="15" customHeight="1">
      <c r="A21" s="153" t="s">
        <v>124</v>
      </c>
      <c r="B21" s="154">
        <v>2426.240841430008</v>
      </c>
      <c r="C21" s="154">
        <v>1313.6570331490188</v>
      </c>
      <c r="D21" s="154">
        <v>-22270.175062212838</v>
      </c>
      <c r="E21" s="154">
        <v>1810.8805589999993</v>
      </c>
      <c r="F21" s="154">
        <v>1134.099977837499</v>
      </c>
      <c r="G21" s="154">
        <v>1496.7503329774991</v>
      </c>
      <c r="H21" s="154">
        <v>2725</v>
      </c>
      <c r="I21" s="154">
        <v>1584.2470669774993</v>
      </c>
      <c r="J21" s="154">
        <v>1096.2527798279698</v>
      </c>
      <c r="K21" s="154">
        <v>1042.962465540073</v>
      </c>
      <c r="L21" s="154">
        <v>1360.4029215400697</v>
      </c>
      <c r="M21" s="154">
        <v>1887.5052315400681</v>
      </c>
      <c r="N21" s="154">
        <v>2278.9860610158576</v>
      </c>
      <c r="O21" s="154">
        <v>4860.1009864119987</v>
      </c>
      <c r="P21" s="154">
        <v>1420.3609340100002</v>
      </c>
      <c r="Q21" s="154">
        <v>1566.1031760100004</v>
      </c>
      <c r="R21" s="154">
        <v>346.35867287418114</v>
      </c>
      <c r="S21" s="154">
        <v>850.04541445999712</v>
      </c>
      <c r="T21" s="154">
        <v>606.44113600999663</v>
      </c>
      <c r="U21" s="154">
        <v>557</v>
      </c>
      <c r="V21" s="154">
        <v>619.51660500999787</v>
      </c>
      <c r="W21" s="154">
        <v>-109.13924535000115</v>
      </c>
      <c r="X21" s="154">
        <v>1312.7398979999962</v>
      </c>
      <c r="Y21" s="154">
        <v>971.20087067000713</v>
      </c>
      <c r="Z21" s="154">
        <v>1089.1452636699978</v>
      </c>
      <c r="AA21" s="154">
        <v>2292.2333390999993</v>
      </c>
      <c r="AB21" s="154">
        <v>928.34997441418091</v>
      </c>
      <c r="AC21" s="154">
        <v>882.40786999999955</v>
      </c>
      <c r="AD21" s="154">
        <v>499.84656000000086</v>
      </c>
      <c r="AE21" s="154">
        <v>304.003377</v>
      </c>
      <c r="AF21" s="154">
        <v>-458.38207399999919</v>
      </c>
      <c r="AG21" s="154">
        <v>-119.20010500000171</v>
      </c>
      <c r="AH21" s="154">
        <v>-606.01414300000215</v>
      </c>
      <c r="AI21" s="154">
        <v>-1184.701809000002</v>
      </c>
      <c r="AJ21" s="154">
        <v>-1786.3708786711068</v>
      </c>
      <c r="AK21" s="154">
        <v>-724.10854900000049</v>
      </c>
      <c r="AL21" s="154" t="e">
        <f>+AL4-#REF!</f>
        <v>#REF!</v>
      </c>
      <c r="AM21" s="154" t="e">
        <f>+AM4-#REF!</f>
        <v>#REF!</v>
      </c>
      <c r="AN21" s="154">
        <v>-2215.8398126994289</v>
      </c>
      <c r="AO21" s="155">
        <v>534.58648499999981</v>
      </c>
      <c r="AP21" s="154">
        <v>497.79096400000026</v>
      </c>
      <c r="AQ21" s="154">
        <v>358</v>
      </c>
      <c r="AR21" s="154">
        <v>376.43638486231794</v>
      </c>
      <c r="AS21" s="154">
        <v>994</v>
      </c>
      <c r="AT21" s="154">
        <v>305.06404099999963</v>
      </c>
      <c r="AU21" s="154">
        <v>-113.06853866769961</v>
      </c>
      <c r="AV21" s="154">
        <v>386.16918243775581</v>
      </c>
      <c r="AW21" s="154">
        <v>-183</v>
      </c>
      <c r="AX21" s="154">
        <v>-401.50603964553375</v>
      </c>
      <c r="AY21" s="154">
        <v>253.18991598000139</v>
      </c>
      <c r="AZ21" s="154">
        <v>107.09032186473632</v>
      </c>
      <c r="BA21" s="154">
        <v>1609.5697065999993</v>
      </c>
      <c r="BB21" s="154">
        <v>741.06062299999758</v>
      </c>
      <c r="BC21" s="154">
        <v>-795.28181879095791</v>
      </c>
      <c r="BD21" s="154">
        <v>765.92826576184962</v>
      </c>
      <c r="BE21" s="194">
        <v>577.51926959000048</v>
      </c>
      <c r="BF21" s="154">
        <v>146.35121041920138</v>
      </c>
      <c r="BG21" s="154">
        <v>-3064.2919595099993</v>
      </c>
      <c r="BH21" s="154">
        <v>149.41187764499773</v>
      </c>
      <c r="BI21" s="154">
        <v>-1132.9781267821309</v>
      </c>
      <c r="BJ21" s="154">
        <v>-557.18371199438843</v>
      </c>
      <c r="BK21" s="154">
        <v>-751.53841182095857</v>
      </c>
      <c r="BL21" s="154">
        <v>-477.82033721965126</v>
      </c>
      <c r="BM21" s="154">
        <v>73.495058106025681</v>
      </c>
      <c r="BN21" s="154">
        <v>321.56569750999915</v>
      </c>
      <c r="BO21" s="154">
        <v>540.52513914000156</v>
      </c>
      <c r="BP21" s="154">
        <v>1756.9033129850068</v>
      </c>
      <c r="BQ21" s="154">
        <v>683.25691891674069</v>
      </c>
      <c r="BR21" s="154">
        <v>563.62605608000058</v>
      </c>
      <c r="BS21" s="154">
        <v>1068.6481850499995</v>
      </c>
      <c r="BT21" s="154">
        <v>1424.9267040771247</v>
      </c>
      <c r="BU21" s="154">
        <v>658.23951515817498</v>
      </c>
      <c r="BV21" s="154">
        <v>1221.0722204599988</v>
      </c>
      <c r="BW21" s="154">
        <v>2165.2715412905927</v>
      </c>
      <c r="BX21" s="154">
        <v>1767.3454714372274</v>
      </c>
      <c r="BY21" s="154">
        <v>2735.7519564917457</v>
      </c>
      <c r="BZ21" s="155">
        <v>4119.5588272212954</v>
      </c>
      <c r="CA21" s="155">
        <v>2730.4259631601672</v>
      </c>
      <c r="CB21" s="155">
        <v>5193.2230103453403</v>
      </c>
      <c r="CC21" s="164">
        <v>4744.9168395300003</v>
      </c>
      <c r="CD21" s="195">
        <v>947.1893558849988</v>
      </c>
      <c r="CE21" s="165">
        <v>422.90073466456442</v>
      </c>
      <c r="CF21" s="155">
        <v>392.11733584602553</v>
      </c>
      <c r="CG21" s="155">
        <v>1368.6729812191352</v>
      </c>
      <c r="CH21" s="155">
        <v>1160.2815614956999</v>
      </c>
      <c r="CI21" s="155">
        <v>1154.8966217115885</v>
      </c>
      <c r="CJ21" s="155">
        <v>677.83258499999647</v>
      </c>
      <c r="CK21" s="155">
        <v>731.2821870000007</v>
      </c>
      <c r="CL21" s="155">
        <v>2037.3118100000029</v>
      </c>
      <c r="CM21" s="155">
        <v>1662.048457249999</v>
      </c>
      <c r="CN21" s="155">
        <v>973.70386158016481</v>
      </c>
      <c r="CO21" s="155">
        <v>2010.138798</v>
      </c>
      <c r="CP21" s="155">
        <v>3198.5147429999997</v>
      </c>
      <c r="CQ21" s="195">
        <v>4464.1712102649981</v>
      </c>
      <c r="CR21" s="195">
        <v>5775.9492898478566</v>
      </c>
      <c r="CS21" s="165">
        <v>36.98101700000052</v>
      </c>
      <c r="CT21" s="164">
        <v>-622.76161852298355</v>
      </c>
      <c r="CU21" s="155">
        <v>-880.94648077995225</v>
      </c>
      <c r="CV21" s="154">
        <v>316.07203558999936</v>
      </c>
      <c r="CW21" s="155">
        <v>734.43112106975968</v>
      </c>
      <c r="CX21" s="155">
        <v>975.10685659500086</v>
      </c>
      <c r="CY21" s="155">
        <v>304.28352258999803</v>
      </c>
      <c r="CZ21" s="155">
        <v>1300.6234005900042</v>
      </c>
      <c r="DA21" s="155">
        <v>1310.9986835899981</v>
      </c>
      <c r="DB21" s="155">
        <v>1308.1900056424565</v>
      </c>
      <c r="DC21" s="155">
        <v>243.21957864244177</v>
      </c>
      <c r="DD21" s="155">
        <v>3881.2999505900007</v>
      </c>
      <c r="DE21" s="155">
        <v>6009.4564360450022</v>
      </c>
      <c r="DF21" s="155">
        <v>-11105.101902000002</v>
      </c>
      <c r="DG21" s="155">
        <v>643.713398403881</v>
      </c>
      <c r="DH21" s="157">
        <v>106.92632699999922</v>
      </c>
      <c r="DI21" s="157">
        <v>104.19722014746185</v>
      </c>
      <c r="DJ21" s="155">
        <v>-722.7233614922352</v>
      </c>
      <c r="DK21" s="155">
        <v>-3241.5334849999963</v>
      </c>
      <c r="DL21" s="155">
        <v>-4672.9951850000034</v>
      </c>
      <c r="DM21" s="155">
        <v>-5806.8529316380409</v>
      </c>
      <c r="DN21" s="155">
        <v>-5174.9005589999979</v>
      </c>
      <c r="DO21" s="155">
        <v>-7190.8152011380407</v>
      </c>
      <c r="DP21" s="155">
        <v>-8979.6166586057006</v>
      </c>
      <c r="DQ21" s="155">
        <v>-10477.75239583791</v>
      </c>
      <c r="DR21" s="155">
        <v>-10532.6735255611</v>
      </c>
      <c r="DS21" s="158">
        <f>+DS4-DS12</f>
        <v>-2966.3626149999909</v>
      </c>
      <c r="DT21" s="158">
        <f>+DT4-DT12</f>
        <v>-10953.136226000002</v>
      </c>
      <c r="DU21" s="158">
        <v>-748.27169499999991</v>
      </c>
      <c r="DV21" s="158">
        <v>-2226.1367830175523</v>
      </c>
      <c r="DW21" s="158">
        <v>-3510.5246779999979</v>
      </c>
      <c r="DX21" s="158">
        <v>-5509.8567160000021</v>
      </c>
      <c r="DY21" s="158">
        <v>-6110.4699209999999</v>
      </c>
      <c r="DZ21" s="158">
        <f>+DZ4-DZ12</f>
        <v>-7581.8487999999961</v>
      </c>
      <c r="EA21" s="158">
        <f>+EA4-EA12</f>
        <v>-8728.0902950000018</v>
      </c>
      <c r="EB21" s="158"/>
      <c r="EC21" s="158"/>
      <c r="ED21" s="158"/>
      <c r="EE21" s="158"/>
      <c r="EF21" s="159">
        <f>EA21/DT21*100</f>
        <v>79.685764103633645</v>
      </c>
      <c r="EG21" s="160">
        <f t="shared" si="7"/>
        <v>50.306722036060172</v>
      </c>
      <c r="EH21" s="160">
        <f t="shared" si="0"/>
        <v>50.306722036060172</v>
      </c>
      <c r="EI21" s="155">
        <f>+EI4-EI12</f>
        <v>-6175.1692187000008</v>
      </c>
      <c r="EJ21" s="161">
        <f t="shared" si="1"/>
        <v>-1406.6795812999953</v>
      </c>
      <c r="EK21" s="162">
        <f t="shared" si="2"/>
        <v>22.779611885617769</v>
      </c>
      <c r="EL21" s="965">
        <f t="shared" si="6"/>
        <v>-2921.2373633619609</v>
      </c>
    </row>
    <row r="22" spans="1:146" ht="17.149999999999999" customHeight="1">
      <c r="A22" s="197" t="s">
        <v>125</v>
      </c>
      <c r="B22" s="154">
        <v>14409.951012972948</v>
      </c>
      <c r="C22" s="154">
        <v>1888.9956649999999</v>
      </c>
      <c r="D22" s="154">
        <v>2133.5794259999998</v>
      </c>
      <c r="E22" s="154">
        <v>4454</v>
      </c>
      <c r="F22" s="154">
        <v>4741.388766</v>
      </c>
      <c r="G22" s="154">
        <v>5688.4097190000002</v>
      </c>
      <c r="H22" s="154">
        <v>10681.294146</v>
      </c>
      <c r="I22" s="154">
        <v>8087.0345509999988</v>
      </c>
      <c r="J22" s="154">
        <v>9726.3176179999991</v>
      </c>
      <c r="K22" s="154">
        <v>15554.462108</v>
      </c>
      <c r="L22" s="154">
        <v>12584.035416000001</v>
      </c>
      <c r="M22" s="154">
        <v>13853.539434</v>
      </c>
      <c r="N22" s="154">
        <v>17741.993114000001</v>
      </c>
      <c r="O22" s="154">
        <v>17968.084741162296</v>
      </c>
      <c r="P22" s="154">
        <v>-99.775093627050012</v>
      </c>
      <c r="Q22" s="154">
        <v>28.978443433300015</v>
      </c>
      <c r="R22" s="154">
        <v>2505</v>
      </c>
      <c r="S22" s="154">
        <v>2931.65615207374</v>
      </c>
      <c r="T22" s="154">
        <v>4858.958090835682</v>
      </c>
      <c r="U22" s="154">
        <v>4932.5010089999996</v>
      </c>
      <c r="V22" s="154">
        <v>5567.7015256999994</v>
      </c>
      <c r="W22" s="154">
        <v>6150.9733637429672</v>
      </c>
      <c r="X22" s="154">
        <v>8074</v>
      </c>
      <c r="Y22" s="154">
        <v>9251.3425909500002</v>
      </c>
      <c r="Z22" s="154">
        <v>10196.711482950001</v>
      </c>
      <c r="AA22" s="154">
        <v>16600.98797595</v>
      </c>
      <c r="AB22" s="154">
        <v>14164.525444612967</v>
      </c>
      <c r="AC22" s="154">
        <v>617.41469899999993</v>
      </c>
      <c r="AD22" s="154">
        <v>1142.830522</v>
      </c>
      <c r="AE22" s="154">
        <v>1802.1524322906539</v>
      </c>
      <c r="AF22" s="154">
        <v>2309.106718</v>
      </c>
      <c r="AG22" s="154">
        <v>2622.3247999999999</v>
      </c>
      <c r="AH22" s="154">
        <v>3638.4389751435538</v>
      </c>
      <c r="AI22" s="154">
        <v>3740.5370890000004</v>
      </c>
      <c r="AJ22" s="154">
        <v>5456.8495163501711</v>
      </c>
      <c r="AK22" s="154">
        <v>7090.8016836803999</v>
      </c>
      <c r="AL22" s="154">
        <f>+AL23-AL24</f>
        <v>0</v>
      </c>
      <c r="AM22" s="154">
        <f>+AM23-AM24</f>
        <v>0</v>
      </c>
      <c r="AN22" s="154">
        <v>9540.7832026634405</v>
      </c>
      <c r="AO22" s="154">
        <v>13171.665000000001</v>
      </c>
      <c r="AP22" s="154">
        <v>30.930285999999999</v>
      </c>
      <c r="AQ22" s="154">
        <v>103</v>
      </c>
      <c r="AR22" s="154">
        <v>914.78068637256001</v>
      </c>
      <c r="AS22" s="154">
        <v>2082</v>
      </c>
      <c r="AT22" s="154">
        <v>1923.5266234972389</v>
      </c>
      <c r="AU22" s="154">
        <v>2893.6271590000001</v>
      </c>
      <c r="AV22" s="154">
        <v>3699.8773349425487</v>
      </c>
      <c r="AW22" s="154">
        <v>3865</v>
      </c>
      <c r="AX22" s="154">
        <v>5163.9947649779624</v>
      </c>
      <c r="AY22" s="154">
        <v>5356.0543076359008</v>
      </c>
      <c r="AZ22" s="154">
        <v>5911.9111380000004</v>
      </c>
      <c r="BA22" s="154">
        <v>8838.6435029999993</v>
      </c>
      <c r="BB22" s="154">
        <v>9673.7356690000015</v>
      </c>
      <c r="BC22" s="154">
        <v>4960.4604203884701</v>
      </c>
      <c r="BD22" s="154">
        <v>161.89916601184999</v>
      </c>
      <c r="BE22" s="194">
        <v>272.09172101184998</v>
      </c>
      <c r="BF22" s="154">
        <v>611.67824464159003</v>
      </c>
      <c r="BG22" s="154">
        <v>1169.610827</v>
      </c>
      <c r="BH22" s="154">
        <v>1393.2868763949998</v>
      </c>
      <c r="BI22" s="154">
        <v>1962.0293117780598</v>
      </c>
      <c r="BJ22" s="154">
        <v>2084.7552945749999</v>
      </c>
      <c r="BK22" s="154">
        <v>2234.3443105749998</v>
      </c>
      <c r="BL22" s="154">
        <v>3140.4489299693273</v>
      </c>
      <c r="BM22" s="154">
        <v>3025.106384915</v>
      </c>
      <c r="BN22" s="154">
        <v>3307.6684814900004</v>
      </c>
      <c r="BO22" s="154">
        <v>5571.8098907399999</v>
      </c>
      <c r="BP22" s="154">
        <v>7399.7347410000002</v>
      </c>
      <c r="BQ22" s="154">
        <v>6043.3864890000023</v>
      </c>
      <c r="BR22" s="198">
        <v>-41.83996599999999</v>
      </c>
      <c r="BS22" s="154">
        <v>13.710125000000005</v>
      </c>
      <c r="BT22" s="154">
        <v>429.24776866127002</v>
      </c>
      <c r="BU22" s="154">
        <v>861.07973676589097</v>
      </c>
      <c r="BV22" s="154">
        <v>585.86220975000003</v>
      </c>
      <c r="BW22" s="154">
        <v>1480.0851957053442</v>
      </c>
      <c r="BX22" s="154">
        <v>2048.5642582191613</v>
      </c>
      <c r="BY22" s="154">
        <v>3024.068570890553</v>
      </c>
      <c r="BZ22" s="155">
        <v>3049.7710980055294</v>
      </c>
      <c r="CA22" s="155">
        <v>1959.5854708700001</v>
      </c>
      <c r="CB22" s="155">
        <v>2269.2529625000002</v>
      </c>
      <c r="CC22" s="164">
        <v>9890.1200425000025</v>
      </c>
      <c r="CD22" s="164">
        <v>6644.1087768400021</v>
      </c>
      <c r="CE22" s="165">
        <v>49.34418660490001</v>
      </c>
      <c r="CF22" s="155">
        <v>94.668683155420013</v>
      </c>
      <c r="CG22" s="155">
        <v>353.93691887524318</v>
      </c>
      <c r="CH22" s="155">
        <v>380.14752458355321</v>
      </c>
      <c r="CI22" s="155">
        <v>527.41600299999993</v>
      </c>
      <c r="CJ22" s="155">
        <v>1334.4735559413348</v>
      </c>
      <c r="CK22" s="155">
        <v>1068.741387099735</v>
      </c>
      <c r="CL22" s="155">
        <v>1154.8529403478151</v>
      </c>
      <c r="CM22" s="155">
        <v>3465.5194493018148</v>
      </c>
      <c r="CN22" s="155">
        <v>3308.1282719999995</v>
      </c>
      <c r="CO22" s="155">
        <v>3968.3592542352658</v>
      </c>
      <c r="CP22" s="155">
        <v>8011.0057430000006</v>
      </c>
      <c r="CQ22" s="164">
        <v>10329.816956655</v>
      </c>
      <c r="CR22" s="164">
        <v>10097.540977659301</v>
      </c>
      <c r="CS22" s="165">
        <v>55.636274</v>
      </c>
      <c r="CT22" s="164">
        <v>232.93859099999997</v>
      </c>
      <c r="CU22" s="155">
        <v>580.63785833975999</v>
      </c>
      <c r="CV22" s="154">
        <v>978.67446200000006</v>
      </c>
      <c r="CW22" s="155">
        <v>1424.9540219115099</v>
      </c>
      <c r="CX22" s="155">
        <v>1676.37231607178</v>
      </c>
      <c r="CY22" s="155">
        <v>1980.2245074308298</v>
      </c>
      <c r="CZ22" s="155">
        <v>2396.5694959763605</v>
      </c>
      <c r="DA22" s="155">
        <v>2671.1932283513497</v>
      </c>
      <c r="DB22" s="155">
        <v>2917.8094405275506</v>
      </c>
      <c r="DC22" s="155">
        <v>3660.7511878044097</v>
      </c>
      <c r="DD22" s="155">
        <v>8560.7573629999988</v>
      </c>
      <c r="DE22" s="155">
        <v>9578.8636887450011</v>
      </c>
      <c r="DF22" s="155">
        <v>9850.5658870000007</v>
      </c>
      <c r="DG22" s="155">
        <v>89.039592164759995</v>
      </c>
      <c r="DH22" s="157">
        <v>160.06713216476001</v>
      </c>
      <c r="DI22" s="155">
        <v>482.75970456026994</v>
      </c>
      <c r="DJ22" s="155">
        <v>507.86574856026994</v>
      </c>
      <c r="DK22" s="155">
        <v>582.81855195241997</v>
      </c>
      <c r="DL22" s="155">
        <v>843.47908561057602</v>
      </c>
      <c r="DM22" s="155">
        <v>1000.9987439023478</v>
      </c>
      <c r="DN22" s="155">
        <v>1164.9119270251476</v>
      </c>
      <c r="DO22" s="155">
        <v>1395.4761160000003</v>
      </c>
      <c r="DP22" s="155">
        <v>1725.399756</v>
      </c>
      <c r="DQ22" s="155">
        <v>2097.9208410000001</v>
      </c>
      <c r="DR22" s="155">
        <v>4491.9153270000006</v>
      </c>
      <c r="DS22" s="158">
        <f>+DS23-DS24</f>
        <v>15058.640410999998</v>
      </c>
      <c r="DT22" s="158">
        <f>+DT23-DT24</f>
        <v>9862.7330409999995</v>
      </c>
      <c r="DU22" s="158">
        <v>-52.517220999999999</v>
      </c>
      <c r="DV22" s="158">
        <v>76.602642000000017</v>
      </c>
      <c r="DW22" s="158">
        <v>130.39214400000003</v>
      </c>
      <c r="DX22" s="158">
        <v>218.681264</v>
      </c>
      <c r="DY22" s="158">
        <v>236.83529099999998</v>
      </c>
      <c r="DZ22" s="158">
        <f>+DZ23-DZ24</f>
        <v>502.26048900000001</v>
      </c>
      <c r="EA22" s="158">
        <f>+EA23-EA24</f>
        <v>667.28757299999995</v>
      </c>
      <c r="EB22" s="158">
        <f t="shared" ref="EB22:EE22" si="12">+EB23-EB24</f>
        <v>0</v>
      </c>
      <c r="EC22" s="158">
        <f t="shared" si="12"/>
        <v>0</v>
      </c>
      <c r="ED22" s="158">
        <f t="shared" si="12"/>
        <v>0</v>
      </c>
      <c r="EE22" s="158">
        <f t="shared" si="12"/>
        <v>0</v>
      </c>
      <c r="EF22" s="159">
        <f t="shared" si="4"/>
        <v>6.7657470827410986</v>
      </c>
      <c r="EG22" s="160">
        <f t="shared" si="7"/>
        <v>-33.337821144649006</v>
      </c>
      <c r="EH22" s="160">
        <f t="shared" si="0"/>
        <v>-33.337821144649006</v>
      </c>
      <c r="EI22" s="155">
        <f>+EI23-EI24</f>
        <v>1614.650451</v>
      </c>
      <c r="EJ22" s="161">
        <f t="shared" si="1"/>
        <v>-1112.389962</v>
      </c>
      <c r="EK22" s="162">
        <f t="shared" si="2"/>
        <v>-68.893546668944012</v>
      </c>
      <c r="EL22" s="989">
        <f t="shared" si="6"/>
        <v>-333.71117090234782</v>
      </c>
      <c r="EM22" s="177"/>
    </row>
    <row r="23" spans="1:146" ht="14.5" customHeight="1">
      <c r="A23" s="199" t="s">
        <v>126</v>
      </c>
      <c r="B23" s="167">
        <v>14694.381012972948</v>
      </c>
      <c r="C23" s="167">
        <v>1888.9956649999999</v>
      </c>
      <c r="D23" s="167">
        <v>2133.5794259999998</v>
      </c>
      <c r="E23" s="167">
        <v>4454</v>
      </c>
      <c r="F23" s="167">
        <v>4741.388766</v>
      </c>
      <c r="G23" s="167">
        <v>5688.4097190000002</v>
      </c>
      <c r="H23" s="167">
        <v>10681.294146</v>
      </c>
      <c r="I23" s="167">
        <v>8087.0345509999988</v>
      </c>
      <c r="J23" s="167">
        <v>9726.3176179999991</v>
      </c>
      <c r="K23" s="167">
        <v>15554.462108</v>
      </c>
      <c r="L23" s="167">
        <v>12584.035416000001</v>
      </c>
      <c r="M23" s="167">
        <v>13853.539434</v>
      </c>
      <c r="N23" s="167">
        <v>17743.608951000002</v>
      </c>
      <c r="O23" s="167">
        <v>18318.084741162296</v>
      </c>
      <c r="P23" s="167">
        <v>251.22490637294999</v>
      </c>
      <c r="Q23" s="167">
        <v>380.97844343330001</v>
      </c>
      <c r="R23" s="167">
        <v>2504.9985149999998</v>
      </c>
      <c r="S23" s="167">
        <v>3285.65615207374</v>
      </c>
      <c r="T23" s="167">
        <v>5213.958090835682</v>
      </c>
      <c r="U23" s="167">
        <v>4932.5010089999996</v>
      </c>
      <c r="V23" s="167">
        <v>5924.7015256999994</v>
      </c>
      <c r="W23" s="167">
        <v>6508.9733637429672</v>
      </c>
      <c r="X23" s="167">
        <v>8074</v>
      </c>
      <c r="Y23" s="167">
        <v>9611.3425909500002</v>
      </c>
      <c r="Z23" s="167">
        <v>10557.711482950001</v>
      </c>
      <c r="AA23" s="167">
        <v>16614.626389950001</v>
      </c>
      <c r="AB23" s="167">
        <v>14165.225444612968</v>
      </c>
      <c r="AC23" s="167">
        <v>619.11469899999997</v>
      </c>
      <c r="AD23" s="167">
        <v>1145.530522</v>
      </c>
      <c r="AE23" s="167">
        <v>1874.9167912906539</v>
      </c>
      <c r="AF23" s="167">
        <v>2313.8067179999998</v>
      </c>
      <c r="AG23" s="167">
        <v>2628.0247999999997</v>
      </c>
      <c r="AH23" s="167">
        <v>3757.9672301435539</v>
      </c>
      <c r="AI23" s="167">
        <v>3748.2370890000002</v>
      </c>
      <c r="AJ23" s="167">
        <v>5465.549516350171</v>
      </c>
      <c r="AK23" s="167">
        <v>7163.5660426803997</v>
      </c>
      <c r="AL23" s="167"/>
      <c r="AM23" s="167"/>
      <c r="AN23" s="167">
        <v>9850.392804663441</v>
      </c>
      <c r="AO23" s="167">
        <v>13300</v>
      </c>
      <c r="AP23" s="167">
        <v>30.930285999999999</v>
      </c>
      <c r="AQ23" s="167">
        <v>103</v>
      </c>
      <c r="AR23" s="167">
        <v>916.67034037256008</v>
      </c>
      <c r="AS23" s="167">
        <v>2083.7244373407902</v>
      </c>
      <c r="AT23" s="167">
        <v>1925.830723497239</v>
      </c>
      <c r="AU23" s="167">
        <v>2914.562621</v>
      </c>
      <c r="AV23" s="167">
        <v>3705.8773349425487</v>
      </c>
      <c r="AW23" s="167">
        <v>3892.5562808138593</v>
      </c>
      <c r="AX23" s="167">
        <v>5344.5421769779623</v>
      </c>
      <c r="AY23" s="167">
        <v>5390.0543076359008</v>
      </c>
      <c r="AZ23" s="167">
        <v>5948.43876</v>
      </c>
      <c r="BA23" s="167">
        <v>9122.4892009999985</v>
      </c>
      <c r="BB23" s="167">
        <v>9809.1454740000008</v>
      </c>
      <c r="BC23" s="167">
        <v>5040.3397403884701</v>
      </c>
      <c r="BD23" s="167">
        <v>164.20326601184999</v>
      </c>
      <c r="BE23" s="168">
        <v>284.91072101185</v>
      </c>
      <c r="BF23" s="167">
        <v>624.26979464159001</v>
      </c>
      <c r="BG23" s="167">
        <v>1159.1153429999999</v>
      </c>
      <c r="BH23" s="167">
        <v>1409.1349263949999</v>
      </c>
      <c r="BI23" s="167">
        <v>1984.8653617780599</v>
      </c>
      <c r="BJ23" s="167">
        <v>2086.4057945750001</v>
      </c>
      <c r="BK23" s="167">
        <v>2288.4927605749999</v>
      </c>
      <c r="BL23" s="167">
        <v>3176.6547169693272</v>
      </c>
      <c r="BM23" s="167">
        <v>3191.842176915</v>
      </c>
      <c r="BN23" s="167">
        <v>3474.4042734900004</v>
      </c>
      <c r="BO23" s="167">
        <v>5609.98668774</v>
      </c>
      <c r="BP23" s="167">
        <v>7883.1684850000001</v>
      </c>
      <c r="BQ23" s="167">
        <v>6353.3864890000023</v>
      </c>
      <c r="BR23" s="167">
        <v>111.119454</v>
      </c>
      <c r="BS23" s="167">
        <v>167.93904499999999</v>
      </c>
      <c r="BT23" s="167">
        <v>592.07260866127001</v>
      </c>
      <c r="BU23" s="167">
        <v>1024.6940767658909</v>
      </c>
      <c r="BV23" s="167">
        <v>750.20627875000002</v>
      </c>
      <c r="BW23" s="167">
        <v>1645.6377647053441</v>
      </c>
      <c r="BX23" s="167">
        <v>2212.908327219161</v>
      </c>
      <c r="BY23" s="167">
        <v>3188.4126398905532</v>
      </c>
      <c r="BZ23" s="169">
        <v>3216.5068900055294</v>
      </c>
      <c r="CA23" s="169">
        <v>2013.73392087</v>
      </c>
      <c r="CB23" s="169">
        <v>2323.4014125000003</v>
      </c>
      <c r="CC23" s="170">
        <v>10058.583077500003</v>
      </c>
      <c r="CD23" s="170">
        <v>7640.739302840002</v>
      </c>
      <c r="CE23" s="171">
        <v>49.961186604900007</v>
      </c>
      <c r="CF23" s="169">
        <v>108.10468315542001</v>
      </c>
      <c r="CG23" s="169">
        <v>367.81691887524318</v>
      </c>
      <c r="CH23" s="169">
        <v>394.5202745835532</v>
      </c>
      <c r="CI23" s="169">
        <v>572.98420299999998</v>
      </c>
      <c r="CJ23" s="169">
        <v>1381.6925059413347</v>
      </c>
      <c r="CK23" s="169">
        <v>1117.6108370997349</v>
      </c>
      <c r="CL23" s="169">
        <v>1204.365390347815</v>
      </c>
      <c r="CM23" s="169">
        <v>3515.8293993018146</v>
      </c>
      <c r="CN23" s="169">
        <v>3358.9132219999997</v>
      </c>
      <c r="CO23" s="169">
        <v>4020.0137042352658</v>
      </c>
      <c r="CP23" s="169">
        <v>8065.1541930000003</v>
      </c>
      <c r="CQ23" s="170">
        <v>12326.075472655</v>
      </c>
      <c r="CR23" s="170">
        <v>11093.7994936593</v>
      </c>
      <c r="CS23" s="171">
        <v>57.354674000000003</v>
      </c>
      <c r="CT23" s="170">
        <v>234.90549099999998</v>
      </c>
      <c r="CU23" s="169">
        <v>583.01675833976003</v>
      </c>
      <c r="CV23" s="167">
        <v>981.36336200000005</v>
      </c>
      <c r="CW23" s="169">
        <v>1428.37392191151</v>
      </c>
      <c r="CX23" s="169">
        <v>1749.0345520717799</v>
      </c>
      <c r="CY23" s="169">
        <v>2054.3952434308299</v>
      </c>
      <c r="CZ23" s="169">
        <v>2475.9289819763603</v>
      </c>
      <c r="DA23" s="169">
        <v>2753.1262143513495</v>
      </c>
      <c r="DB23" s="169">
        <v>3000.7424265275504</v>
      </c>
      <c r="DC23" s="169">
        <v>3744.6841738044095</v>
      </c>
      <c r="DD23" s="169">
        <v>8900.125485999999</v>
      </c>
      <c r="DE23" s="169">
        <v>10803.139777745</v>
      </c>
      <c r="DF23" s="169">
        <v>10301.162644</v>
      </c>
      <c r="DG23" s="169">
        <v>89.983092164759995</v>
      </c>
      <c r="DH23" s="200">
        <v>178.78956216476001</v>
      </c>
      <c r="DI23" s="169">
        <v>528.13713456026994</v>
      </c>
      <c r="DJ23" s="169">
        <v>553.24317856026994</v>
      </c>
      <c r="DK23" s="169">
        <v>628.19598195241997</v>
      </c>
      <c r="DL23" s="169">
        <v>889.03301561057606</v>
      </c>
      <c r="DM23" s="169">
        <v>1049.5144239023477</v>
      </c>
      <c r="DN23" s="169">
        <v>1223.1698070251477</v>
      </c>
      <c r="DO23" s="169">
        <v>1478.9180660000002</v>
      </c>
      <c r="DP23" s="169">
        <v>1808.846706</v>
      </c>
      <c r="DQ23" s="169">
        <v>2193.517621</v>
      </c>
      <c r="DR23" s="169">
        <v>4591.8442670000004</v>
      </c>
      <c r="DS23" s="172">
        <f>+'Mapa II_ Despesas'!DS21</f>
        <v>16891.629069999999</v>
      </c>
      <c r="DT23" s="172">
        <f>+'Mapa II_ Despesas'!DT22</f>
        <v>11352.788653</v>
      </c>
      <c r="DU23" s="172">
        <v>32.316853999999999</v>
      </c>
      <c r="DV23" s="172">
        <v>161.42721700000001</v>
      </c>
      <c r="DW23" s="172">
        <v>455.47124600000001</v>
      </c>
      <c r="DX23" s="172">
        <v>581.74810100000002</v>
      </c>
      <c r="DY23" s="172">
        <v>761.07856600000002</v>
      </c>
      <c r="DZ23" s="172">
        <f>+'Mapa II_ Despesas'!DZ22</f>
        <v>1029.819344</v>
      </c>
      <c r="EA23" s="172">
        <f>+'Mapa II_ Despesas'!EA22</f>
        <v>1201.1576379999999</v>
      </c>
      <c r="EB23" s="172"/>
      <c r="EC23" s="172"/>
      <c r="ED23" s="172"/>
      <c r="EE23" s="172"/>
      <c r="EF23" s="173">
        <f t="shared" si="4"/>
        <v>10.580287141015273</v>
      </c>
      <c r="EG23" s="174">
        <f t="shared" si="7"/>
        <v>14.448892806428159</v>
      </c>
      <c r="EH23" s="174">
        <f t="shared" si="0"/>
        <v>14.448892806428159</v>
      </c>
      <c r="EI23" s="172">
        <v>1614.650451</v>
      </c>
      <c r="EJ23" s="175">
        <f t="shared" si="1"/>
        <v>-584.83110699999997</v>
      </c>
      <c r="EK23" s="176">
        <f t="shared" si="2"/>
        <v>-36.220291929921864</v>
      </c>
      <c r="EL23" s="965">
        <f t="shared" si="6"/>
        <v>151.64321409765216</v>
      </c>
    </row>
    <row r="24" spans="1:146" ht="15" customHeight="1">
      <c r="A24" s="199" t="s">
        <v>127</v>
      </c>
      <c r="B24" s="167">
        <v>284.43</v>
      </c>
      <c r="C24" s="167">
        <v>0</v>
      </c>
      <c r="D24" s="167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1.615837</v>
      </c>
      <c r="O24" s="167">
        <v>350</v>
      </c>
      <c r="P24" s="167">
        <v>351</v>
      </c>
      <c r="Q24" s="167">
        <v>352</v>
      </c>
      <c r="R24" s="167">
        <v>0</v>
      </c>
      <c r="S24" s="167">
        <v>354</v>
      </c>
      <c r="T24" s="167">
        <v>355</v>
      </c>
      <c r="U24" s="167">
        <v>0</v>
      </c>
      <c r="V24" s="167">
        <v>357</v>
      </c>
      <c r="W24" s="167">
        <v>358</v>
      </c>
      <c r="X24" s="167">
        <v>0</v>
      </c>
      <c r="Y24" s="167">
        <v>360</v>
      </c>
      <c r="Z24" s="167">
        <v>361</v>
      </c>
      <c r="AA24" s="167">
        <v>13.638413999999999</v>
      </c>
      <c r="AB24" s="167">
        <v>0.7</v>
      </c>
      <c r="AC24" s="167">
        <v>1.7</v>
      </c>
      <c r="AD24" s="167">
        <v>2.7</v>
      </c>
      <c r="AE24" s="167">
        <v>72.764358999999999</v>
      </c>
      <c r="AF24" s="167">
        <v>4.7</v>
      </c>
      <c r="AG24" s="167">
        <v>5.7</v>
      </c>
      <c r="AH24" s="167">
        <v>119.528255</v>
      </c>
      <c r="AI24" s="167">
        <v>7.7</v>
      </c>
      <c r="AJ24" s="167">
        <v>8.6999999999999993</v>
      </c>
      <c r="AK24" s="167">
        <v>72.764358999999999</v>
      </c>
      <c r="AL24" s="167"/>
      <c r="AM24" s="167"/>
      <c r="AN24" s="167">
        <v>309.609602</v>
      </c>
      <c r="AO24" s="167">
        <v>128.33500000000001</v>
      </c>
      <c r="AP24" s="167">
        <v>0</v>
      </c>
      <c r="AQ24" s="167">
        <v>0</v>
      </c>
      <c r="AR24" s="167">
        <v>1.8896539999999999</v>
      </c>
      <c r="AS24" s="167">
        <v>2.3041</v>
      </c>
      <c r="AT24" s="167">
        <v>2.3041</v>
      </c>
      <c r="AU24" s="167">
        <v>20.935462000000001</v>
      </c>
      <c r="AV24" s="167">
        <v>6</v>
      </c>
      <c r="AW24" s="167">
        <v>27</v>
      </c>
      <c r="AX24" s="167">
        <v>180.54741200000001</v>
      </c>
      <c r="AY24" s="167">
        <v>34</v>
      </c>
      <c r="AZ24" s="167">
        <v>36.527622000000001</v>
      </c>
      <c r="BA24" s="167">
        <v>283.84569800000003</v>
      </c>
      <c r="BB24" s="167">
        <v>135.40980500000001</v>
      </c>
      <c r="BC24" s="167">
        <v>79.879320000000007</v>
      </c>
      <c r="BD24" s="167">
        <v>2.3041</v>
      </c>
      <c r="BE24" s="168">
        <v>12.819000000000001</v>
      </c>
      <c r="BF24" s="167">
        <v>12.59155</v>
      </c>
      <c r="BG24" s="167">
        <v>47.591479</v>
      </c>
      <c r="BH24" s="167">
        <v>15.848050000000001</v>
      </c>
      <c r="BI24" s="167">
        <v>22.83605</v>
      </c>
      <c r="BJ24" s="167">
        <v>1.6505000000000001</v>
      </c>
      <c r="BK24" s="167">
        <v>54.148449999999997</v>
      </c>
      <c r="BL24" s="167">
        <v>36.205787000000001</v>
      </c>
      <c r="BM24" s="167">
        <v>166.735792</v>
      </c>
      <c r="BN24" s="167">
        <v>166.735792</v>
      </c>
      <c r="BO24" s="167">
        <v>38.176797000000001</v>
      </c>
      <c r="BP24" s="167">
        <v>483.43374399999999</v>
      </c>
      <c r="BQ24" s="167">
        <v>310</v>
      </c>
      <c r="BR24" s="167">
        <v>152.95941999999999</v>
      </c>
      <c r="BS24" s="167">
        <v>154.22891999999999</v>
      </c>
      <c r="BT24" s="167">
        <v>162.82483999999999</v>
      </c>
      <c r="BU24" s="167">
        <v>163.61434</v>
      </c>
      <c r="BV24" s="167">
        <v>164.34406899999999</v>
      </c>
      <c r="BW24" s="167">
        <v>165.55256900000001</v>
      </c>
      <c r="BX24" s="167">
        <v>164.34406899999999</v>
      </c>
      <c r="BY24" s="167">
        <v>164.34406899999999</v>
      </c>
      <c r="BZ24" s="169">
        <v>166.735792</v>
      </c>
      <c r="CA24" s="169">
        <v>54.148449999999997</v>
      </c>
      <c r="CB24" s="169">
        <v>54.148449999999997</v>
      </c>
      <c r="CC24" s="170">
        <v>168.46303499999999</v>
      </c>
      <c r="CD24" s="170">
        <v>996.63052600000003</v>
      </c>
      <c r="CE24" s="171">
        <v>0.61699999999999999</v>
      </c>
      <c r="CF24" s="169">
        <v>13.436</v>
      </c>
      <c r="CG24" s="169">
        <v>13.88</v>
      </c>
      <c r="CH24" s="169">
        <v>14.37275</v>
      </c>
      <c r="CI24" s="169">
        <v>45.568199999999997</v>
      </c>
      <c r="CJ24" s="169">
        <v>47.21895</v>
      </c>
      <c r="CK24" s="169">
        <v>48.869450000000001</v>
      </c>
      <c r="CL24" s="169">
        <v>49.512450000000001</v>
      </c>
      <c r="CM24" s="169">
        <v>50.309950000000001</v>
      </c>
      <c r="CN24" s="169">
        <v>50.784950000000002</v>
      </c>
      <c r="CO24" s="169">
        <v>51.654449999999997</v>
      </c>
      <c r="CP24" s="169">
        <v>54.148449999999997</v>
      </c>
      <c r="CQ24" s="170">
        <v>1996.2585160000001</v>
      </c>
      <c r="CR24" s="170">
        <v>996.2585160000001</v>
      </c>
      <c r="CS24" s="171">
        <v>1.7183999999999999</v>
      </c>
      <c r="CT24" s="170">
        <v>1.9669000000000001</v>
      </c>
      <c r="CU24" s="169">
        <v>2.3788999999999998</v>
      </c>
      <c r="CV24" s="167">
        <v>2.6888999999999998</v>
      </c>
      <c r="CW24" s="169">
        <v>3.4199000000000002</v>
      </c>
      <c r="CX24" s="169">
        <v>72.662235999999993</v>
      </c>
      <c r="CY24" s="169">
        <v>74.170736000000005</v>
      </c>
      <c r="CZ24" s="169">
        <v>79.359486000000004</v>
      </c>
      <c r="DA24" s="169">
        <v>81.932986</v>
      </c>
      <c r="DB24" s="169">
        <v>82.932986</v>
      </c>
      <c r="DC24" s="169">
        <v>83.932986</v>
      </c>
      <c r="DD24" s="169">
        <v>339.36812300000003</v>
      </c>
      <c r="DE24" s="169">
        <v>1224.276089</v>
      </c>
      <c r="DF24" s="169">
        <v>450.59675700000003</v>
      </c>
      <c r="DG24" s="200">
        <v>0.94350000000000001</v>
      </c>
      <c r="DH24" s="169">
        <v>18.722429999999999</v>
      </c>
      <c r="DI24" s="169">
        <v>45.377429999999997</v>
      </c>
      <c r="DJ24" s="169">
        <v>45.377429999999997</v>
      </c>
      <c r="DK24" s="169">
        <v>45.377429999999997</v>
      </c>
      <c r="DL24" s="169">
        <v>45.51643</v>
      </c>
      <c r="DM24" s="169">
        <v>48.515680000000003</v>
      </c>
      <c r="DN24" s="169">
        <v>58.25788</v>
      </c>
      <c r="DO24" s="169">
        <v>83.441950000000006</v>
      </c>
      <c r="DP24" s="169">
        <v>83.446950000000001</v>
      </c>
      <c r="DQ24" s="169">
        <v>95.596779999999995</v>
      </c>
      <c r="DR24" s="169">
        <v>99.928939999999997</v>
      </c>
      <c r="DS24" s="172">
        <f>1832988659/1000000</f>
        <v>1832.9886590000001</v>
      </c>
      <c r="DT24" s="172">
        <f>+'Mapa I_ Receitas'!DT47</f>
        <v>1490.0556120000001</v>
      </c>
      <c r="DU24" s="172">
        <v>84.834074999999999</v>
      </c>
      <c r="DV24" s="172">
        <v>84.824574999999996</v>
      </c>
      <c r="DW24" s="172">
        <v>325.07910199999998</v>
      </c>
      <c r="DX24" s="172">
        <v>363.06683700000002</v>
      </c>
      <c r="DY24" s="172">
        <v>524.24327500000004</v>
      </c>
      <c r="DZ24" s="172">
        <f>+'Mapa I_ Receitas'!DZ47</f>
        <v>527.55885499999999</v>
      </c>
      <c r="EA24" s="172">
        <f>+'AI_Mapa Cons. REC_2021'!$O$170/1000000</f>
        <v>533.87006499999995</v>
      </c>
      <c r="EB24" s="172"/>
      <c r="EC24" s="172"/>
      <c r="ED24" s="172"/>
      <c r="EE24" s="172"/>
      <c r="EF24" s="173">
        <f t="shared" si="4"/>
        <v>35.828868446287224</v>
      </c>
      <c r="EG24" s="174">
        <f t="shared" si="7"/>
        <v>1000.4072600858112</v>
      </c>
      <c r="EH24" s="174"/>
      <c r="EI24" s="169"/>
      <c r="EJ24" s="175"/>
      <c r="EK24" s="176"/>
      <c r="EL24" s="965">
        <f t="shared" si="6"/>
        <v>485.35438499999998</v>
      </c>
    </row>
    <row r="25" spans="1:146" ht="15" customHeight="1">
      <c r="A25" s="153" t="s">
        <v>128</v>
      </c>
      <c r="B25" s="155">
        <v>-11983.71017154294</v>
      </c>
      <c r="C25" s="155">
        <v>-575.33863185098107</v>
      </c>
      <c r="D25" s="155">
        <v>-24403.754488212839</v>
      </c>
      <c r="E25" s="155">
        <v>-2643.1194410000007</v>
      </c>
      <c r="F25" s="155">
        <v>-3607.2887881625011</v>
      </c>
      <c r="G25" s="155">
        <v>-4191.6593860225012</v>
      </c>
      <c r="H25" s="155">
        <v>-7957</v>
      </c>
      <c r="I25" s="155">
        <v>-6502.7874840224995</v>
      </c>
      <c r="J25" s="155">
        <v>-8630.0648381720293</v>
      </c>
      <c r="K25" s="155">
        <v>-11607</v>
      </c>
      <c r="L25" s="155">
        <v>-11223.632494459931</v>
      </c>
      <c r="M25" s="155">
        <v>-11966.034202459932</v>
      </c>
      <c r="N25" s="155">
        <v>-15463.007052984143</v>
      </c>
      <c r="O25" s="155">
        <v>-13107.983754750298</v>
      </c>
      <c r="P25" s="155">
        <v>1520.1360276370501</v>
      </c>
      <c r="Q25" s="155">
        <v>1537.1247325767004</v>
      </c>
      <c r="R25" s="155">
        <v>-1524</v>
      </c>
      <c r="S25" s="155">
        <v>-2081.6107376137429</v>
      </c>
      <c r="T25" s="155">
        <v>-4252.5169548256854</v>
      </c>
      <c r="U25" s="155">
        <v>-4375</v>
      </c>
      <c r="V25" s="155">
        <v>-4948.1849206900015</v>
      </c>
      <c r="W25" s="155">
        <v>-6260.1126090929683</v>
      </c>
      <c r="X25" s="155">
        <v>-6761.2601020000038</v>
      </c>
      <c r="Y25" s="155">
        <v>-8280.141720279993</v>
      </c>
      <c r="Z25" s="155">
        <v>-9107.5662192800028</v>
      </c>
      <c r="AA25" s="155">
        <v>-14308.6</v>
      </c>
      <c r="AB25" s="155">
        <v>-13236.175470198787</v>
      </c>
      <c r="AC25" s="155">
        <v>264.99317099999962</v>
      </c>
      <c r="AD25" s="155">
        <v>-642.98396199999911</v>
      </c>
      <c r="AE25" s="155">
        <v>-1498.1490552906539</v>
      </c>
      <c r="AF25" s="155">
        <v>-2767.4887919999992</v>
      </c>
      <c r="AG25" s="155">
        <v>-2741.5249050000016</v>
      </c>
      <c r="AH25" s="155">
        <v>-4244.4531181435559</v>
      </c>
      <c r="AI25" s="154">
        <v>-4925.2388980000023</v>
      </c>
      <c r="AJ25" s="154">
        <v>-7243.2203950212779</v>
      </c>
      <c r="AK25" s="154">
        <v>-7814.9102326804004</v>
      </c>
      <c r="AL25" s="154">
        <f>+AL4-AL12-AL22</f>
        <v>-1839.0884350600063</v>
      </c>
      <c r="AM25" s="154">
        <f>+AM4-AM12-AM22</f>
        <v>-1954.6740184599948</v>
      </c>
      <c r="AN25" s="155">
        <v>-11756.623015362869</v>
      </c>
      <c r="AO25" s="155">
        <v>-12637.078515000001</v>
      </c>
      <c r="AP25" s="155">
        <v>466</v>
      </c>
      <c r="AQ25" s="155">
        <v>255</v>
      </c>
      <c r="AR25" s="155">
        <v>-538.34430151024219</v>
      </c>
      <c r="AS25" s="155">
        <v>-1088</v>
      </c>
      <c r="AT25" s="155">
        <v>-1618.4625824972393</v>
      </c>
      <c r="AU25" s="155">
        <v>-3006.6956976676997</v>
      </c>
      <c r="AV25" s="155">
        <v>-3314</v>
      </c>
      <c r="AW25" s="155">
        <v>-4047.977681999997</v>
      </c>
      <c r="AX25" s="155">
        <v>-5565.5008046234962</v>
      </c>
      <c r="AY25" s="155">
        <v>-5102.8643916558995</v>
      </c>
      <c r="AZ25" s="155">
        <v>-5804.8208161352641</v>
      </c>
      <c r="BA25" s="155">
        <v>-7229.0737964</v>
      </c>
      <c r="BB25" s="154">
        <v>-8932.6750460000039</v>
      </c>
      <c r="BC25" s="154">
        <v>-5755.742239179428</v>
      </c>
      <c r="BD25" s="155">
        <v>604.02909974999966</v>
      </c>
      <c r="BE25" s="156">
        <v>305.42754857815049</v>
      </c>
      <c r="BF25" s="154">
        <v>-465.32703422238865</v>
      </c>
      <c r="BG25" s="154">
        <v>-4233.9027865099997</v>
      </c>
      <c r="BH25" s="154">
        <v>-1243.8749987500021</v>
      </c>
      <c r="BI25" s="155">
        <v>-3095.0074385601906</v>
      </c>
      <c r="BJ25" s="154">
        <v>-2641.9390065693883</v>
      </c>
      <c r="BK25" s="155">
        <v>-2985.8827223959584</v>
      </c>
      <c r="BL25" s="155">
        <v>-3618.2692671889786</v>
      </c>
      <c r="BM25" s="155">
        <v>-2951.6113268089744</v>
      </c>
      <c r="BN25" s="155">
        <v>-2986.1027839800013</v>
      </c>
      <c r="BO25" s="155">
        <v>-5031.2847515999983</v>
      </c>
      <c r="BP25" s="154">
        <v>-5642.8314280149934</v>
      </c>
      <c r="BQ25" s="154">
        <v>-5360.1295700832616</v>
      </c>
      <c r="BR25" s="155">
        <v>605.46602208000058</v>
      </c>
      <c r="BS25" s="155">
        <v>1054.9380600499994</v>
      </c>
      <c r="BT25" s="154">
        <v>995.67893541585465</v>
      </c>
      <c r="BU25" s="154">
        <v>-202.84022160771599</v>
      </c>
      <c r="BV25" s="154">
        <v>635.21001070999876</v>
      </c>
      <c r="BW25" s="154">
        <v>685.18634558524855</v>
      </c>
      <c r="BX25" s="154">
        <v>-281.21878678193389</v>
      </c>
      <c r="BY25" s="154">
        <v>-288.31661439880736</v>
      </c>
      <c r="BZ25" s="155">
        <v>1069.7877292157659</v>
      </c>
      <c r="CA25" s="155">
        <v>770.84049229016705</v>
      </c>
      <c r="CB25" s="155">
        <v>2923.9700478453401</v>
      </c>
      <c r="CC25" s="164">
        <v>-5145.2032029700022</v>
      </c>
      <c r="CD25" s="164">
        <v>-5696.9194209550033</v>
      </c>
      <c r="CE25" s="165">
        <v>373.55654805966441</v>
      </c>
      <c r="CF25" s="157">
        <v>297.44865269060551</v>
      </c>
      <c r="CG25" s="155">
        <v>1014.7360623438919</v>
      </c>
      <c r="CH25" s="157">
        <v>780.13403691214671</v>
      </c>
      <c r="CI25" s="155">
        <v>627.48061871158859</v>
      </c>
      <c r="CJ25" s="155">
        <v>-656.64097094133831</v>
      </c>
      <c r="CK25" s="157">
        <v>-337.45920009973429</v>
      </c>
      <c r="CL25" s="157">
        <v>882.45886965218779</v>
      </c>
      <c r="CM25" s="157">
        <v>-1803.4709920518158</v>
      </c>
      <c r="CN25" s="157">
        <v>-2334.4244104198347</v>
      </c>
      <c r="CO25" s="157">
        <v>-1958.2204562352658</v>
      </c>
      <c r="CP25" s="157">
        <v>-4812.4910000000009</v>
      </c>
      <c r="CQ25" s="164">
        <v>-5865.6457463900024</v>
      </c>
      <c r="CR25" s="164">
        <v>-4321.591687811444</v>
      </c>
      <c r="CS25" s="165">
        <v>-18.65525699999948</v>
      </c>
      <c r="CT25" s="165">
        <v>-855.70020952298353</v>
      </c>
      <c r="CU25" s="155">
        <v>-1462</v>
      </c>
      <c r="CV25" s="198">
        <v>-662.6024264100007</v>
      </c>
      <c r="CW25" s="157">
        <v>-690.52290084175024</v>
      </c>
      <c r="CX25" s="157">
        <v>-701.26545947677914</v>
      </c>
      <c r="CY25" s="155">
        <v>-1675.9409848408318</v>
      </c>
      <c r="CZ25" s="155">
        <v>-1095.9460953863563</v>
      </c>
      <c r="DA25" s="155">
        <v>-1360.1945447613516</v>
      </c>
      <c r="DB25" s="155">
        <v>-1609.6194348850941</v>
      </c>
      <c r="DC25" s="155">
        <v>-3417.5316091619679</v>
      </c>
      <c r="DD25" s="155">
        <v>-4679.4574124099981</v>
      </c>
      <c r="DE25" s="155">
        <v>-3569.4072526999989</v>
      </c>
      <c r="DF25" s="155">
        <v>-20955.667789000003</v>
      </c>
      <c r="DG25" s="155">
        <v>554.67380623912095</v>
      </c>
      <c r="DH25" s="155">
        <v>-53.140805164760792</v>
      </c>
      <c r="DI25" s="155">
        <v>-378.56248441280809</v>
      </c>
      <c r="DJ25" s="155">
        <v>-1230.589110052505</v>
      </c>
      <c r="DK25" s="155">
        <v>-3824.3520369524163</v>
      </c>
      <c r="DL25" s="155">
        <v>-5516.474270610579</v>
      </c>
      <c r="DM25" s="155">
        <v>-6807.8516755403889</v>
      </c>
      <c r="DN25" s="155">
        <v>-6339.8124860251455</v>
      </c>
      <c r="DO25" s="155">
        <v>-8586.2913171380405</v>
      </c>
      <c r="DP25" s="155">
        <v>-10705.016414605701</v>
      </c>
      <c r="DQ25" s="155">
        <v>-12575.673236837909</v>
      </c>
      <c r="DR25" s="155">
        <v>-15024.588852561106</v>
      </c>
      <c r="DS25" s="158">
        <f>+DS4-DS12-DS22</f>
        <v>-18025.003025999991</v>
      </c>
      <c r="DT25" s="158">
        <f t="shared" ref="DT25" si="13">+DT4-DT12-DT22</f>
        <v>-20815.869267000002</v>
      </c>
      <c r="DU25" s="158">
        <v>-695.75447399999996</v>
      </c>
      <c r="DV25" s="158">
        <v>-2302.7394250175521</v>
      </c>
      <c r="DW25" s="158">
        <v>-3640.9168219999979</v>
      </c>
      <c r="DX25" s="158">
        <v>-5728.5379800000019</v>
      </c>
      <c r="DY25" s="158">
        <v>-6347.3052120000002</v>
      </c>
      <c r="DZ25" s="158">
        <f t="shared" ref="DZ25:EE25" si="14">+DZ4-DZ12-DZ22</f>
        <v>-8084.1092889999964</v>
      </c>
      <c r="EA25" s="158">
        <f t="shared" si="14"/>
        <v>-9395.3778680000014</v>
      </c>
      <c r="EB25" s="184">
        <f t="shared" si="14"/>
        <v>-549.20228299999997</v>
      </c>
      <c r="EC25" s="184">
        <f t="shared" si="14"/>
        <v>-549.20228299999997</v>
      </c>
      <c r="ED25" s="184">
        <f t="shared" si="14"/>
        <v>-549.20228299999997</v>
      </c>
      <c r="EE25" s="184">
        <f t="shared" si="14"/>
        <v>-549.20228299999997</v>
      </c>
      <c r="EF25" s="973">
        <f>EA25/DT25*100</f>
        <v>45.13564986159269</v>
      </c>
      <c r="EG25" s="974">
        <f t="shared" si="7"/>
        <v>38.007969558975759</v>
      </c>
      <c r="EH25" s="174"/>
      <c r="EI25" s="155"/>
      <c r="EJ25" s="161"/>
      <c r="EK25" s="162"/>
      <c r="EL25" s="965">
        <f t="shared" si="6"/>
        <v>-2587.5261924596125</v>
      </c>
    </row>
    <row r="26" spans="1:146" ht="15" customHeight="1">
      <c r="A26" s="201" t="s">
        <v>129</v>
      </c>
      <c r="B26" s="202">
        <v>-7.9704742773141701</v>
      </c>
      <c r="C26" s="202">
        <v>-0.38266293996352096</v>
      </c>
      <c r="D26" s="202">
        <v>-16.231158350281344</v>
      </c>
      <c r="E26" s="202">
        <v>-1.6</v>
      </c>
      <c r="F26" s="202">
        <v>-2.3992404760562676</v>
      </c>
      <c r="G26" s="203">
        <v>-2.7879106584946118</v>
      </c>
      <c r="H26" s="203">
        <v>-4.8</v>
      </c>
      <c r="I26" s="203">
        <v>-4.3250629087576264</v>
      </c>
      <c r="J26" s="202">
        <v>-5.7399343625269985</v>
      </c>
      <c r="K26" s="202">
        <v>-7.1</v>
      </c>
      <c r="L26" s="203">
        <v>-7.4649397235549459</v>
      </c>
      <c r="M26" s="203">
        <v>-7.9587178300298174</v>
      </c>
      <c r="N26" s="202">
        <v>-10.284586175857857</v>
      </c>
      <c r="O26" s="202">
        <v>-8.5270153163484288</v>
      </c>
      <c r="P26" s="202">
        <v>0.98888001641722445</v>
      </c>
      <c r="Q26" s="202">
        <v>0.99993152135770202</v>
      </c>
      <c r="R26" s="202">
        <v>-0.9</v>
      </c>
      <c r="S26" s="202">
        <v>-1.3541309612834402</v>
      </c>
      <c r="T26" s="202">
        <v>-2.7663504841992972</v>
      </c>
      <c r="U26" s="202">
        <v>-2.6</v>
      </c>
      <c r="V26" s="202">
        <v>-3.2188969254373139</v>
      </c>
      <c r="W26" s="202">
        <v>-4.0723330985558235</v>
      </c>
      <c r="X26" s="202">
        <v>-4.0999999999999996</v>
      </c>
      <c r="Y26" s="202">
        <v>-5.3864039345315886</v>
      </c>
      <c r="Z26" s="202">
        <v>-5.9246607334491284</v>
      </c>
      <c r="AA26" s="169">
        <v>-9.4</v>
      </c>
      <c r="AB26" s="202">
        <v>-8.5706541675508223</v>
      </c>
      <c r="AC26" s="202">
        <v>0.17158769393146653</v>
      </c>
      <c r="AD26" s="202">
        <v>-0.41634331503017374</v>
      </c>
      <c r="AE26" s="202">
        <v>-0.91531179465307899</v>
      </c>
      <c r="AF26" s="202">
        <v>-1.7919971975446134</v>
      </c>
      <c r="AG26" s="202">
        <v>-1.7627930361430546</v>
      </c>
      <c r="AH26" s="202">
        <v>-2.5934406204542091</v>
      </c>
      <c r="AI26" s="202">
        <v>-3.1891779753425378</v>
      </c>
      <c r="AJ26" s="202">
        <v>-4.690111369772124</v>
      </c>
      <c r="AK26" s="202">
        <v>-5.0251662509171791</v>
      </c>
      <c r="AL26" s="202">
        <f>+AL25/AL64*100</f>
        <v>-1.1908417953456489</v>
      </c>
      <c r="AM26" s="202">
        <f>+AM25/AM64*100</f>
        <v>-1.2656854738920944</v>
      </c>
      <c r="AN26" s="202">
        <v>-7.6253672627490792</v>
      </c>
      <c r="AO26" s="202">
        <v>-8.0735208528988984</v>
      </c>
      <c r="AP26" s="202">
        <v>0.27</v>
      </c>
      <c r="AQ26" s="203">
        <v>0.15</v>
      </c>
      <c r="AR26" s="202">
        <v>-0.34393502731847447</v>
      </c>
      <c r="AS26" s="202">
        <v>-0.63</v>
      </c>
      <c r="AT26" s="202">
        <v>-0.93</v>
      </c>
      <c r="AU26" s="202">
        <v>-1.9209044546671137</v>
      </c>
      <c r="AV26" s="202">
        <v>-1.91</v>
      </c>
      <c r="AW26" s="202">
        <v>-2.48</v>
      </c>
      <c r="AX26" s="202">
        <v>-3.5556625488730211</v>
      </c>
      <c r="AY26" s="202">
        <v>-3.13</v>
      </c>
      <c r="AZ26" s="169">
        <v>-3.7085582597893398</v>
      </c>
      <c r="BA26" s="204">
        <v>-4.6184787071713789</v>
      </c>
      <c r="BB26" s="202">
        <v>-5.5399182880390985</v>
      </c>
      <c r="BC26" s="202">
        <v>-3.5696296493341855</v>
      </c>
      <c r="BD26" s="202">
        <v>0.37461027508341477</v>
      </c>
      <c r="BE26" s="205">
        <v>0.18942183089899065</v>
      </c>
      <c r="BF26" s="206">
        <v>-0.27041948570537938</v>
      </c>
      <c r="BG26" s="206">
        <v>-2.6258064192394039</v>
      </c>
      <c r="BH26" s="204">
        <v>-0.75889974803739424</v>
      </c>
      <c r="BI26" s="202">
        <v>-1.8882929294804958</v>
      </c>
      <c r="BJ26" s="207">
        <v>-1.6118716498285668</v>
      </c>
      <c r="BK26" s="169">
        <v>-1.8217149214934309</v>
      </c>
      <c r="BL26" s="202">
        <v>-2.1027158157959152</v>
      </c>
      <c r="BM26" s="202">
        <v>-1.8008056231298586</v>
      </c>
      <c r="BN26" s="202">
        <v>-1.821849183120082</v>
      </c>
      <c r="BO26" s="202">
        <v>-3.0794724008587795</v>
      </c>
      <c r="BP26" s="202">
        <v>-3.1896810291780104</v>
      </c>
      <c r="BQ26" s="202">
        <v>-3.1520402616855012</v>
      </c>
      <c r="BR26" s="202">
        <v>0.35604610928259334</v>
      </c>
      <c r="BS26" s="202">
        <v>0.62035948858794909</v>
      </c>
      <c r="BT26" s="204">
        <v>0.56281983133467184</v>
      </c>
      <c r="BU26" s="206">
        <v>-0.11928080036818939</v>
      </c>
      <c r="BV26" s="204">
        <v>0.37353715095967233</v>
      </c>
      <c r="BW26" s="204">
        <v>0.40591171183124103</v>
      </c>
      <c r="BX26" s="204">
        <v>-0.16537155057340097</v>
      </c>
      <c r="BY26" s="204">
        <v>-0.16954544938057869</v>
      </c>
      <c r="BZ26" s="202">
        <v>0.62909188105555858</v>
      </c>
      <c r="CA26" s="200">
        <v>0.45329506223080673</v>
      </c>
      <c r="CB26" s="200">
        <v>1.7194493517864402</v>
      </c>
      <c r="CC26" s="171">
        <v>-2.967537474918684</v>
      </c>
      <c r="CD26" s="171">
        <v>-3.1248529542839139</v>
      </c>
      <c r="CE26" s="171">
        <v>0.20559539231110621</v>
      </c>
      <c r="CF26" s="202">
        <v>0.16370767092688598</v>
      </c>
      <c r="CG26" s="202">
        <v>0.55848320666165385</v>
      </c>
      <c r="CH26" s="202">
        <v>0.42936461482822685</v>
      </c>
      <c r="CI26" s="202">
        <v>0.34534831377395558</v>
      </c>
      <c r="CJ26" s="200">
        <v>-0.36017825184649127</v>
      </c>
      <c r="CK26" s="200">
        <v>-0.18510185952483915</v>
      </c>
      <c r="CL26" s="208">
        <v>0.48404304188041675</v>
      </c>
      <c r="CM26" s="200">
        <v>-0.9891680609316571</v>
      </c>
      <c r="CN26" s="200">
        <v>-1.2803854775725554</v>
      </c>
      <c r="CO26" s="200">
        <v>-1.0741157677775579</v>
      </c>
      <c r="CP26" s="200">
        <v>-2.6061172572702667</v>
      </c>
      <c r="CQ26" s="171">
        <v>-2.9652328684471283</v>
      </c>
      <c r="CR26" s="171">
        <v>-2.1846743343805008</v>
      </c>
      <c r="CS26" s="209">
        <v>-9.5214335306002384E-3</v>
      </c>
      <c r="CT26" s="171">
        <v>-0.43673977083746518</v>
      </c>
      <c r="CU26" s="202">
        <v>-0.738867996764492</v>
      </c>
      <c r="CV26" s="207">
        <v>-0.3349623517091817</v>
      </c>
      <c r="CW26" s="202">
        <v>-0.34907686050620801</v>
      </c>
      <c r="CX26" s="202">
        <v>-0.35925116519132955</v>
      </c>
      <c r="CY26" s="202">
        <v>-0.84723072423631884</v>
      </c>
      <c r="CZ26" s="202">
        <v>-0.55402858007338018</v>
      </c>
      <c r="DA26" s="202">
        <v>-0.68761288117188457</v>
      </c>
      <c r="DB26" s="202">
        <v>-0.81370349666105235</v>
      </c>
      <c r="DC26" s="202">
        <v>-1.7276490082410587</v>
      </c>
      <c r="DD26" s="202">
        <v>-2.3972384567832288</v>
      </c>
      <c r="DE26" s="202">
        <v>-1.6909046942251034</v>
      </c>
      <c r="DF26" s="202">
        <v>-11.404597325076972</v>
      </c>
      <c r="DG26" s="202">
        <v>0.26276086653434716</v>
      </c>
      <c r="DH26" s="203">
        <v>-2.5173938008902191E-2</v>
      </c>
      <c r="DI26" s="202">
        <v>-0.17933315999930671</v>
      </c>
      <c r="DJ26" s="202">
        <v>-0.6624026654895907</v>
      </c>
      <c r="DK26" s="202">
        <v>-2.0585758173495785</v>
      </c>
      <c r="DL26" s="202">
        <v>-3.0022029526296254</v>
      </c>
      <c r="DM26" s="202">
        <v>-3.7050027605965257</v>
      </c>
      <c r="DN26" s="202">
        <v>-3.450284154512369</v>
      </c>
      <c r="DO26" s="202">
        <v>-4.672873991596953</v>
      </c>
      <c r="DP26" s="202">
        <v>-5.8259370589470096</v>
      </c>
      <c r="DQ26" s="202">
        <v>-6.8439951807771831</v>
      </c>
      <c r="DR26" s="202">
        <v>-8.8841387043059576</v>
      </c>
      <c r="DS26" s="210">
        <f>+DS25/DS64*100</f>
        <v>-9.2759199946628801</v>
      </c>
      <c r="DT26" s="210">
        <f>+DT25/DT64*100</f>
        <v>-11.853063735319759</v>
      </c>
      <c r="DU26" s="210">
        <f t="shared" ref="DU26:DV26" si="15">+DU25/DU64*100</f>
        <v>-0.37864694616202355</v>
      </c>
      <c r="DV26" s="210">
        <f t="shared" si="15"/>
        <v>-1.2742381235744416</v>
      </c>
      <c r="DW26" s="210">
        <v>-2.0732268536380714</v>
      </c>
      <c r="DX26" s="210">
        <v>-3.261969265669098</v>
      </c>
      <c r="DY26" s="210">
        <v>-3.6143104215510973</v>
      </c>
      <c r="DZ26" s="210">
        <f>+DZ25/DZ64*100</f>
        <v>-4.6032890299573506</v>
      </c>
      <c r="EA26" s="210">
        <f>+EA25/EA64*100</f>
        <v>-5.349957345445346</v>
      </c>
      <c r="EB26" s="210"/>
      <c r="EC26" s="210"/>
      <c r="ED26" s="210"/>
      <c r="EE26" s="210"/>
      <c r="EF26" s="173" t="s">
        <v>75</v>
      </c>
      <c r="EG26" s="173" t="s">
        <v>75</v>
      </c>
      <c r="EH26" s="173"/>
      <c r="EI26" s="202"/>
      <c r="EJ26" s="176"/>
      <c r="EK26" s="176"/>
      <c r="EL26" s="989">
        <f t="shared" si="6"/>
        <v>-1.6449545848488203</v>
      </c>
      <c r="EO26" s="211"/>
      <c r="EP26" s="211"/>
    </row>
    <row r="27" spans="1:146" ht="15" hidden="1" customHeight="1">
      <c r="A27" s="201" t="s">
        <v>130</v>
      </c>
      <c r="B27" s="169">
        <v>-16011.855576542941</v>
      </c>
      <c r="C27" s="169">
        <v>-585.13412585098104</v>
      </c>
      <c r="D27" s="169">
        <v>-24460.70150121284</v>
      </c>
      <c r="E27" s="169">
        <v>-2997</v>
      </c>
      <c r="F27" s="169">
        <v>-4018.4498331625009</v>
      </c>
      <c r="G27" s="169">
        <v>-4653.0622090225015</v>
      </c>
      <c r="H27" s="169">
        <v>-8548</v>
      </c>
      <c r="I27" s="169">
        <v>-7130.5652610224997</v>
      </c>
      <c r="J27" s="169">
        <v>-9257.8426151720287</v>
      </c>
      <c r="K27" s="169">
        <v>-12239</v>
      </c>
      <c r="L27" s="169">
        <v>-12035.748475459932</v>
      </c>
      <c r="M27" s="169">
        <v>-13607.197098984145</v>
      </c>
      <c r="N27" s="169">
        <v>-19665.543991984145</v>
      </c>
      <c r="O27" s="169">
        <v>-18518.792019750297</v>
      </c>
      <c r="P27" s="169">
        <v>1434.05092263705</v>
      </c>
      <c r="Q27" s="169">
        <v>1328.2635915767005</v>
      </c>
      <c r="R27" s="169">
        <v>-1943</v>
      </c>
      <c r="S27" s="169">
        <v>-2490.9128936137431</v>
      </c>
      <c r="T27" s="169">
        <v>-4802.5091928256852</v>
      </c>
      <c r="U27" s="169">
        <v>-5272</v>
      </c>
      <c r="V27" s="169">
        <v>-5783.2764466900016</v>
      </c>
      <c r="W27" s="169">
        <v>-7184.8130110929687</v>
      </c>
      <c r="X27" s="169">
        <v>-7966.1459000000041</v>
      </c>
      <c r="Y27" s="169">
        <v>-9584.4049722799937</v>
      </c>
      <c r="Z27" s="169">
        <v>-10566.611447280004</v>
      </c>
      <c r="AA27" s="169">
        <v>-18332.280337849999</v>
      </c>
      <c r="AB27" s="169">
        <v>-18512.446748198789</v>
      </c>
      <c r="AC27" s="169">
        <v>109.48919999999964</v>
      </c>
      <c r="AD27" s="169">
        <v>-846.83647199999905</v>
      </c>
      <c r="AE27" s="169">
        <v>-1723.9602292906538</v>
      </c>
      <c r="AF27" s="169">
        <v>-3109.5631459999991</v>
      </c>
      <c r="AG27" s="169">
        <v>-3104.8069000000014</v>
      </c>
      <c r="AH27" s="169">
        <v>-4602.7295651435506</v>
      </c>
      <c r="AI27" s="169">
        <v>-5424.7935680000028</v>
      </c>
      <c r="AJ27" s="169">
        <v>-7766.7391990212782</v>
      </c>
      <c r="AK27" s="169">
        <v>-8728.5604106804003</v>
      </c>
      <c r="AL27" s="169">
        <f>+AL25-AL8</f>
        <v>-2552.9808950600063</v>
      </c>
      <c r="AM27" s="169">
        <f>+AM25-AM8</f>
        <v>-2701.9443874599947</v>
      </c>
      <c r="AN27" s="169">
        <v>-14542.621647362876</v>
      </c>
      <c r="AO27" s="169">
        <v>-17390.406346</v>
      </c>
      <c r="AP27" s="169">
        <v>423</v>
      </c>
      <c r="AQ27" s="169">
        <v>199</v>
      </c>
      <c r="AR27" s="169">
        <v>-1175.0667247126371</v>
      </c>
      <c r="AS27" s="169">
        <v>-1549</v>
      </c>
      <c r="AT27" s="169">
        <v>-2214</v>
      </c>
      <c r="AU27" s="169">
        <v>-4148.6479182469766</v>
      </c>
      <c r="AV27" s="169">
        <v>4489</v>
      </c>
      <c r="AW27" s="169">
        <v>-5411</v>
      </c>
      <c r="AX27" s="169">
        <v>-7503.3701376234958</v>
      </c>
      <c r="AY27" s="169">
        <v>-7136</v>
      </c>
      <c r="AZ27" s="169">
        <v>-7901.8208161352641</v>
      </c>
      <c r="BA27" s="167">
        <v>-9898.7000000000007</v>
      </c>
      <c r="BB27" s="169">
        <v>-17390.406346</v>
      </c>
      <c r="BC27" s="169">
        <v>-17390.406346</v>
      </c>
      <c r="BD27" s="169">
        <v>372.2001357381497</v>
      </c>
      <c r="BE27" s="178">
        <v>-31.301404421849554</v>
      </c>
      <c r="BF27" s="167">
        <v>-901.44664941950577</v>
      </c>
      <c r="BG27" s="167">
        <v>-4700.9328036199995</v>
      </c>
      <c r="BH27" s="167">
        <v>-2021.9705937500021</v>
      </c>
      <c r="BI27" s="169">
        <v>-4185.293715398122</v>
      </c>
      <c r="BJ27" s="167">
        <v>-3986.0594566666687</v>
      </c>
      <c r="BK27" s="169">
        <v>-4491.705485436667</v>
      </c>
      <c r="BL27" s="169">
        <v>-5593.3132833887785</v>
      </c>
      <c r="BM27" s="169">
        <v>-5216.5029488089749</v>
      </c>
      <c r="BN27" s="169">
        <v>-5287.0572369800011</v>
      </c>
      <c r="BO27" s="169">
        <v>-9538.4839205999979</v>
      </c>
      <c r="BP27" s="169">
        <v>-17390.406346</v>
      </c>
      <c r="BQ27" s="169">
        <v>-10867.466408083263</v>
      </c>
      <c r="BR27" s="169">
        <v>411.63826208000057</v>
      </c>
      <c r="BS27" s="169">
        <v>-245.07364995000057</v>
      </c>
      <c r="BT27" s="167">
        <v>-635.4118423512673</v>
      </c>
      <c r="BU27" s="167">
        <v>-2069.457290607716</v>
      </c>
      <c r="BV27" s="167">
        <v>-1424.7061472900014</v>
      </c>
      <c r="BW27" s="167">
        <v>-1654.8333484147511</v>
      </c>
      <c r="BX27" s="167">
        <v>-2953.1344913583384</v>
      </c>
      <c r="BY27" s="167">
        <v>-4092.7402522825278</v>
      </c>
      <c r="BZ27" s="169">
        <v>-3156.1620047842348</v>
      </c>
      <c r="CA27" s="169">
        <v>-408.82268470983286</v>
      </c>
      <c r="CB27" s="169">
        <v>-1742.6655204715976</v>
      </c>
      <c r="CC27" s="170">
        <v>-11534.542226970003</v>
      </c>
      <c r="CD27" s="170">
        <v>-9111.9314469550027</v>
      </c>
      <c r="CE27" s="171">
        <v>373.18934905966438</v>
      </c>
      <c r="CF27" s="212">
        <v>264.67383169060554</v>
      </c>
      <c r="CG27" s="212">
        <v>190.0794447688919</v>
      </c>
      <c r="CH27" s="212">
        <v>-282.03888823785314</v>
      </c>
      <c r="CI27" s="212">
        <v>-250.99788586341151</v>
      </c>
      <c r="CJ27" s="169">
        <v>-1741.8312279413383</v>
      </c>
      <c r="CK27" s="169">
        <v>-1400.6186110997344</v>
      </c>
      <c r="CL27" s="169">
        <v>-190.74472934781193</v>
      </c>
      <c r="CM27" s="169">
        <v>-3087.3422280518157</v>
      </c>
      <c r="CN27" s="169">
        <v>-3514.0875874198346</v>
      </c>
      <c r="CO27" s="169">
        <v>-4092.9345132352655</v>
      </c>
      <c r="CP27" s="169">
        <v>-7379.9038400000009</v>
      </c>
      <c r="CQ27" s="170">
        <v>-11344.483004390004</v>
      </c>
      <c r="CR27" s="170">
        <v>-9800.4289458114436</v>
      </c>
      <c r="CS27" s="171">
        <v>-39.60873099999948</v>
      </c>
      <c r="CT27" s="171">
        <v>-908.71137752298353</v>
      </c>
      <c r="CU27" s="212">
        <v>-1819.0735911197123</v>
      </c>
      <c r="CV27" s="213">
        <v>-1014.6936054100007</v>
      </c>
      <c r="CW27" s="212">
        <v>-1406.60363184175</v>
      </c>
      <c r="CX27" s="212">
        <v>-1629.5113684767789</v>
      </c>
      <c r="CY27" s="212">
        <v>-2541.6686088408319</v>
      </c>
      <c r="CZ27" s="212">
        <v>-2065.0392323863562</v>
      </c>
      <c r="DA27" s="169">
        <v>-2585.2084477613516</v>
      </c>
      <c r="DB27" s="212">
        <v>-2834.2263458850939</v>
      </c>
      <c r="DC27" s="212">
        <v>-4727.5467811619674</v>
      </c>
      <c r="DD27" s="169">
        <v>-11304.319401409997</v>
      </c>
      <c r="DE27" s="169">
        <v>-9528.8841076999979</v>
      </c>
      <c r="DF27" s="169">
        <v>-29515.137985000001</v>
      </c>
      <c r="DG27" s="212">
        <v>540.53889823912095</v>
      </c>
      <c r="DH27" s="212">
        <v>-86.573999164760792</v>
      </c>
      <c r="DI27" s="212">
        <v>-661.54947441280797</v>
      </c>
      <c r="DJ27" s="212">
        <v>-1997.0497730525049</v>
      </c>
      <c r="DK27" s="169">
        <v>-4620.5356469524158</v>
      </c>
      <c r="DL27" s="169">
        <v>-6905.7982596105794</v>
      </c>
      <c r="DM27" s="169">
        <v>-8112.878138540389</v>
      </c>
      <c r="DN27" s="169">
        <v>-9402.7513270251457</v>
      </c>
      <c r="DO27" s="169">
        <v>-11813.144279138041</v>
      </c>
      <c r="DP27" s="169">
        <v>-14000.585815605702</v>
      </c>
      <c r="DQ27" s="169">
        <v>-16244.433263837909</v>
      </c>
      <c r="DR27" s="169">
        <v>-20248.385214561109</v>
      </c>
      <c r="DS27" s="172">
        <f>+DS25-DS8</f>
        <v>-22075.146749999993</v>
      </c>
      <c r="DT27" s="172"/>
      <c r="DU27" s="172">
        <f t="shared" ref="DU27:DV27" si="16">+DU25-DU8</f>
        <v>-725.52308299999993</v>
      </c>
      <c r="DV27" s="172">
        <f t="shared" si="16"/>
        <v>-2412.5085590175522</v>
      </c>
      <c r="DW27" s="172"/>
      <c r="DX27" s="172"/>
      <c r="DY27" s="172"/>
      <c r="DZ27" s="172"/>
      <c r="EA27" s="172"/>
      <c r="EB27" s="172"/>
      <c r="EC27" s="172"/>
      <c r="ED27" s="172"/>
      <c r="EE27" s="172"/>
      <c r="EF27" s="214"/>
      <c r="EG27" s="214"/>
      <c r="EH27" s="214"/>
      <c r="EI27" s="169"/>
      <c r="EJ27" s="175"/>
      <c r="EK27" s="176"/>
      <c r="EL27" s="965">
        <f t="shared" si="6"/>
        <v>8112.878138540389</v>
      </c>
    </row>
    <row r="28" spans="1:146" ht="15" hidden="1" customHeight="1">
      <c r="A28" s="201" t="s">
        <v>131</v>
      </c>
      <c r="B28" s="169">
        <v>-1601.9045635699949</v>
      </c>
      <c r="C28" s="169">
        <v>1303.8615391490189</v>
      </c>
      <c r="D28" s="169">
        <v>-22327.122075212836</v>
      </c>
      <c r="E28" s="169">
        <v>1456.3468359999997</v>
      </c>
      <c r="F28" s="169">
        <v>722.93893283749821</v>
      </c>
      <c r="G28" s="169">
        <v>1035.3475099774987</v>
      </c>
      <c r="H28" s="169">
        <v>2134</v>
      </c>
      <c r="I28" s="169">
        <v>956.46928997750001</v>
      </c>
      <c r="J28" s="169">
        <v>468.47500282797046</v>
      </c>
      <c r="K28" s="169">
        <v>3316</v>
      </c>
      <c r="L28" s="169">
        <v>548.28694054007065</v>
      </c>
      <c r="M28" s="169">
        <v>246.3423350158555</v>
      </c>
      <c r="N28" s="169">
        <v>-1776.3378179841384</v>
      </c>
      <c r="O28" s="169">
        <v>-550.70727858800092</v>
      </c>
      <c r="P28" s="169">
        <v>1334.2758290100001</v>
      </c>
      <c r="Q28" s="169">
        <v>1357.2420350100001</v>
      </c>
      <c r="R28" s="169">
        <v>562</v>
      </c>
      <c r="S28" s="169">
        <v>440.74325845999738</v>
      </c>
      <c r="T28" s="169">
        <v>56.448898009995901</v>
      </c>
      <c r="U28" s="169">
        <v>-338.74057635000281</v>
      </c>
      <c r="V28" s="169">
        <v>-215.57492099000228</v>
      </c>
      <c r="W28" s="169">
        <v>-1033.8396473499997</v>
      </c>
      <c r="X28" s="169">
        <v>109</v>
      </c>
      <c r="Y28" s="169">
        <v>-333.06238132999351</v>
      </c>
      <c r="Z28" s="169">
        <v>-369.89996433000124</v>
      </c>
      <c r="AA28" s="169">
        <v>-1476.8</v>
      </c>
      <c r="AB28" s="169">
        <v>-3592.3449605858186</v>
      </c>
      <c r="AC28" s="169">
        <v>726.90389899999946</v>
      </c>
      <c r="AD28" s="169">
        <v>295.99405000000115</v>
      </c>
      <c r="AE28" s="169">
        <v>78.192203000000518</v>
      </c>
      <c r="AF28" s="169">
        <v>-800.45642799999951</v>
      </c>
      <c r="AG28" s="169">
        <v>-482.48210000000108</v>
      </c>
      <c r="AH28" s="169">
        <v>-964.29058999999688</v>
      </c>
      <c r="AI28" s="169">
        <v>-1684.2564790000033</v>
      </c>
      <c r="AJ28" s="169">
        <v>-2309.8896826711061</v>
      </c>
      <c r="AK28" s="169">
        <v>-1637.7587269999967</v>
      </c>
      <c r="AL28" s="169" t="e">
        <f>+AL5-#REF!</f>
        <v>#REF!</v>
      </c>
      <c r="AM28" s="169" t="e">
        <f>+AM5-#REF!</f>
        <v>#REF!</v>
      </c>
      <c r="AN28" s="169">
        <v>-4707.1223216994331</v>
      </c>
      <c r="AO28" s="169">
        <v>-3888.5793950000007</v>
      </c>
      <c r="AP28" s="169">
        <v>45</v>
      </c>
      <c r="AQ28" s="169">
        <v>315.69581499999913</v>
      </c>
      <c r="AR28" s="169">
        <v>-260.28603834007663</v>
      </c>
      <c r="AS28" s="169">
        <v>533.85096675000023</v>
      </c>
      <c r="AT28" s="169">
        <v>-288.93772300000091</v>
      </c>
      <c r="AU28" s="169">
        <v>-1091.9035032469765</v>
      </c>
      <c r="AV28" s="169">
        <v>-789.26341400000456</v>
      </c>
      <c r="AW28" s="169">
        <v>-1275.4182819999987</v>
      </c>
      <c r="AX28" s="169">
        <v>-2339.3753726455325</v>
      </c>
      <c r="AY28" s="169">
        <v>-1438.0973660199998</v>
      </c>
      <c r="AZ28" s="169">
        <v>-1609.8525371352662</v>
      </c>
      <c r="BA28" s="167">
        <v>-2348.8051773999978</v>
      </c>
      <c r="BB28" s="169">
        <v>-3888.5793950000007</v>
      </c>
      <c r="BC28" s="169">
        <v>-3888.5793950000007</v>
      </c>
      <c r="BD28" s="169">
        <v>534.09930174999954</v>
      </c>
      <c r="BE28" s="178">
        <v>240.79031659000066</v>
      </c>
      <c r="BF28" s="167">
        <v>-265.76747077791515</v>
      </c>
      <c r="BG28" s="167">
        <v>-3531.32197662</v>
      </c>
      <c r="BH28" s="167">
        <v>-628.68371735500295</v>
      </c>
      <c r="BI28" s="169">
        <v>-2223.2644036200618</v>
      </c>
      <c r="BJ28" s="167">
        <v>-1901.3041620916702</v>
      </c>
      <c r="BK28" s="169">
        <v>-2257.3611748616677</v>
      </c>
      <c r="BL28" s="169">
        <v>-2313.0469054194509</v>
      </c>
      <c r="BM28" s="169">
        <v>-2191.3965638939771</v>
      </c>
      <c r="BN28" s="169">
        <v>-1979.3887554899993</v>
      </c>
      <c r="BO28" s="169">
        <v>-3373.3631308600015</v>
      </c>
      <c r="BP28" s="169">
        <v>-3888.5793950000007</v>
      </c>
      <c r="BQ28" s="169">
        <v>-4824.0799190832622</v>
      </c>
      <c r="BR28" s="169">
        <v>369.79829608000045</v>
      </c>
      <c r="BS28" s="169">
        <v>-231.36352495000028</v>
      </c>
      <c r="BT28" s="167">
        <v>-206.16407368999717</v>
      </c>
      <c r="BU28" s="167">
        <v>-1208.3775538418249</v>
      </c>
      <c r="BV28" s="167">
        <v>-838.84393753999939</v>
      </c>
      <c r="BW28" s="167">
        <v>-174.74815270940962</v>
      </c>
      <c r="BX28" s="167">
        <v>-904.57023313917671</v>
      </c>
      <c r="BY28" s="167">
        <v>-1068.6716813919738</v>
      </c>
      <c r="BZ28" s="169">
        <v>-106.39090677870627</v>
      </c>
      <c r="CA28" s="169">
        <v>1550.762786160165</v>
      </c>
      <c r="CB28" s="169">
        <v>526.58744202840171</v>
      </c>
      <c r="CC28" s="170">
        <v>-1169.5783784699961</v>
      </c>
      <c r="CD28" s="170">
        <v>-2467.8226701149979</v>
      </c>
      <c r="CE28" s="171">
        <v>422.53353566456462</v>
      </c>
      <c r="CF28" s="212">
        <v>359.34251484602555</v>
      </c>
      <c r="CG28" s="212">
        <v>544.01636364413571</v>
      </c>
      <c r="CH28" s="212">
        <v>98.108636345699779</v>
      </c>
      <c r="CI28" s="212">
        <v>276.41811713658899</v>
      </c>
      <c r="CJ28" s="169">
        <v>-407.35767200000191</v>
      </c>
      <c r="CK28" s="169">
        <v>-331.87722399999984</v>
      </c>
      <c r="CL28" s="169">
        <v>964.10821100000248</v>
      </c>
      <c r="CM28" s="169">
        <v>378.17722125</v>
      </c>
      <c r="CN28" s="169">
        <v>-205.95931541983737</v>
      </c>
      <c r="CO28" s="169">
        <v>-124.57525899999746</v>
      </c>
      <c r="CP28" s="169">
        <v>1784.0493639999986</v>
      </c>
      <c r="CQ28" s="170">
        <v>-1014.6660477350015</v>
      </c>
      <c r="CR28" s="170">
        <v>297.112031847857</v>
      </c>
      <c r="CS28" s="171">
        <v>16.027543000000605</v>
      </c>
      <c r="CT28" s="171">
        <v>-675.77278652298355</v>
      </c>
      <c r="CU28" s="212">
        <v>-1238.4357327799516</v>
      </c>
      <c r="CV28" s="213">
        <v>-36.019143409999742</v>
      </c>
      <c r="CW28" s="212">
        <v>18.350390069761488</v>
      </c>
      <c r="CX28" s="212">
        <v>46.860947594999743</v>
      </c>
      <c r="CY28" s="212">
        <v>-561.44410141000117</v>
      </c>
      <c r="CZ28" s="212">
        <v>331.53026359000069</v>
      </c>
      <c r="DA28" s="202">
        <v>85.984780589998991</v>
      </c>
      <c r="DB28" s="212">
        <v>83.583094642453943</v>
      </c>
      <c r="DC28" s="212">
        <v>-1066.7955933575577</v>
      </c>
      <c r="DD28" s="169">
        <v>-1712.283755409997</v>
      </c>
      <c r="DE28" s="169">
        <v>49.979581045008672</v>
      </c>
      <c r="DF28" s="169">
        <v>-19664.572098000004</v>
      </c>
      <c r="DG28" s="212">
        <v>629.57849040388101</v>
      </c>
      <c r="DH28" s="202">
        <v>73.493132999999034</v>
      </c>
      <c r="DI28" s="202">
        <v>-178.78976985253757</v>
      </c>
      <c r="DJ28" s="202">
        <v>-1489.184024492235</v>
      </c>
      <c r="DK28" s="169">
        <v>-4037.7170949999963</v>
      </c>
      <c r="DL28" s="169"/>
      <c r="DM28" s="169">
        <v>-7111.8793946380429</v>
      </c>
      <c r="DN28" s="169">
        <v>-8237.8393999999971</v>
      </c>
      <c r="DO28" s="169">
        <v>-10417.668163138042</v>
      </c>
      <c r="DP28" s="169">
        <v>-12275.186059605701</v>
      </c>
      <c r="DQ28" s="169">
        <v>-14146.512422837914</v>
      </c>
      <c r="DR28" s="169">
        <v>-15756.469887561107</v>
      </c>
      <c r="DS28" s="172">
        <f>+DS5-DS12</f>
        <v>-7016.5063389999923</v>
      </c>
      <c r="DT28" s="172"/>
      <c r="DU28" s="172">
        <f t="shared" ref="DU28:DV28" si="17">+DU5-DU12</f>
        <v>-778.04030400000011</v>
      </c>
      <c r="DV28" s="172">
        <f t="shared" si="17"/>
        <v>-2335.9059170175524</v>
      </c>
      <c r="DW28" s="172"/>
      <c r="DX28" s="172"/>
      <c r="DY28" s="172"/>
      <c r="DZ28" s="172"/>
      <c r="EA28" s="172"/>
      <c r="EB28" s="172"/>
      <c r="EC28" s="172"/>
      <c r="ED28" s="172"/>
      <c r="EE28" s="172"/>
      <c r="EF28" s="214"/>
      <c r="EG28" s="214"/>
      <c r="EH28" s="214"/>
      <c r="EI28" s="169"/>
      <c r="EJ28" s="175"/>
      <c r="EK28" s="176"/>
      <c r="EL28" s="965">
        <f t="shared" si="6"/>
        <v>7111.8793946380429</v>
      </c>
    </row>
    <row r="29" spans="1:146" ht="15" hidden="1" customHeight="1">
      <c r="A29" s="201" t="s">
        <v>132</v>
      </c>
      <c r="B29" s="200">
        <v>-1.0654412478170703</v>
      </c>
      <c r="C29" s="200">
        <v>0.86721013026873506</v>
      </c>
      <c r="D29" s="200">
        <v>-14.849971306008703</v>
      </c>
      <c r="E29" s="200">
        <v>0.9</v>
      </c>
      <c r="F29" s="200">
        <v>0.48083323826817309</v>
      </c>
      <c r="G29" s="200">
        <v>0.68861901516552049</v>
      </c>
      <c r="H29" s="200">
        <v>1.3</v>
      </c>
      <c r="I29" s="200">
        <v>0.63615639594737139</v>
      </c>
      <c r="J29" s="200">
        <v>0.31158697149334191</v>
      </c>
      <c r="K29" s="200">
        <v>2</v>
      </c>
      <c r="L29" s="200">
        <v>0.36467061482673124</v>
      </c>
      <c r="M29" s="200">
        <v>0.16384452031557967</v>
      </c>
      <c r="N29" s="200">
        <v>-1.1814583867093003</v>
      </c>
      <c r="O29" s="200">
        <v>-0.35824650741138342</v>
      </c>
      <c r="P29" s="200">
        <v>0.86797410212525128</v>
      </c>
      <c r="Q29" s="200">
        <v>0.88291409548993982</v>
      </c>
      <c r="R29" s="200">
        <v>0.3</v>
      </c>
      <c r="S29" s="200">
        <v>0.28671263146048243</v>
      </c>
      <c r="T29" s="200">
        <v>3.6721179010295077E-2</v>
      </c>
      <c r="U29" s="200">
        <v>-0.22035777102320589</v>
      </c>
      <c r="V29" s="200">
        <v>-0.14023595752750223</v>
      </c>
      <c r="W29" s="200">
        <v>-0.67253413435204867</v>
      </c>
      <c r="X29" s="200">
        <v>7.0906760862070095E-2</v>
      </c>
      <c r="Y29" s="200">
        <v>-0.21666398738639861</v>
      </c>
      <c r="Z29" s="200">
        <v>-0.24062759920766655</v>
      </c>
      <c r="AA29" s="169">
        <v>-0.96068903156977159</v>
      </c>
      <c r="AB29" s="200">
        <v>-2.3261059342289481</v>
      </c>
      <c r="AC29" s="200">
        <v>0.47068293597347732</v>
      </c>
      <c r="AD29" s="200">
        <v>0.19166130306405318</v>
      </c>
      <c r="AE29" s="200">
        <v>4.7876445092143394E-2</v>
      </c>
      <c r="AF29" s="200">
        <v>-0.5183094796550024</v>
      </c>
      <c r="AG29" s="200">
        <v>-0.31241556372866502</v>
      </c>
      <c r="AH29" s="200">
        <v>-0.62439495324924044</v>
      </c>
      <c r="AI29" s="200">
        <v>-1.0905854068999477</v>
      </c>
      <c r="AJ29" s="200">
        <v>-1.4956938036928606</v>
      </c>
      <c r="AK29" s="200">
        <v>-1.0604773025719372</v>
      </c>
      <c r="AL29" s="200" t="e">
        <f>+AL28/AL64*100</f>
        <v>#REF!</v>
      </c>
      <c r="AM29" s="200" t="e">
        <f>+AM28/AM64*100</f>
        <v>#REF!</v>
      </c>
      <c r="AN29" s="200">
        <v>-3.0532746089372762</v>
      </c>
      <c r="AO29" s="200">
        <v>-2.4843184123941868</v>
      </c>
      <c r="AP29" s="200">
        <v>2.8749401054144707E-2</v>
      </c>
      <c r="AQ29" s="200">
        <v>0.20169034659000104</v>
      </c>
      <c r="AR29" s="200">
        <v>-0.16629039344518551</v>
      </c>
      <c r="AS29" s="200">
        <v>0.34106434547196945</v>
      </c>
      <c r="AT29" s="169">
        <v>0.1</v>
      </c>
      <c r="AU29" s="169">
        <v>-0.69759048282828717</v>
      </c>
      <c r="AV29" s="200">
        <v>-0.50424112058776849</v>
      </c>
      <c r="AW29" s="200">
        <v>-0.81483359335569305</v>
      </c>
      <c r="AX29" s="200">
        <v>-1.4945697956527919</v>
      </c>
      <c r="AY29" s="200">
        <v>-0.91876528734706886</v>
      </c>
      <c r="AZ29" s="169">
        <v>-1.0284954717363146</v>
      </c>
      <c r="BA29" s="204">
        <v>-1.5005942676249786</v>
      </c>
      <c r="BB29" s="200">
        <v>-2.4116417527691301</v>
      </c>
      <c r="BC29" s="200">
        <v>-2.4116417527691301</v>
      </c>
      <c r="BD29" s="200">
        <v>0.33124080683072621</v>
      </c>
      <c r="BE29" s="215">
        <v>0.14933473697299754</v>
      </c>
      <c r="BF29" s="204">
        <v>-0.16482521351627688</v>
      </c>
      <c r="BG29" s="204">
        <v>-2.1900757722057529</v>
      </c>
      <c r="BH29" s="204">
        <v>-0.38356580458275996</v>
      </c>
      <c r="BI29" s="200">
        <v>-1.3564343663336851</v>
      </c>
      <c r="BJ29" s="167">
        <v>-1.1600034175490457</v>
      </c>
      <c r="BK29" s="169">
        <v>-1.3772371247540625</v>
      </c>
      <c r="BL29" s="200">
        <v>-1.3442007632786972</v>
      </c>
      <c r="BM29" s="200">
        <v>-1.3369914998375136</v>
      </c>
      <c r="BN29" s="200">
        <v>-1.2076435568839021</v>
      </c>
      <c r="BO29" s="200">
        <v>-2.0647169008381794</v>
      </c>
      <c r="BP29" s="200">
        <v>-2.1980681303193186</v>
      </c>
      <c r="BQ29" s="200">
        <v>-2.8368146575051512</v>
      </c>
      <c r="BR29" s="200">
        <v>0.21746099654989332</v>
      </c>
      <c r="BS29" s="200">
        <v>-0.13605401440259418</v>
      </c>
      <c r="BT29" s="204">
        <v>-0.12123540154904754</v>
      </c>
      <c r="BU29" s="204">
        <v>-0.71059004287601713</v>
      </c>
      <c r="BV29" s="204">
        <v>-0.4932846920631071</v>
      </c>
      <c r="BW29" s="204">
        <v>-9.9763586646615568E-2</v>
      </c>
      <c r="BX29" s="167">
        <v>-0.53193523721715485</v>
      </c>
      <c r="BY29" s="167">
        <v>-0.62843558578721403</v>
      </c>
      <c r="BZ29" s="200">
        <v>-6.2563491658001472E-2</v>
      </c>
      <c r="CA29" s="200">
        <v>0.91193070510504382</v>
      </c>
      <c r="CB29" s="200">
        <v>0.30966132382984901</v>
      </c>
      <c r="CC29" s="171">
        <v>-0.67456376960211895</v>
      </c>
      <c r="CD29" s="171">
        <v>-1.3536408700098721</v>
      </c>
      <c r="CE29" s="171">
        <v>0.23255099791659903</v>
      </c>
      <c r="CF29" s="202">
        <v>0.19777237394866426</v>
      </c>
      <c r="CG29" s="202">
        <v>0.29941185153368871</v>
      </c>
      <c r="CH29" s="202">
        <v>5.3996332505407293E-2</v>
      </c>
      <c r="CI29" s="202">
        <v>0.15213303455603566</v>
      </c>
      <c r="CJ29" s="200">
        <v>-0.2234423081564379</v>
      </c>
      <c r="CK29" s="200">
        <v>-0.18204005485162625</v>
      </c>
      <c r="CL29" s="200">
        <v>0.52882903351434507</v>
      </c>
      <c r="CM29" s="200">
        <v>0.20742270337644389</v>
      </c>
      <c r="CN29" s="200">
        <v>-0.11296459857825021</v>
      </c>
      <c r="CO29" s="200">
        <v>-6.8331555592121909E-2</v>
      </c>
      <c r="CP29" s="200">
        <v>0.96611959073636489</v>
      </c>
      <c r="CQ29" s="171">
        <v>-0.51293945207872116</v>
      </c>
      <c r="CR29" s="171">
        <v>0.15019767652838373</v>
      </c>
      <c r="CS29" s="171">
        <v>8.1802778344649517E-3</v>
      </c>
      <c r="CT29" s="171">
        <v>-0.34490683610883927</v>
      </c>
      <c r="CU29" s="202">
        <v>-0.62606070994972629</v>
      </c>
      <c r="CV29" s="207">
        <v>-1.8208591611311508E-2</v>
      </c>
      <c r="CW29" s="202">
        <v>9.276588143286869E-3</v>
      </c>
      <c r="CX29" s="202">
        <v>2.4006387022161527E-2</v>
      </c>
      <c r="CY29" s="202">
        <v>-0.28382424975482079</v>
      </c>
      <c r="CZ29" s="202">
        <v>0.16759696664037971</v>
      </c>
      <c r="DA29" s="202">
        <v>4.3467489960265192E-2</v>
      </c>
      <c r="DB29" s="202">
        <v>4.2253376728873561E-2</v>
      </c>
      <c r="DC29" s="202">
        <v>-0.53929226109252004</v>
      </c>
      <c r="DD29" s="202">
        <v>-0.8771855592719322</v>
      </c>
      <c r="DE29" s="202">
        <v>2.3676398410543628E-2</v>
      </c>
      <c r="DF29" s="202">
        <v>-10.701950832860383</v>
      </c>
      <c r="DG29" s="212">
        <v>0.29824482034147709</v>
      </c>
      <c r="DH29" s="202">
        <v>3.4815271776289194E-2</v>
      </c>
      <c r="DI29" s="202">
        <v>-9.6239127789210455E-2</v>
      </c>
      <c r="DJ29" s="202">
        <v>-0.80159937965490724</v>
      </c>
      <c r="DK29" s="202">
        <v>-2.1734261618053559</v>
      </c>
      <c r="DL29" s="202">
        <v>-3.2992653697180288</v>
      </c>
      <c r="DM29" s="202">
        <v>-3.870462231842315</v>
      </c>
      <c r="DN29" s="202">
        <v>-4.4832377632446176</v>
      </c>
      <c r="DO29" s="202">
        <v>-5.6695549701942083</v>
      </c>
      <c r="DP29" s="202">
        <v>-6.6804625607629831</v>
      </c>
      <c r="DQ29" s="202">
        <v>-7.6988850635126562</v>
      </c>
      <c r="DR29" s="202">
        <v>-9.3169047981936224</v>
      </c>
      <c r="DS29" s="210">
        <f>+DS28/DS64*100</f>
        <v>-3.6107928164410454</v>
      </c>
      <c r="DT29" s="210"/>
      <c r="DU29" s="210">
        <f t="shared" ref="DU29:DV29" si="18">+DU28/DU64*100</f>
        <v>-0.42342894815588705</v>
      </c>
      <c r="DV29" s="210">
        <f t="shared" si="18"/>
        <v>-1.2925910505589202</v>
      </c>
      <c r="DW29" s="210"/>
      <c r="DX29" s="210"/>
      <c r="DY29" s="210"/>
      <c r="DZ29" s="210"/>
      <c r="EA29" s="210"/>
      <c r="EB29" s="210"/>
      <c r="EC29" s="210"/>
      <c r="ED29" s="210"/>
      <c r="EE29" s="210"/>
      <c r="EF29" s="214"/>
      <c r="EG29" s="214"/>
      <c r="EH29" s="214"/>
      <c r="EI29" s="202"/>
      <c r="EJ29" s="175"/>
      <c r="EK29" s="176"/>
      <c r="EL29" s="965">
        <f t="shared" si="6"/>
        <v>3.870462231842315</v>
      </c>
    </row>
    <row r="30" spans="1:146" ht="15" customHeight="1">
      <c r="A30" s="201" t="s">
        <v>1043</v>
      </c>
      <c r="B30" s="169">
        <v>807.81997143000513</v>
      </c>
      <c r="C30" s="169">
        <v>1388.4451391490188</v>
      </c>
      <c r="D30" s="169">
        <v>-22028.623639212838</v>
      </c>
      <c r="E30" s="169">
        <v>2245</v>
      </c>
      <c r="F30" s="169">
        <v>1678.3666508374984</v>
      </c>
      <c r="G30" s="169">
        <v>2388.1555279774989</v>
      </c>
      <c r="H30" s="169">
        <v>3689</v>
      </c>
      <c r="I30" s="169">
        <v>2574.0017499774999</v>
      </c>
      <c r="J30" s="169">
        <v>2402.8859778279702</v>
      </c>
      <c r="K30" s="169">
        <v>5440</v>
      </c>
      <c r="L30" s="169">
        <v>2895.5352575400707</v>
      </c>
      <c r="M30" s="169">
        <v>2801.2967160158555</v>
      </c>
      <c r="N30" s="169">
        <v>1081.3915690158617</v>
      </c>
      <c r="O30" s="169">
        <v>3052.1202054119995</v>
      </c>
      <c r="P30" s="169">
        <v>1571.9363350000001</v>
      </c>
      <c r="Q30" s="169">
        <v>1790.4856830000001</v>
      </c>
      <c r="R30" s="169">
        <v>1259</v>
      </c>
      <c r="S30" s="169">
        <v>1390.9396504499973</v>
      </c>
      <c r="T30" s="169">
        <v>1510.0662299999958</v>
      </c>
      <c r="U30" s="169">
        <v>1349.1609696399973</v>
      </c>
      <c r="V30" s="169">
        <v>1741.9489769999977</v>
      </c>
      <c r="W30" s="169">
        <v>1136.5490046400005</v>
      </c>
      <c r="X30" s="169">
        <v>2520</v>
      </c>
      <c r="Y30" s="169">
        <v>2380.5424786600065</v>
      </c>
      <c r="Z30" s="169">
        <v>2636.5670786599985</v>
      </c>
      <c r="AA30" s="169">
        <v>1839.1</v>
      </c>
      <c r="AB30" s="169">
        <v>511.71099241418142</v>
      </c>
      <c r="AC30" s="169">
        <v>956.42230199999949</v>
      </c>
      <c r="AD30" s="169">
        <v>714.80261900000119</v>
      </c>
      <c r="AE30" s="169">
        <v>821.57581800000048</v>
      </c>
      <c r="AF30" s="169">
        <v>148.27722000000045</v>
      </c>
      <c r="AG30" s="169">
        <v>1063.0554439999989</v>
      </c>
      <c r="AH30" s="169">
        <v>812.55674100000317</v>
      </c>
      <c r="AI30" s="169">
        <v>335.21823099999676</v>
      </c>
      <c r="AJ30" s="169">
        <v>-51.709760000000188</v>
      </c>
      <c r="AK30" s="169">
        <v>979.09746600000335</v>
      </c>
      <c r="AL30" s="169"/>
      <c r="AM30" s="169"/>
      <c r="AN30" s="169">
        <v>-1279.1414946994332</v>
      </c>
      <c r="AO30" s="169">
        <v>200.42060499999934</v>
      </c>
      <c r="AP30" s="169">
        <v>788</v>
      </c>
      <c r="AQ30" s="169">
        <v>869.06620899999905</v>
      </c>
      <c r="AR30" s="169">
        <v>742.27866765992326</v>
      </c>
      <c r="AS30" s="169">
        <v>1643.1021607500002</v>
      </c>
      <c r="AT30" s="169">
        <v>1397.9843199999991</v>
      </c>
      <c r="AU30" s="169">
        <v>1102.0429877530235</v>
      </c>
      <c r="AV30" s="169">
        <v>1503.2843719999955</v>
      </c>
      <c r="AW30" s="169">
        <v>1399.6760540000012</v>
      </c>
      <c r="AX30" s="169">
        <v>791.62532235446747</v>
      </c>
      <c r="AY30" s="169">
        <v>1922.9026339800002</v>
      </c>
      <c r="AZ30" s="169">
        <v>2156.595525460009</v>
      </c>
      <c r="BA30" s="167">
        <v>1748.7267676000022</v>
      </c>
      <c r="BB30" s="169">
        <v>200.42060499999934</v>
      </c>
      <c r="BC30" s="169">
        <v>200.42060499999934</v>
      </c>
      <c r="BD30" s="169">
        <v>807.06786274999945</v>
      </c>
      <c r="BE30" s="178">
        <v>755.57926259000067</v>
      </c>
      <c r="BF30" s="167">
        <v>690.11219122208513</v>
      </c>
      <c r="BG30" s="167">
        <v>-2270.4684246200004</v>
      </c>
      <c r="BH30" s="167">
        <v>1331.2833666449969</v>
      </c>
      <c r="BI30" s="169">
        <v>50.717062724997504</v>
      </c>
      <c r="BJ30" s="167">
        <v>674.03741090832978</v>
      </c>
      <c r="BK30" s="169">
        <v>563.06494313833218</v>
      </c>
      <c r="BL30" s="169">
        <v>1002.7494504183435</v>
      </c>
      <c r="BM30" s="169">
        <v>1421.8586571049971</v>
      </c>
      <c r="BN30" s="169">
        <v>1992.3919885100008</v>
      </c>
      <c r="BO30" s="169">
        <v>829.69516713999838</v>
      </c>
      <c r="BP30" s="169">
        <v>200.42060499999934</v>
      </c>
      <c r="BQ30" s="169">
        <v>-169.07991908326221</v>
      </c>
      <c r="BR30" s="169">
        <v>699.88302108000039</v>
      </c>
      <c r="BS30" s="169">
        <v>298.79480604999969</v>
      </c>
      <c r="BT30" s="167">
        <v>881.58806431000289</v>
      </c>
      <c r="BU30" s="167">
        <v>889.87784469999781</v>
      </c>
      <c r="BV30" s="167">
        <v>1239.8159394600007</v>
      </c>
      <c r="BW30" s="167">
        <v>2206.1641464505901</v>
      </c>
      <c r="BX30" s="167">
        <v>1809.8375100327553</v>
      </c>
      <c r="BY30" s="167">
        <v>2005.9685917244515</v>
      </c>
      <c r="BZ30" s="169">
        <v>3341.6360643724452</v>
      </c>
      <c r="CA30" s="169">
        <v>5529.7629135800007</v>
      </c>
      <c r="CB30" s="169">
        <v>4693.5314288200098</v>
      </c>
      <c r="CC30" s="170">
        <v>3303.9468155300037</v>
      </c>
      <c r="CD30" s="170">
        <v>2926.1773298850021</v>
      </c>
      <c r="CE30" s="171">
        <v>751.90531399999963</v>
      </c>
      <c r="CF30" s="212">
        <v>889.25295100000051</v>
      </c>
      <c r="CG30" s="169">
        <v>1445.9659956949988</v>
      </c>
      <c r="CH30" s="169">
        <v>1524.8581046749978</v>
      </c>
      <c r="CI30" s="169">
        <v>2378.4468859999997</v>
      </c>
      <c r="CJ30" s="169">
        <v>1959.1033529999979</v>
      </c>
      <c r="CK30" s="200">
        <v>2424.8796780000002</v>
      </c>
      <c r="CL30" s="200">
        <v>3935.3955190000024</v>
      </c>
      <c r="CM30" s="200">
        <v>3907.8159932500002</v>
      </c>
      <c r="CN30" s="200">
        <v>3773.0408119999984</v>
      </c>
      <c r="CO30" s="200">
        <v>4219.893355000002</v>
      </c>
      <c r="CP30" s="169">
        <v>1784.0493639999986</v>
      </c>
      <c r="CQ30" s="170">
        <v>4519.449631264999</v>
      </c>
      <c r="CR30" s="170">
        <v>5831.2277108478575</v>
      </c>
      <c r="CS30" s="171">
        <v>356.88810400000062</v>
      </c>
      <c r="CT30" s="171">
        <v>55.960037229999216</v>
      </c>
      <c r="CU30" s="169">
        <v>-65.5874854199987</v>
      </c>
      <c r="CV30" s="167">
        <v>1533.8870225900002</v>
      </c>
      <c r="CW30" s="169">
        <v>2287.2669805899968</v>
      </c>
      <c r="CX30" s="169">
        <v>2608.9032255949996</v>
      </c>
      <c r="CY30" s="169">
        <v>2413.4038645899991</v>
      </c>
      <c r="CZ30" s="169">
        <v>3538.3486975900005</v>
      </c>
      <c r="DA30" s="169">
        <v>3936.7552745899993</v>
      </c>
      <c r="DB30" s="212">
        <v>4354.441647642454</v>
      </c>
      <c r="DC30" s="169">
        <v>3530.7049646424421</v>
      </c>
      <c r="DD30" s="169">
        <v>3237.8608905900028</v>
      </c>
      <c r="DE30" s="169">
        <v>5615.9795810450087</v>
      </c>
      <c r="DF30" s="169">
        <f>+DF5+DF9-DF12+DF15</f>
        <v>-9976.3378190000021</v>
      </c>
      <c r="DG30" s="212">
        <v>1048.5938309999999</v>
      </c>
      <c r="DH30" s="200">
        <v>861.50547899999901</v>
      </c>
      <c r="DI30" s="169">
        <v>1073.6229610347841</v>
      </c>
      <c r="DJ30" s="200">
        <v>189.24380869355207</v>
      </c>
      <c r="DK30" s="169">
        <v>-1680.5421569999967</v>
      </c>
      <c r="DL30" s="169">
        <f>+DL5+DL9-DL12+DL15</f>
        <v>-3022.5778570000007</v>
      </c>
      <c r="DM30" s="169">
        <v>-4019.8112979999969</v>
      </c>
      <c r="DN30" s="169">
        <v>-4940.9318429999967</v>
      </c>
      <c r="DO30" s="169">
        <v>-6686.9926619999951</v>
      </c>
      <c r="DP30" s="169">
        <v>-8119.3092579999902</v>
      </c>
      <c r="DQ30" s="169">
        <v>-9718.1357839999982</v>
      </c>
      <c r="DR30" s="169">
        <v>-10995.952202999997</v>
      </c>
      <c r="DS30" s="172">
        <f>+DS5+DS9-DS12+DS15</f>
        <v>410.10423500000434</v>
      </c>
      <c r="DT30" s="172">
        <f>+DT5+DT9-DT12+DT15</f>
        <v>-11557.382066999999</v>
      </c>
      <c r="DU30" s="172">
        <f t="shared" ref="DU30:EE30" si="19">+DU5-DU12+DU15</f>
        <v>-410.58156500000007</v>
      </c>
      <c r="DV30" s="172">
        <f t="shared" si="19"/>
        <v>-1756.1391940000003</v>
      </c>
      <c r="DW30" s="172">
        <v>-2700.2786439999986</v>
      </c>
      <c r="DX30" s="172">
        <v>-4258.2410210000025</v>
      </c>
      <c r="DY30" s="172">
        <v>-4943.1900379999988</v>
      </c>
      <c r="DZ30" s="172">
        <f>+DZ5+DZ9-DZ12+DZ15</f>
        <v>-5593.7606230000019</v>
      </c>
      <c r="EA30" s="172">
        <f>+EA5+EA9-EA12+EA15</f>
        <v>-7154.0970280000001</v>
      </c>
      <c r="EB30" s="172">
        <f t="shared" si="19"/>
        <v>-549.20228299999997</v>
      </c>
      <c r="EC30" s="172">
        <f t="shared" si="19"/>
        <v>-549.20228299999997</v>
      </c>
      <c r="ED30" s="172">
        <f t="shared" si="19"/>
        <v>-549.20228299999997</v>
      </c>
      <c r="EE30" s="172">
        <f t="shared" si="19"/>
        <v>-549.20228299999997</v>
      </c>
      <c r="EF30" s="174">
        <f>EA30/DT30*100</f>
        <v>61.900670813914019</v>
      </c>
      <c r="EG30" s="174">
        <f t="shared" ref="EG30" si="20">(+EA30/DM30-1)*100</f>
        <v>77.970966735663055</v>
      </c>
      <c r="EH30" s="214"/>
      <c r="EI30" s="169"/>
      <c r="EJ30" s="175"/>
      <c r="EK30" s="176"/>
      <c r="EL30" s="965">
        <f t="shared" si="6"/>
        <v>-3134.2857300000032</v>
      </c>
    </row>
    <row r="31" spans="1:146" ht="15" customHeight="1">
      <c r="A31" s="216" t="s">
        <v>133</v>
      </c>
      <c r="B31" s="217">
        <v>0.53728838655270317</v>
      </c>
      <c r="C31" s="217">
        <v>0.92346744944886239</v>
      </c>
      <c r="D31" s="217">
        <v>-14.651437290090477</v>
      </c>
      <c r="E31" s="217">
        <v>1.4</v>
      </c>
      <c r="F31" s="217">
        <v>1.1162968752506</v>
      </c>
      <c r="G31" s="217">
        <v>1.5883838922582618</v>
      </c>
      <c r="H31" s="217">
        <v>2.2000000000000002</v>
      </c>
      <c r="I31" s="217">
        <v>1.7119918993598142</v>
      </c>
      <c r="J31" s="217">
        <v>1.5981812479974928</v>
      </c>
      <c r="K31" s="217">
        <v>3.3</v>
      </c>
      <c r="L31" s="217">
        <v>1.9258467502062369</v>
      </c>
      <c r="M31" s="217">
        <v>1.8631678418883424</v>
      </c>
      <c r="N31" s="217">
        <v>0.71924333625932368</v>
      </c>
      <c r="O31" s="217">
        <v>1.9854675002517512</v>
      </c>
      <c r="P31" s="217">
        <v>1.0225771907912284</v>
      </c>
      <c r="Q31" s="217">
        <v>1.1647480747838646</v>
      </c>
      <c r="R31" s="217">
        <v>0.81900561399400229</v>
      </c>
      <c r="S31" s="217">
        <v>0.90483509328467271</v>
      </c>
      <c r="T31" s="217">
        <v>0.98232940418804993</v>
      </c>
      <c r="U31" s="217">
        <v>0.8</v>
      </c>
      <c r="V31" s="217">
        <v>1.1331739407896007</v>
      </c>
      <c r="W31" s="217">
        <v>0.73934870165167244</v>
      </c>
      <c r="X31" s="217">
        <v>1.6</v>
      </c>
      <c r="Y31" s="217">
        <v>1.5485922592325199</v>
      </c>
      <c r="Z31" s="217">
        <v>1.7151415719573508</v>
      </c>
      <c r="AA31" s="218">
        <v>1.1963726963434229</v>
      </c>
      <c r="AB31" s="217">
        <v>0.33134178068208281</v>
      </c>
      <c r="AC31" s="217">
        <v>0.61930009971768207</v>
      </c>
      <c r="AD31" s="217">
        <v>0.46284714639073865</v>
      </c>
      <c r="AE31" s="217">
        <v>0.53198465254215366</v>
      </c>
      <c r="AF31" s="217">
        <v>9.6012082675024257E-2</v>
      </c>
      <c r="AG31" s="217">
        <v>0.68354175090638469</v>
      </c>
      <c r="AH31" s="217">
        <v>0.52614464308840114</v>
      </c>
      <c r="AI31" s="217">
        <v>0.21705964347690743</v>
      </c>
      <c r="AJ31" s="217">
        <v>-3.3482970291900976E-2</v>
      </c>
      <c r="AK31" s="217">
        <v>0.63398266336864673</v>
      </c>
      <c r="AL31" s="217">
        <f>+AL30/AL64*100</f>
        <v>0</v>
      </c>
      <c r="AM31" s="217">
        <f>+AM30/AM64*100</f>
        <v>0</v>
      </c>
      <c r="AN31" s="217">
        <v>-0.82971505308020321</v>
      </c>
      <c r="AO31" s="217">
        <v>0.12804383005909556</v>
      </c>
      <c r="AP31" s="217">
        <v>0.50343395623702281</v>
      </c>
      <c r="AQ31" s="217">
        <v>0.5</v>
      </c>
      <c r="AR31" s="217">
        <v>0.47422371356647386</v>
      </c>
      <c r="AS31" s="217">
        <v>0.9</v>
      </c>
      <c r="AT31" s="217">
        <v>0.8</v>
      </c>
      <c r="AU31" s="217">
        <v>0.70406835186265682</v>
      </c>
      <c r="AV31" s="217">
        <v>0.9</v>
      </c>
      <c r="AW31" s="217">
        <v>0.894218849385083</v>
      </c>
      <c r="AX31" s="217">
        <v>0.50575008615522599</v>
      </c>
      <c r="AY31" s="217">
        <v>1.2284955336080501</v>
      </c>
      <c r="AZ31" s="218">
        <v>1.377796214956083</v>
      </c>
      <c r="BA31" s="219">
        <v>1.1172188261300124</v>
      </c>
      <c r="BB31" s="217">
        <v>0.12304492360796541</v>
      </c>
      <c r="BC31" s="217">
        <v>0.12304492360796541</v>
      </c>
      <c r="BD31" s="217">
        <v>0.50053203430247672</v>
      </c>
      <c r="BE31" s="220">
        <v>0.46859953522655434</v>
      </c>
      <c r="BF31" s="219">
        <v>0.41499867803882284</v>
      </c>
      <c r="BG31" s="219">
        <v>-1.4081122937075952</v>
      </c>
      <c r="BH31" s="219">
        <v>0.81222840922805417</v>
      </c>
      <c r="BI31" s="217">
        <v>3.0942953401166477E-2</v>
      </c>
      <c r="BJ31" s="221">
        <v>0.41123651638641651</v>
      </c>
      <c r="BK31" s="218">
        <v>0.34353117789631854</v>
      </c>
      <c r="BL31" s="217">
        <v>1.2523640225465549</v>
      </c>
      <c r="BM31" s="217">
        <v>0.86748923943815071</v>
      </c>
      <c r="BN31" s="217">
        <v>1.2155769507317302</v>
      </c>
      <c r="BO31" s="217">
        <v>0.50782722395527591</v>
      </c>
      <c r="BP31" s="217">
        <v>0.12304492360796541</v>
      </c>
      <c r="BQ31" s="217">
        <v>-9.9427953265818297E-2</v>
      </c>
      <c r="BR31" s="217">
        <v>0.41156830857728238</v>
      </c>
      <c r="BS31" s="217">
        <v>0.17570718139141553</v>
      </c>
      <c r="BT31" s="219">
        <v>0.4983285555342028</v>
      </c>
      <c r="BU31" s="219">
        <v>0.52329533415229379</v>
      </c>
      <c r="BV31" s="219">
        <v>0.72907747978126813</v>
      </c>
      <c r="BW31" s="219">
        <v>1.3003390281075162</v>
      </c>
      <c r="BX31" s="222">
        <v>1.0642803731036055</v>
      </c>
      <c r="BY31" s="222">
        <v>1.179615843632269</v>
      </c>
      <c r="BZ31" s="217">
        <v>1.9650591048377619</v>
      </c>
      <c r="CA31" s="223">
        <v>3.2517936578366586</v>
      </c>
      <c r="CB31" s="223">
        <v>2.7600452264621551</v>
      </c>
      <c r="CC31" s="224">
        <v>1.9055779924423515</v>
      </c>
      <c r="CD31" s="224">
        <v>1.6050558553480347</v>
      </c>
      <c r="CE31" s="224">
        <v>0.41382829136740124</v>
      </c>
      <c r="CF31" s="217">
        <v>0.48942070557802936</v>
      </c>
      <c r="CG31" s="217">
        <v>0.79582046599796297</v>
      </c>
      <c r="CH31" s="217">
        <v>0.83924054303915785</v>
      </c>
      <c r="CI31" s="217">
        <v>1.3090326569250665</v>
      </c>
      <c r="CJ31" s="223">
        <v>1.0746000510120113</v>
      </c>
      <c r="CK31" s="223">
        <v>1.330085940431134</v>
      </c>
      <c r="CL31" s="223">
        <v>2.1586284455049105</v>
      </c>
      <c r="CM31" s="223">
        <v>2.1433595469828108</v>
      </c>
      <c r="CN31" s="223">
        <v>2.0694380338083165</v>
      </c>
      <c r="CO31" s="223">
        <v>2.3146801354835178</v>
      </c>
      <c r="CP31" s="223">
        <v>3.5065065293367494</v>
      </c>
      <c r="CQ31" s="224">
        <v>2.2846965489121089</v>
      </c>
      <c r="CR31" s="224">
        <v>2.9478336775192138</v>
      </c>
      <c r="CS31" s="224">
        <v>0.18215167767981139</v>
      </c>
      <c r="CT31" s="224">
        <v>2.8561374140027525E-2</v>
      </c>
      <c r="CU31" s="217">
        <v>-3.3156139312687023E-2</v>
      </c>
      <c r="CV31" s="221">
        <v>0.77541883920753851</v>
      </c>
      <c r="CW31" s="217">
        <v>1.1562715382076074</v>
      </c>
      <c r="CX31" s="217">
        <v>1.3365145980036064</v>
      </c>
      <c r="CY31" s="217">
        <v>1.2200369360055401</v>
      </c>
      <c r="CZ31" s="217">
        <v>1.7887251142942362</v>
      </c>
      <c r="DA31" s="217">
        <v>1.9901297555228645</v>
      </c>
      <c r="DB31" s="217">
        <v>2.2012808232190109</v>
      </c>
      <c r="DC31" s="217">
        <v>1.7848610131954472</v>
      </c>
      <c r="DD31" s="223">
        <v>1.6587232152283291</v>
      </c>
      <c r="DE31" s="217">
        <v>2.6604098563082794</v>
      </c>
      <c r="DF31" s="225">
        <f>+DF30/DF64*100</f>
        <v>-6.0495392076273209</v>
      </c>
      <c r="DG31" s="889">
        <v>0.49674136506339628</v>
      </c>
      <c r="DH31" s="889">
        <v>0.40811360413968961</v>
      </c>
      <c r="DI31" s="889">
        <v>0.57791079114692767</v>
      </c>
      <c r="DJ31" s="889">
        <v>0.10186633562900826</v>
      </c>
      <c r="DK31" s="889">
        <v>-0.90460381549851998</v>
      </c>
      <c r="DL31" s="225">
        <f>+DL30/DL64*100</f>
        <v>-1.8328572654389648</v>
      </c>
      <c r="DM31" s="217">
        <v>-2.1876816161663646</v>
      </c>
      <c r="DN31" s="217">
        <v>-2.6889784018070828</v>
      </c>
      <c r="DO31" s="217">
        <v>-3.6392282695894798</v>
      </c>
      <c r="DP31" s="217">
        <v>-4.4187307022430184</v>
      </c>
      <c r="DQ31" s="217">
        <v>-5.2888519937846379</v>
      </c>
      <c r="DR31" s="217">
        <v>-6.5019792232596352</v>
      </c>
      <c r="DS31" s="225">
        <f>+DS30/DS64*100</f>
        <v>0.21104540553170983</v>
      </c>
      <c r="DT31" s="225">
        <f>+DT30/DT64*100</f>
        <v>-6.5810552754944238</v>
      </c>
      <c r="DU31" s="225">
        <f t="shared" ref="DU31:DV31" si="21">+DU30/DU64*100</f>
        <v>-0.22344873306222446</v>
      </c>
      <c r="DV31" s="225">
        <f t="shared" si="21"/>
        <v>-0.97177278809174683</v>
      </c>
      <c r="DW31" s="225">
        <v>-1.4942194305951351</v>
      </c>
      <c r="DX31" s="225">
        <v>-2.4247463113290562</v>
      </c>
      <c r="DY31" s="225">
        <v>-2.8147729900042751</v>
      </c>
      <c r="DZ31" s="225">
        <f>+DZ30/DZ64*100</f>
        <v>-3.1852237508838206</v>
      </c>
      <c r="EA31" s="225">
        <f>+EA30/EA64*100</f>
        <v>-4.0737173621655254</v>
      </c>
      <c r="EB31" s="225">
        <f t="shared" ref="EB31:EE31" si="22">+EB30/EB64*100</f>
        <v>-0.30390520045375313</v>
      </c>
      <c r="EC31" s="225">
        <f t="shared" si="22"/>
        <v>-0.30390520045375313</v>
      </c>
      <c r="ED31" s="225">
        <f t="shared" si="22"/>
        <v>-0.30390520045375313</v>
      </c>
      <c r="EE31" s="225">
        <f t="shared" si="22"/>
        <v>-0.30390520045375313</v>
      </c>
      <c r="EF31" s="226" t="s">
        <v>75</v>
      </c>
      <c r="EG31" s="226" t="s">
        <v>75</v>
      </c>
      <c r="EH31" s="226"/>
      <c r="EI31" s="217"/>
      <c r="EJ31" s="227"/>
      <c r="EK31" s="228"/>
      <c r="EL31" s="989">
        <f>+EA31-DM31</f>
        <v>-1.8860357459991608</v>
      </c>
      <c r="EO31" s="211"/>
      <c r="EP31" s="211"/>
    </row>
    <row r="32" spans="1:146" ht="15" hidden="1" customHeight="1">
      <c r="A32" s="201" t="s">
        <v>134</v>
      </c>
      <c r="B32" s="169">
        <v>-9573.9856365429405</v>
      </c>
      <c r="C32" s="169">
        <v>-490.75503185098108</v>
      </c>
      <c r="D32" s="169">
        <v>-24105.256052212841</v>
      </c>
      <c r="E32" s="169">
        <v>2599</v>
      </c>
      <c r="F32" s="169">
        <v>-2651.8610701625012</v>
      </c>
      <c r="G32" s="169">
        <v>-2838.851368022501</v>
      </c>
      <c r="H32" s="169">
        <v>4280</v>
      </c>
      <c r="I32" s="169">
        <v>-4885.2550240224991</v>
      </c>
      <c r="J32" s="169">
        <v>-6695.6538631720296</v>
      </c>
      <c r="K32" s="169">
        <v>6072</v>
      </c>
      <c r="L32" s="169">
        <v>-8876.3841774599296</v>
      </c>
      <c r="M32" s="169">
        <v>-9411.0798214599326</v>
      </c>
      <c r="N32" s="169">
        <v>-12605.277665984142</v>
      </c>
      <c r="O32" s="169">
        <v>-9505.1562707502981</v>
      </c>
      <c r="P32" s="169">
        <v>1757.7965336270502</v>
      </c>
      <c r="Q32" s="169">
        <v>1970.3683805667004</v>
      </c>
      <c r="R32" s="169">
        <v>1679</v>
      </c>
      <c r="S32" s="169">
        <v>-1131.414345623743</v>
      </c>
      <c r="T32" s="169">
        <v>-2798.8996228356855</v>
      </c>
      <c r="U32" s="169">
        <v>2245</v>
      </c>
      <c r="V32" s="169">
        <v>-2990.6610227000015</v>
      </c>
      <c r="W32" s="169">
        <v>-4089.7239571029686</v>
      </c>
      <c r="X32" s="169">
        <v>-3725</v>
      </c>
      <c r="Y32" s="169">
        <v>-5566.5368602899925</v>
      </c>
      <c r="Z32" s="169">
        <v>-6101.099176290003</v>
      </c>
      <c r="AA32" s="169">
        <v>-10992.7</v>
      </c>
      <c r="AB32" s="169">
        <v>-9132.1195171987856</v>
      </c>
      <c r="AC32" s="169">
        <v>494.5115739999996</v>
      </c>
      <c r="AD32" s="169">
        <v>-224.17539299999913</v>
      </c>
      <c r="AE32" s="169">
        <v>1047.386992</v>
      </c>
      <c r="AF32" s="169">
        <v>-1818.7551439999993</v>
      </c>
      <c r="AG32" s="169">
        <v>-1195.9873610000016</v>
      </c>
      <c r="AH32" s="169">
        <v>1170.8953530000026</v>
      </c>
      <c r="AI32" s="169">
        <v>-2905.7641880000024</v>
      </c>
      <c r="AJ32" s="169">
        <v>-4985.0404723501715</v>
      </c>
      <c r="AK32" s="169">
        <v>-5198.365529680399</v>
      </c>
      <c r="AL32" s="169"/>
      <c r="AM32" s="169"/>
      <c r="AN32" s="169">
        <v>-8327.7703093628752</v>
      </c>
      <c r="AO32" s="169">
        <v>-8548.0785150000011</v>
      </c>
      <c r="AP32" s="169">
        <v>799.21386200000006</v>
      </c>
      <c r="AQ32" s="169">
        <v>809</v>
      </c>
      <c r="AR32" s="169">
        <v>464.22040448975775</v>
      </c>
      <c r="AS32" s="169">
        <v>21.251193999999941</v>
      </c>
      <c r="AT32" s="169">
        <v>68.459460502760635</v>
      </c>
      <c r="AU32" s="169">
        <v>-812.74920666769981</v>
      </c>
      <c r="AV32" s="169">
        <v>-1021</v>
      </c>
      <c r="AW32" s="169">
        <v>-1373</v>
      </c>
      <c r="AX32" s="169">
        <v>-2434.500109623496</v>
      </c>
      <c r="AY32" s="169">
        <v>-1741.8643916558995</v>
      </c>
      <c r="AZ32" s="169">
        <v>-2038.3727535399889</v>
      </c>
      <c r="BA32" s="167">
        <v>-3131.5418514000003</v>
      </c>
      <c r="BB32" s="169">
        <v>-8548.0785150000011</v>
      </c>
      <c r="BC32" s="169">
        <v>-8548.0785150000011</v>
      </c>
      <c r="BD32" s="169">
        <v>876.99766074999957</v>
      </c>
      <c r="BE32" s="178">
        <v>820.21649457815056</v>
      </c>
      <c r="BF32" s="167">
        <v>514.55356177761132</v>
      </c>
      <c r="BG32" s="167">
        <v>-2973.0492345100001</v>
      </c>
      <c r="BH32" s="167">
        <v>716.09208524999792</v>
      </c>
      <c r="BI32" s="169">
        <v>-821.02597221513133</v>
      </c>
      <c r="BJ32" s="167">
        <v>-66.597433569388386</v>
      </c>
      <c r="BK32" s="169">
        <v>-165.45660439595849</v>
      </c>
      <c r="BL32" s="169">
        <v>-302.47291135118394</v>
      </c>
      <c r="BM32" s="169">
        <v>661.64389418999986</v>
      </c>
      <c r="BN32" s="169">
        <v>985.67796001999886</v>
      </c>
      <c r="BO32" s="169">
        <v>-828.22645359999842</v>
      </c>
      <c r="BP32" s="169">
        <v>-8548.0785150000011</v>
      </c>
      <c r="BQ32" s="169">
        <v>-705.12957008326157</v>
      </c>
      <c r="BR32" s="169">
        <v>935.55074708000052</v>
      </c>
      <c r="BS32" s="169">
        <v>1585.0963910499995</v>
      </c>
      <c r="BT32" s="167">
        <v>2083.4310734158544</v>
      </c>
      <c r="BU32" s="167">
        <v>1895.4151769341067</v>
      </c>
      <c r="BV32" s="167">
        <v>2713.8698877099987</v>
      </c>
      <c r="BW32" s="167">
        <v>3066.0986447452487</v>
      </c>
      <c r="BX32" s="167">
        <v>2433.1889563899981</v>
      </c>
      <c r="BY32" s="167">
        <v>2786.3236587176179</v>
      </c>
      <c r="BZ32" s="169">
        <v>4517.8147003669174</v>
      </c>
      <c r="CA32" s="169">
        <v>4749.840619710003</v>
      </c>
      <c r="CB32" s="169">
        <v>7090.9140346369477</v>
      </c>
      <c r="CC32" s="170">
        <v>-671.67800897000188</v>
      </c>
      <c r="CD32" s="170">
        <v>-302.91942095500326</v>
      </c>
      <c r="CE32" s="171">
        <v>702.92832639509948</v>
      </c>
      <c r="CF32" s="212">
        <v>827.35908884458047</v>
      </c>
      <c r="CG32" s="169">
        <v>1916.685694394755</v>
      </c>
      <c r="CH32" s="169">
        <v>2206.8835052414447</v>
      </c>
      <c r="CI32" s="169">
        <v>2729.5093875749994</v>
      </c>
      <c r="CJ32" s="169">
        <v>1709.8200540586615</v>
      </c>
      <c r="CK32" s="169">
        <v>2419.2977019002656</v>
      </c>
      <c r="CL32" s="169">
        <v>3853.7461776521877</v>
      </c>
      <c r="CM32" s="169">
        <v>1726.1677799481843</v>
      </c>
      <c r="CN32" s="169">
        <v>1644.5757170000011</v>
      </c>
      <c r="CO32" s="169">
        <v>2386.2481577647341</v>
      </c>
      <c r="CP32" s="169">
        <v>-121.37848600000098</v>
      </c>
      <c r="CQ32" s="170">
        <v>-331.53006739000239</v>
      </c>
      <c r="CR32" s="170">
        <v>1212.523991188556</v>
      </c>
      <c r="CS32" s="171">
        <v>322.20530400000052</v>
      </c>
      <c r="CT32" s="171">
        <v>-123.96738577000076</v>
      </c>
      <c r="CU32" s="169">
        <v>-288.73609175975929</v>
      </c>
      <c r="CV32" s="167">
        <v>907.30373958999928</v>
      </c>
      <c r="CW32" s="169">
        <v>1578.3936896784853</v>
      </c>
      <c r="CX32" s="169">
        <v>1860.776818523221</v>
      </c>
      <c r="CY32" s="169">
        <v>1298.9069811591683</v>
      </c>
      <c r="CZ32" s="169">
        <v>2110.8723386136435</v>
      </c>
      <c r="DA32" s="169">
        <v>2490.5759492386487</v>
      </c>
      <c r="DB32" s="212">
        <v>2661.239118114906</v>
      </c>
      <c r="DC32" s="169">
        <v>1179.968948838032</v>
      </c>
      <c r="DD32" s="169">
        <v>270.6872335900016</v>
      </c>
      <c r="DE32" s="169">
        <v>1996.5927473000011</v>
      </c>
      <c r="DF32" s="169">
        <v>-15864.829900000002</v>
      </c>
      <c r="DG32" s="169">
        <v>973.68914683523985</v>
      </c>
      <c r="DH32" s="200">
        <v>734.87154083523933</v>
      </c>
      <c r="DI32" s="200">
        <v>873.8502464745136</v>
      </c>
      <c r="DJ32" s="200">
        <v>447.83872313328209</v>
      </c>
      <c r="DK32" s="169">
        <v>-1467.1770989524161</v>
      </c>
      <c r="DL32" s="169">
        <v>-2822.2000956105794</v>
      </c>
      <c r="DM32" s="169">
        <v>-3715.7835789023429</v>
      </c>
      <c r="DN32" s="169">
        <v>-3042.9049290251455</v>
      </c>
      <c r="DO32" s="169">
        <v>-4855.6158159999941</v>
      </c>
      <c r="DP32" s="169">
        <v>-6549.1396129999912</v>
      </c>
      <c r="DQ32" s="169">
        <v>-8147.2965979999944</v>
      </c>
      <c r="DR32" s="169">
        <v>-10264.071167999995</v>
      </c>
      <c r="DS32" s="172">
        <f>+DS15+DS25</f>
        <v>-12562.295683999992</v>
      </c>
      <c r="DT32" s="172"/>
      <c r="DU32" s="172">
        <v>-328.29573499999992</v>
      </c>
      <c r="DV32" s="172"/>
      <c r="DW32" s="172"/>
      <c r="DX32" s="172"/>
      <c r="DY32" s="172"/>
      <c r="DZ32" s="172"/>
      <c r="EA32" s="172"/>
      <c r="EB32" s="172"/>
      <c r="EC32" s="172"/>
      <c r="ED32" s="172"/>
      <c r="EE32" s="172"/>
      <c r="EF32" s="201"/>
      <c r="EG32" s="210"/>
      <c r="EH32" s="210"/>
      <c r="EI32" s="106"/>
      <c r="EJ32" s="106"/>
      <c r="EK32" s="106"/>
      <c r="EL32" s="965">
        <f t="shared" si="6"/>
        <v>3715.7835789023429</v>
      </c>
    </row>
    <row r="33" spans="1:146" ht="15" hidden="1" customHeight="1">
      <c r="A33" s="216" t="s">
        <v>135</v>
      </c>
      <c r="B33" s="217">
        <v>-6.3677446429443982</v>
      </c>
      <c r="C33" s="217">
        <v>-0.32640562078339358</v>
      </c>
      <c r="D33" s="217">
        <v>-16.032624334363117</v>
      </c>
      <c r="E33" s="217">
        <v>1.6</v>
      </c>
      <c r="F33" s="217">
        <v>-1.7637768390738409</v>
      </c>
      <c r="G33" s="217">
        <v>-1.8881457814018705</v>
      </c>
      <c r="H33" s="217">
        <v>2.6</v>
      </c>
      <c r="I33" s="217">
        <v>-3.2492274053451835</v>
      </c>
      <c r="J33" s="217">
        <v>-4.4533400860228483</v>
      </c>
      <c r="K33" s="217">
        <v>3.7</v>
      </c>
      <c r="L33" s="217">
        <v>-5.9037635881754404</v>
      </c>
      <c r="M33" s="217">
        <v>-6.2593945084570546</v>
      </c>
      <c r="N33" s="217">
        <v>-8.383884452889232</v>
      </c>
      <c r="O33" s="217">
        <v>-6.1833013086852961</v>
      </c>
      <c r="P33" s="217">
        <v>1.1434831050832017</v>
      </c>
      <c r="Q33" s="217">
        <v>1.2817655006516269</v>
      </c>
      <c r="R33" s="217">
        <v>1</v>
      </c>
      <c r="S33" s="217">
        <v>-0.73600849945925007</v>
      </c>
      <c r="T33" s="217">
        <v>-1.8207422590215423</v>
      </c>
      <c r="U33" s="217">
        <v>1.4</v>
      </c>
      <c r="V33" s="217">
        <v>-1.9454870271202109</v>
      </c>
      <c r="W33" s="217">
        <v>-2.6604502625521027</v>
      </c>
      <c r="X33" s="217">
        <v>2.2000000000000002</v>
      </c>
      <c r="Y33" s="217">
        <v>-3.6211476879126696</v>
      </c>
      <c r="Z33" s="217">
        <v>-3.9688915622841101</v>
      </c>
      <c r="AA33" s="218">
        <v>-7.151047470359023</v>
      </c>
      <c r="AB33" s="217">
        <v>-5.9132064526397894</v>
      </c>
      <c r="AC33" s="217">
        <v>0.3202048576756712</v>
      </c>
      <c r="AD33" s="217">
        <v>-0.14515747170348825</v>
      </c>
      <c r="AE33" s="217">
        <v>0.63998250876873874</v>
      </c>
      <c r="AF33" s="217">
        <v>-1.1776756352145867</v>
      </c>
      <c r="AG33" s="217">
        <v>-0.76901661095284146</v>
      </c>
      <c r="AH33" s="217">
        <v>0.71544954371421066</v>
      </c>
      <c r="AI33" s="217">
        <v>-1.8815329249656831</v>
      </c>
      <c r="AJ33" s="217">
        <v>-3.2279005363711644</v>
      </c>
      <c r="AK33" s="217">
        <v>-3.3425348565442645</v>
      </c>
      <c r="AL33" s="217">
        <f>+AL32/AL64*100</f>
        <v>0</v>
      </c>
      <c r="AM33" s="217">
        <f>+AM32/AM64*100</f>
        <v>0</v>
      </c>
      <c r="AN33" s="217">
        <v>-5.392376330235745</v>
      </c>
      <c r="AO33" s="217">
        <v>-5.461158610445616</v>
      </c>
      <c r="AP33" s="217">
        <v>0.51059821881488587</v>
      </c>
      <c r="AQ33" s="217">
        <v>0.51685034339562375</v>
      </c>
      <c r="AR33" s="217">
        <v>0.29657907969318498</v>
      </c>
      <c r="AS33" s="217">
        <v>1.3576868870787377E-2</v>
      </c>
      <c r="AT33" s="217">
        <v>4.3737077465427654E-2</v>
      </c>
      <c r="AU33" s="217">
        <v>-0.5192456199761698</v>
      </c>
      <c r="AV33" s="217">
        <v>0.6</v>
      </c>
      <c r="AW33" s="217">
        <v>-0.8</v>
      </c>
      <c r="AX33" s="217">
        <v>-1.555342667065003</v>
      </c>
      <c r="AY33" s="217">
        <v>-1.1128346217255387</v>
      </c>
      <c r="AZ33" s="218">
        <v>-1.3022665730969423</v>
      </c>
      <c r="BA33" s="219">
        <v>-2.0006656134163872</v>
      </c>
      <c r="BB33" s="217">
        <v>-5.2479517656034869</v>
      </c>
      <c r="BC33" s="217">
        <v>-5.2479517656034869</v>
      </c>
      <c r="BD33" s="217">
        <v>0.54390150255516534</v>
      </c>
      <c r="BE33" s="220">
        <v>0.50868662915254748</v>
      </c>
      <c r="BF33" s="217">
        <v>0.2990269193714471</v>
      </c>
      <c r="BG33" s="217">
        <v>-1.843842940741246</v>
      </c>
      <c r="BH33" s="217">
        <v>0.43689446577342</v>
      </c>
      <c r="BI33" s="217">
        <v>-0.50091560974564431</v>
      </c>
      <c r="BJ33" s="221">
        <v>-4.0631715893104617E-2</v>
      </c>
      <c r="BK33" s="218">
        <v>-0.10094661884304997</v>
      </c>
      <c r="BL33" s="217">
        <v>-0.17577867416210508</v>
      </c>
      <c r="BM33" s="217">
        <v>0.40367511614580587</v>
      </c>
      <c r="BN33" s="217">
        <v>0.60137132449555042</v>
      </c>
      <c r="BO33" s="217">
        <v>-0.50692827606532409</v>
      </c>
      <c r="BP33" s="217">
        <v>-5.2479517656034869</v>
      </c>
      <c r="BQ33" s="217">
        <v>-0.41465355744616905</v>
      </c>
      <c r="BR33" s="217">
        <v>0.55015342130998235</v>
      </c>
      <c r="BS33" s="217">
        <v>0.93212068438195894</v>
      </c>
      <c r="BT33" s="217">
        <v>1.1776851790558165</v>
      </c>
      <c r="BU33" s="217">
        <v>0</v>
      </c>
      <c r="BV33" s="217">
        <v>0</v>
      </c>
      <c r="BW33" s="217">
        <v>1.8060143265853732</v>
      </c>
      <c r="BX33" s="218">
        <v>1.4308440597473595</v>
      </c>
      <c r="BY33" s="218">
        <v>1.6385059800389044</v>
      </c>
      <c r="BZ33" s="217">
        <v>2.6567144775513221</v>
      </c>
      <c r="CA33" s="223">
        <v>2.793158014962422</v>
      </c>
      <c r="CB33" s="223">
        <v>4.1698332544187462</v>
      </c>
      <c r="CC33" s="224">
        <v>-0.38739571287421309</v>
      </c>
      <c r="CD33" s="224">
        <v>-0.16615622892600693</v>
      </c>
      <c r="CE33" s="224">
        <v>0.38687268576190842</v>
      </c>
      <c r="CF33" s="224">
        <v>0.45535600255625114</v>
      </c>
      <c r="CG33" s="224">
        <v>1.0548918211259282</v>
      </c>
      <c r="CH33" s="224">
        <v>1.2146088253619773</v>
      </c>
      <c r="CI33" s="224">
        <v>1.5022479361429866</v>
      </c>
      <c r="CJ33" s="229">
        <v>0.93786410732195802</v>
      </c>
      <c r="CK33" s="229">
        <v>1.3270241357579209</v>
      </c>
      <c r="CL33" s="229">
        <v>2.1138424538709821</v>
      </c>
      <c r="CM33" s="224">
        <v>0.94676878267470965</v>
      </c>
      <c r="CN33" s="229">
        <v>0.90201715481401101</v>
      </c>
      <c r="CO33" s="229">
        <v>1.3088959232980824</v>
      </c>
      <c r="CP33" s="224">
        <v>-6.5730318669882173E-2</v>
      </c>
      <c r="CQ33" s="224">
        <v>-0.16759686745629854</v>
      </c>
      <c r="CR33" s="224">
        <v>0.61296166661032891</v>
      </c>
      <c r="CS33" s="224">
        <v>0.1644499663147462</v>
      </c>
      <c r="CT33" s="224">
        <v>-6.3271560588598369E-2</v>
      </c>
      <c r="CU33" s="224">
        <v>-0.14596342612745269</v>
      </c>
      <c r="CV33" s="230">
        <v>0.45866507910966831</v>
      </c>
      <c r="CW33" s="224">
        <v>0.79791808955811294</v>
      </c>
      <c r="CX33" s="224">
        <v>0.95325704579011539</v>
      </c>
      <c r="CY33" s="224">
        <v>0.65663046152404192</v>
      </c>
      <c r="CZ33" s="224">
        <v>1.0670995675804764</v>
      </c>
      <c r="DA33" s="224">
        <v>1.2590493843907149</v>
      </c>
      <c r="DB33" s="231">
        <v>1.3453239498290848</v>
      </c>
      <c r="DC33" s="224">
        <v>0.59650426604690865</v>
      </c>
      <c r="DD33" s="224">
        <v>0.13867031771703239</v>
      </c>
      <c r="DE33" s="224">
        <v>0.94582876367263236</v>
      </c>
      <c r="DF33" s="224">
        <v>-8.6340363123772921</v>
      </c>
      <c r="DG33" s="224">
        <v>0.46125741125626629</v>
      </c>
      <c r="DH33" s="224">
        <v>0.34812439435449832</v>
      </c>
      <c r="DI33" s="224">
        <v>0.47037694387355999</v>
      </c>
      <c r="DJ33" s="224">
        <v>0.24106304979432483</v>
      </c>
      <c r="DK33" s="224">
        <v>-0.78975347104274263</v>
      </c>
      <c r="DL33" s="224">
        <v>-1.5359117154036681</v>
      </c>
      <c r="DM33" s="224">
        <v>-2.0222221449205753</v>
      </c>
      <c r="DN33" s="224">
        <v>-1.6560247930748346</v>
      </c>
      <c r="DO33" s="224">
        <v>-2.6425472909922245</v>
      </c>
      <c r="DP33" s="224">
        <v>-3.564205200427045</v>
      </c>
      <c r="DQ33" s="224">
        <v>-4.4339621110491656</v>
      </c>
      <c r="DR33" s="224">
        <v>-6.0692131293719704</v>
      </c>
      <c r="DS33" s="232">
        <f>+DS32/DS64*1000</f>
        <v>-64.647339890040357</v>
      </c>
      <c r="DT33" s="232"/>
      <c r="DU33" s="232">
        <v>-1.7866673106836095</v>
      </c>
      <c r="DV33" s="232"/>
      <c r="DW33" s="232"/>
      <c r="DX33" s="232"/>
      <c r="DY33" s="232"/>
      <c r="DZ33" s="232"/>
      <c r="EA33" s="232"/>
      <c r="EB33" s="232"/>
      <c r="EC33" s="232"/>
      <c r="ED33" s="232"/>
      <c r="EE33" s="232"/>
      <c r="EF33" s="216"/>
      <c r="EG33" s="225"/>
      <c r="EH33" s="210"/>
      <c r="EI33" s="106"/>
      <c r="EJ33" s="106"/>
      <c r="EK33" s="106"/>
      <c r="EL33" s="965">
        <f t="shared" si="6"/>
        <v>2.0222221449205753</v>
      </c>
    </row>
    <row r="34" spans="1:146" ht="15" customHeight="1">
      <c r="A34" s="179" t="s">
        <v>136</v>
      </c>
      <c r="B34" s="155">
        <v>11983.710203999999</v>
      </c>
      <c r="C34" s="155">
        <v>880.88017825908605</v>
      </c>
      <c r="D34" s="155">
        <v>680.37106068780759</v>
      </c>
      <c r="E34" s="155">
        <v>2423.3197378752725</v>
      </c>
      <c r="F34" s="155">
        <v>3353.7302017250749</v>
      </c>
      <c r="G34" s="155">
        <v>5121.3647139703999</v>
      </c>
      <c r="H34" s="155">
        <v>8453.8702005535852</v>
      </c>
      <c r="I34" s="155">
        <v>7616.4207402607371</v>
      </c>
      <c r="J34" s="155">
        <v>9422.8992422512038</v>
      </c>
      <c r="K34" s="155">
        <v>12453.894706702868</v>
      </c>
      <c r="L34" s="155">
        <v>11087.629174310285</v>
      </c>
      <c r="M34" s="155">
        <v>12876.269079504546</v>
      </c>
      <c r="N34" s="155">
        <v>15970.420067398485</v>
      </c>
      <c r="O34" s="155">
        <v>13108.348793000003</v>
      </c>
      <c r="P34" s="155">
        <v>294.22474955103996</v>
      </c>
      <c r="Q34" s="155">
        <v>-237.09764481388856</v>
      </c>
      <c r="R34" s="155">
        <v>1809</v>
      </c>
      <c r="S34" s="155">
        <v>3664.7509975367193</v>
      </c>
      <c r="T34" s="155">
        <v>4907.9435212986573</v>
      </c>
      <c r="U34" s="155">
        <v>5118.2625257621839</v>
      </c>
      <c r="V34" s="155">
        <v>5679.3372351456019</v>
      </c>
      <c r="W34" s="155">
        <v>6368.0589045836514</v>
      </c>
      <c r="X34" s="155">
        <v>7207</v>
      </c>
      <c r="Y34" s="155">
        <v>7117.0296222546731</v>
      </c>
      <c r="Z34" s="155">
        <v>7353.9840830964076</v>
      </c>
      <c r="AA34" s="155">
        <v>14090.009954233963</v>
      </c>
      <c r="AB34" s="155">
        <v>13236.075466602231</v>
      </c>
      <c r="AC34" s="155">
        <v>1298.4791287802332</v>
      </c>
      <c r="AD34" s="155">
        <v>2461.6945640568865</v>
      </c>
      <c r="AE34" s="155">
        <v>1000.4065589730683</v>
      </c>
      <c r="AF34" s="155">
        <v>3844.3422621125242</v>
      </c>
      <c r="AG34" s="155">
        <v>4006.2943941748649</v>
      </c>
      <c r="AH34" s="155">
        <v>4526.8259866031931</v>
      </c>
      <c r="AI34" s="155">
        <v>6867.9437375560065</v>
      </c>
      <c r="AJ34" s="155">
        <v>7061.7435638578099</v>
      </c>
      <c r="AK34" s="155">
        <v>7625.914880286221</v>
      </c>
      <c r="AL34" s="233"/>
      <c r="AM34" s="233"/>
      <c r="AN34" s="155">
        <v>11606.273204037596</v>
      </c>
      <c r="AO34" s="155">
        <v>12637.327129000005</v>
      </c>
      <c r="AP34" s="155">
        <v>160.57455812403214</v>
      </c>
      <c r="AQ34" s="155">
        <v>527.61724019555959</v>
      </c>
      <c r="AR34" s="155">
        <v>689.74118221775598</v>
      </c>
      <c r="AS34" s="155">
        <v>1848.0002289653075</v>
      </c>
      <c r="AT34" s="155">
        <v>2175.8095595961877</v>
      </c>
      <c r="AU34" s="155">
        <v>2910.4269973827259</v>
      </c>
      <c r="AV34" s="155">
        <v>3744.3859413326427</v>
      </c>
      <c r="AW34" s="155">
        <v>3900.9912465198267</v>
      </c>
      <c r="AX34" s="155">
        <v>5355.7158919463545</v>
      </c>
      <c r="AY34" s="155">
        <v>5502.1612391193175</v>
      </c>
      <c r="AZ34" s="155">
        <v>6126.3239721670507</v>
      </c>
      <c r="BA34" s="155">
        <v>7359.2497917255014</v>
      </c>
      <c r="BB34" s="155">
        <v>8932.6750459999821</v>
      </c>
      <c r="BC34" s="155">
        <v>3551.8546748939934</v>
      </c>
      <c r="BD34" s="155">
        <v>644.81936491004512</v>
      </c>
      <c r="BE34" s="156">
        <v>1032.0153557920773</v>
      </c>
      <c r="BF34" s="155">
        <v>-212.31748792743764</v>
      </c>
      <c r="BG34" s="155">
        <v>873.09262209258941</v>
      </c>
      <c r="BH34" s="155">
        <v>1455.6294502067274</v>
      </c>
      <c r="BI34" s="155">
        <v>2685.1276048820946</v>
      </c>
      <c r="BJ34" s="154">
        <v>4019.6837029403182</v>
      </c>
      <c r="BK34" s="155">
        <v>6013.2626354784643</v>
      </c>
      <c r="BL34" s="155">
        <v>3182.9482576603855</v>
      </c>
      <c r="BM34" s="155">
        <v>3705.6427082333444</v>
      </c>
      <c r="BN34" s="155">
        <v>3370.7423624188541</v>
      </c>
      <c r="BO34" s="155">
        <v>3530.3385482940212</v>
      </c>
      <c r="BP34" s="212">
        <v>5642.8314419999997</v>
      </c>
      <c r="BQ34" s="155">
        <v>5472.1966677267374</v>
      </c>
      <c r="BR34" s="155">
        <v>713.87823228377647</v>
      </c>
      <c r="BS34" s="155">
        <v>1840.9024593306597</v>
      </c>
      <c r="BT34" s="155">
        <v>120.76162047797351</v>
      </c>
      <c r="BU34" s="155">
        <v>1243.1052730484575</v>
      </c>
      <c r="BV34" s="155">
        <v>1423.8732670699778</v>
      </c>
      <c r="BW34" s="155">
        <v>-1580.141425634273</v>
      </c>
      <c r="BX34" s="155">
        <v>2154.9156990704191</v>
      </c>
      <c r="BY34" s="155">
        <v>1986.7541667415699</v>
      </c>
      <c r="BZ34" s="155">
        <v>-606.05215620920876</v>
      </c>
      <c r="CA34" s="155">
        <v>-1494.9484790143158</v>
      </c>
      <c r="CB34" s="155">
        <v>-923.93782448754109</v>
      </c>
      <c r="CC34" s="155">
        <v>6582.3278353094574</v>
      </c>
      <c r="CD34" s="155">
        <v>5696.9195039999995</v>
      </c>
      <c r="CE34" s="155">
        <v>-509.1639590833795</v>
      </c>
      <c r="CF34" s="155">
        <v>-5.9553943375825291</v>
      </c>
      <c r="CG34" s="155">
        <v>149.90799351318668</v>
      </c>
      <c r="CH34" s="155">
        <v>-2167.7833626440602</v>
      </c>
      <c r="CI34" s="155">
        <v>-1455.6691295925975</v>
      </c>
      <c r="CJ34" s="155">
        <v>-628.58891227764695</v>
      </c>
      <c r="CK34" s="155">
        <v>-563.41881396129679</v>
      </c>
      <c r="CL34" s="155">
        <v>-1827.393021575409</v>
      </c>
      <c r="CM34" s="155">
        <v>1283.7738838453356</v>
      </c>
      <c r="CN34" s="155">
        <v>-269.00505770342193</v>
      </c>
      <c r="CO34" s="155">
        <v>-1764.3060199883655</v>
      </c>
      <c r="CP34" s="155">
        <v>4423.2844579570774</v>
      </c>
      <c r="CQ34" s="155">
        <v>5865.6457480000026</v>
      </c>
      <c r="CR34" s="155">
        <v>4321.5916878114367</v>
      </c>
      <c r="CS34" s="155">
        <v>212.09159858358785</v>
      </c>
      <c r="CT34" s="155">
        <v>1671.5403267357972</v>
      </c>
      <c r="CU34" s="155">
        <v>695.67349992313279</v>
      </c>
      <c r="CV34" s="154">
        <v>4.6887043382866977E-2</v>
      </c>
      <c r="CW34" s="155">
        <v>992.62331283437334</v>
      </c>
      <c r="CX34" s="155">
        <v>1690.2899736907725</v>
      </c>
      <c r="CY34" s="155">
        <v>2507.4922569706036</v>
      </c>
      <c r="CZ34" s="155">
        <v>3119.5113058382285</v>
      </c>
      <c r="DA34" s="155">
        <v>836.21166008168211</v>
      </c>
      <c r="DB34" s="155">
        <v>3031.6667679380134</v>
      </c>
      <c r="DC34" s="155">
        <v>3991.0662641413169</v>
      </c>
      <c r="DD34" s="155">
        <v>4179.844157712555</v>
      </c>
      <c r="DE34" s="155">
        <v>3569.4072539999997</v>
      </c>
      <c r="DF34" s="155">
        <v>20955.667788999999</v>
      </c>
      <c r="DG34" s="155">
        <v>-1945.2691546611586</v>
      </c>
      <c r="DH34" s="157">
        <v>932.68856401274081</v>
      </c>
      <c r="DI34" s="155">
        <v>-498.34831091759384</v>
      </c>
      <c r="DJ34" s="155">
        <v>2358.4214830440324</v>
      </c>
      <c r="DK34" s="155">
        <v>5798.3839055885064</v>
      </c>
      <c r="DL34" s="155">
        <v>5009.4348092903838</v>
      </c>
      <c r="DM34" s="155">
        <v>7354.2791169804486</v>
      </c>
      <c r="DN34" s="155">
        <v>7108.4812637565592</v>
      </c>
      <c r="DO34" s="155">
        <v>9133.1578630937875</v>
      </c>
      <c r="DP34" s="155">
        <v>12409.399966661487</v>
      </c>
      <c r="DQ34" s="155">
        <v>15292.939003712145</v>
      </c>
      <c r="DR34" s="155">
        <v>14046.288254602998</v>
      </c>
      <c r="DS34" s="158">
        <f>+DS35+DS44</f>
        <v>18025.003025999998</v>
      </c>
      <c r="DT34" s="158">
        <f>+DT35+DT44</f>
        <v>20816.090353000003</v>
      </c>
      <c r="DU34" s="158">
        <v>-98.90036087652112</v>
      </c>
      <c r="DV34" s="158">
        <v>2005.4461505264535</v>
      </c>
      <c r="DW34" s="158">
        <v>3093.5784602203798</v>
      </c>
      <c r="DX34" s="158">
        <v>4983.0024960445016</v>
      </c>
      <c r="DY34" s="158">
        <v>7882.5343894402276</v>
      </c>
      <c r="DZ34" s="158">
        <f>+DZ35+DZ44</f>
        <v>7616.6045029999996</v>
      </c>
      <c r="EA34" s="158">
        <f>+EA35+EA44</f>
        <v>8470.4029806370254</v>
      </c>
      <c r="EB34" s="158"/>
      <c r="EC34" s="158"/>
      <c r="ED34" s="158"/>
      <c r="EE34" s="158"/>
      <c r="EF34" s="214" t="s">
        <v>75</v>
      </c>
      <c r="EG34" s="214" t="s">
        <v>75</v>
      </c>
      <c r="EH34" s="214" t="s">
        <v>75</v>
      </c>
      <c r="EI34" s="214" t="s">
        <v>75</v>
      </c>
      <c r="EJ34" s="214" t="s">
        <v>75</v>
      </c>
      <c r="EK34" s="214" t="s">
        <v>75</v>
      </c>
      <c r="EL34" s="965">
        <f t="shared" si="6"/>
        <v>1116.1238636565768</v>
      </c>
    </row>
    <row r="35" spans="1:146" ht="15" customHeight="1">
      <c r="A35" s="179" t="s">
        <v>137</v>
      </c>
      <c r="B35" s="169">
        <v>-7281.7728749999997</v>
      </c>
      <c r="C35" s="169">
        <v>-426.31018227754998</v>
      </c>
      <c r="D35" s="169">
        <v>-1583.6024934208499</v>
      </c>
      <c r="E35" s="169">
        <v>-1081</v>
      </c>
      <c r="F35" s="169">
        <v>-2656.0706386471002</v>
      </c>
      <c r="G35" s="169">
        <v>-2962.3394625759502</v>
      </c>
      <c r="H35" s="169">
        <v>-1438.294703</v>
      </c>
      <c r="I35" s="169">
        <v>-3468.2430290232696</v>
      </c>
      <c r="J35" s="169">
        <v>-3835.0100455141696</v>
      </c>
      <c r="K35" s="169">
        <v>-1836</v>
      </c>
      <c r="L35" s="169">
        <v>-4663.4076079770193</v>
      </c>
      <c r="M35" s="169">
        <v>-4990.3619903609097</v>
      </c>
      <c r="N35" s="169">
        <v>-5687.7357323337301</v>
      </c>
      <c r="O35" s="169">
        <v>-14078.729600000001</v>
      </c>
      <c r="P35" s="169">
        <v>-351.72933699999999</v>
      </c>
      <c r="Q35" s="169">
        <v>-819.14819599999998</v>
      </c>
      <c r="R35" s="169">
        <v>-1544</v>
      </c>
      <c r="S35" s="169">
        <v>-1940.1003381018493</v>
      </c>
      <c r="T35" s="169">
        <v>-2583.2744326517959</v>
      </c>
      <c r="U35" s="169">
        <v>-3829.7200200000002</v>
      </c>
      <c r="V35" s="169">
        <v>-3967.1871994660937</v>
      </c>
      <c r="W35" s="169">
        <v>-4380.8264961605182</v>
      </c>
      <c r="X35" s="169">
        <v>-5382</v>
      </c>
      <c r="Y35" s="169">
        <v>-5540.4961174532182</v>
      </c>
      <c r="Z35" s="169">
        <v>-6726.1075415689356</v>
      </c>
      <c r="AA35" s="169">
        <v>-6817.1793030678018</v>
      </c>
      <c r="AB35" s="169">
        <v>-8244.1266202238276</v>
      </c>
      <c r="AC35" s="169">
        <v>0</v>
      </c>
      <c r="AD35" s="169">
        <v>-456.23973450275003</v>
      </c>
      <c r="AE35" s="169">
        <v>-1083.3038467472504</v>
      </c>
      <c r="AF35" s="169">
        <v>-1882.3881067318375</v>
      </c>
      <c r="AG35" s="169">
        <v>-1982.0004050818375</v>
      </c>
      <c r="AH35" s="169">
        <v>-2089.8066489999997</v>
      </c>
      <c r="AI35" s="169">
        <v>-3100.488076765017</v>
      </c>
      <c r="AJ35" s="169">
        <v>-3326.1565172849664</v>
      </c>
      <c r="AK35" s="169">
        <v>-3289.4351209999995</v>
      </c>
      <c r="AL35" s="234"/>
      <c r="AM35" s="234"/>
      <c r="AN35" s="169">
        <v>-5035.7725023458952</v>
      </c>
      <c r="AO35" s="169">
        <v>-6755.7426889999997</v>
      </c>
      <c r="AP35" s="169">
        <v>-353.2268903877</v>
      </c>
      <c r="AQ35" s="169">
        <v>-391.01206390724991</v>
      </c>
      <c r="AR35" s="169">
        <v>-1572.0963773877002</v>
      </c>
      <c r="AS35" s="169">
        <v>-505</v>
      </c>
      <c r="AT35" s="169">
        <v>-1766.5328440350002</v>
      </c>
      <c r="AU35" s="169">
        <v>-1722.8291503877001</v>
      </c>
      <c r="AV35" s="169">
        <v>-1740.7341853877003</v>
      </c>
      <c r="AW35" s="169">
        <v>-1828</v>
      </c>
      <c r="AX35" s="169">
        <v>-1292.8065743877</v>
      </c>
      <c r="AY35" s="169">
        <v>-2428</v>
      </c>
      <c r="AZ35" s="169">
        <v>-2495.6334269745207</v>
      </c>
      <c r="BA35" s="167">
        <v>-5091.6342940000004</v>
      </c>
      <c r="BB35" s="169">
        <v>-7183.9473619999999</v>
      </c>
      <c r="BC35" s="169">
        <v>-4801.0762683836183</v>
      </c>
      <c r="BD35" s="169">
        <v>-160.72123000000002</v>
      </c>
      <c r="BE35" s="178">
        <v>-234.8827087430771</v>
      </c>
      <c r="BF35" s="167">
        <v>-416.97966629807706</v>
      </c>
      <c r="BG35" s="167">
        <v>-1159.6691755079983</v>
      </c>
      <c r="BH35" s="167">
        <v>-1438.337413384578</v>
      </c>
      <c r="BI35" s="155">
        <v>-1230.6315898618284</v>
      </c>
      <c r="BJ35" s="154">
        <v>-1676.8417005626929</v>
      </c>
      <c r="BK35" s="155">
        <v>-1619.6392405626934</v>
      </c>
      <c r="BL35" s="155">
        <v>-3182.3380439998805</v>
      </c>
      <c r="BM35" s="155">
        <v>-3324.478227795375</v>
      </c>
      <c r="BN35" s="155">
        <v>-4532.4071087916345</v>
      </c>
      <c r="BO35" s="155">
        <v>-5694.0924290000003</v>
      </c>
      <c r="BP35" s="155">
        <v>-6682.7067500000003</v>
      </c>
      <c r="BQ35" s="155">
        <v>-6807.1863289291905</v>
      </c>
      <c r="BR35" s="155">
        <v>169.11946122364498</v>
      </c>
      <c r="BS35" s="155">
        <v>-138.41917009279501</v>
      </c>
      <c r="BT35" s="154">
        <v>-338.61726800000002</v>
      </c>
      <c r="BU35" s="154">
        <v>-521.49650546932196</v>
      </c>
      <c r="BV35" s="154">
        <v>-727.60536031732192</v>
      </c>
      <c r="BW35" s="154">
        <v>-1373.832244869822</v>
      </c>
      <c r="BX35" s="154">
        <v>-760.21016122095671</v>
      </c>
      <c r="BY35" s="154">
        <v>-830.5173886626568</v>
      </c>
      <c r="BZ35" s="155">
        <v>-2325.3897464420461</v>
      </c>
      <c r="CA35" s="155">
        <v>-3035.1571233586997</v>
      </c>
      <c r="CB35" s="155">
        <v>-3053.2507789792467</v>
      </c>
      <c r="CC35" s="164">
        <v>-615.06647600000008</v>
      </c>
      <c r="CD35" s="164">
        <v>-10174.807529</v>
      </c>
      <c r="CE35" s="164">
        <v>-13.246973000000001</v>
      </c>
      <c r="CF35" s="155">
        <v>-10.790378</v>
      </c>
      <c r="CG35" s="155">
        <v>-107.67635200000001</v>
      </c>
      <c r="CH35" s="155">
        <v>10.558194999999994</v>
      </c>
      <c r="CI35" s="155">
        <v>-64.099265000000017</v>
      </c>
      <c r="CJ35" s="155">
        <v>-167.12749027754998</v>
      </c>
      <c r="CK35" s="155">
        <v>-1575.9988372775501</v>
      </c>
      <c r="CL35" s="155">
        <v>-2215.20473027755</v>
      </c>
      <c r="CM35" s="155">
        <v>-834.41405927754988</v>
      </c>
      <c r="CN35" s="155">
        <v>-1477.20461627755</v>
      </c>
      <c r="CO35" s="155">
        <v>-1872.3467092775502</v>
      </c>
      <c r="CP35" s="155">
        <v>-4308.5714279999993</v>
      </c>
      <c r="CQ35" s="164">
        <v>-8392.9927979999993</v>
      </c>
      <c r="CR35" s="164">
        <v>-8511.3271162647288</v>
      </c>
      <c r="CS35" s="164">
        <v>1.8E-3</v>
      </c>
      <c r="CT35" s="155">
        <v>2.5323899999999999</v>
      </c>
      <c r="CU35" s="155">
        <v>7.8897849999999998</v>
      </c>
      <c r="CV35" s="154">
        <v>-2126.874026</v>
      </c>
      <c r="CW35" s="155">
        <v>-2247.8470009999996</v>
      </c>
      <c r="CX35" s="155">
        <v>-2673.7792830000003</v>
      </c>
      <c r="CY35" s="155">
        <v>-3586.3891038745501</v>
      </c>
      <c r="CZ35" s="155">
        <v>-2566.8896273745504</v>
      </c>
      <c r="DA35" s="155">
        <v>-1656.7066049999999</v>
      </c>
      <c r="DB35" s="155">
        <v>-1719.34972266</v>
      </c>
      <c r="DC35" s="155">
        <v>-1978.489763</v>
      </c>
      <c r="DD35" s="155">
        <v>-5747.2131010000003</v>
      </c>
      <c r="DE35" s="155">
        <v>-4718.2653890000001</v>
      </c>
      <c r="DF35" s="155">
        <v>-4569.2920129999993</v>
      </c>
      <c r="DG35" s="155">
        <v>-65.554247000000004</v>
      </c>
      <c r="DH35" s="155">
        <v>-59.405965000000002</v>
      </c>
      <c r="DI35" s="155">
        <v>-106.15819500000001</v>
      </c>
      <c r="DJ35" s="155">
        <v>-171.26160100000001</v>
      </c>
      <c r="DK35" s="155">
        <v>-65.355435</v>
      </c>
      <c r="DL35" s="155">
        <v>-122.16207800000004</v>
      </c>
      <c r="DM35" s="155">
        <v>-169.98198199999999</v>
      </c>
      <c r="DN35" s="155">
        <v>-564.62809346439997</v>
      </c>
      <c r="DO35" s="155">
        <v>-1210.3391741610001</v>
      </c>
      <c r="DP35" s="155">
        <v>-1257.8085781609998</v>
      </c>
      <c r="DQ35" s="155">
        <v>-1310.0623391609995</v>
      </c>
      <c r="DR35" s="155">
        <v>-1832.1780287001504</v>
      </c>
      <c r="DS35" s="158">
        <f>+DS36+DS37+DS38+DS42</f>
        <v>1130.271573</v>
      </c>
      <c r="DT35" s="158">
        <f>+DT36+DT37+DT38+DT42</f>
        <v>933.63095799999996</v>
      </c>
      <c r="DU35" s="158">
        <v>3.6831070000000001</v>
      </c>
      <c r="DV35" s="158">
        <v>-257.202015125</v>
      </c>
      <c r="DW35" s="158">
        <v>-513.55123000000003</v>
      </c>
      <c r="DX35" s="158">
        <v>-594.29192899999998</v>
      </c>
      <c r="DY35" s="158">
        <v>-606.44243500000005</v>
      </c>
      <c r="DZ35" s="158">
        <f>+DZ36+DZ37+DZ38+DZ42</f>
        <v>-857.51846499999988</v>
      </c>
      <c r="EA35" s="158">
        <f>+EA36+EA37+EA38+EA42</f>
        <v>-920.31563099999994</v>
      </c>
      <c r="EB35" s="158"/>
      <c r="EC35" s="158"/>
      <c r="ED35" s="158"/>
      <c r="EE35" s="158"/>
      <c r="EF35" s="214" t="s">
        <v>75</v>
      </c>
      <c r="EG35" s="214" t="s">
        <v>75</v>
      </c>
      <c r="EH35" s="214" t="s">
        <v>75</v>
      </c>
      <c r="EI35" s="214" t="s">
        <v>75</v>
      </c>
      <c r="EJ35" s="214" t="s">
        <v>75</v>
      </c>
      <c r="EK35" s="214" t="s">
        <v>75</v>
      </c>
      <c r="EL35" s="965">
        <f t="shared" si="6"/>
        <v>-750.33364899999992</v>
      </c>
    </row>
    <row r="36" spans="1:146" ht="15" customHeight="1">
      <c r="A36" s="235" t="s">
        <v>138</v>
      </c>
      <c r="B36" s="169">
        <v>22.783935</v>
      </c>
      <c r="C36" s="169"/>
      <c r="D36" s="169"/>
      <c r="E36" s="169"/>
      <c r="F36" s="169"/>
      <c r="G36" s="169"/>
      <c r="H36" s="169"/>
      <c r="I36" s="169">
        <v>4.4893280000000004</v>
      </c>
      <c r="J36" s="169">
        <v>8.5623070000000006</v>
      </c>
      <c r="K36" s="169">
        <v>8.5623070000000006</v>
      </c>
      <c r="L36" s="169">
        <v>8.5623070000000006</v>
      </c>
      <c r="M36" s="169">
        <v>8.5623070000000006</v>
      </c>
      <c r="N36" s="169">
        <v>0</v>
      </c>
      <c r="O36" s="169">
        <v>237.7604</v>
      </c>
      <c r="P36" s="169"/>
      <c r="Q36" s="167"/>
      <c r="R36" s="167"/>
      <c r="S36" s="167"/>
      <c r="T36" s="169"/>
      <c r="U36" s="169">
        <v>16.279979999999998</v>
      </c>
      <c r="V36" s="169">
        <v>16.279979999999998</v>
      </c>
      <c r="W36" s="169">
        <v>16.279979999999998</v>
      </c>
      <c r="X36" s="169">
        <v>16.541409999999999</v>
      </c>
      <c r="Y36" s="167">
        <v>17</v>
      </c>
      <c r="Z36" s="167">
        <v>18</v>
      </c>
      <c r="AA36" s="169">
        <v>127.758306</v>
      </c>
      <c r="AB36" s="167">
        <v>354.06680147516425</v>
      </c>
      <c r="AC36" s="169"/>
      <c r="AD36" s="167"/>
      <c r="AE36" s="167"/>
      <c r="AF36" s="167"/>
      <c r="AG36" s="167"/>
      <c r="AH36" s="169">
        <v>8.1033639999999991</v>
      </c>
      <c r="AI36" s="169"/>
      <c r="AJ36" s="167"/>
      <c r="AK36" s="167">
        <v>11.246218000000001</v>
      </c>
      <c r="AL36" s="236"/>
      <c r="AM36" s="236"/>
      <c r="AN36" s="167">
        <v>129.16648799999999</v>
      </c>
      <c r="AO36" s="167">
        <v>352</v>
      </c>
      <c r="AP36" s="167"/>
      <c r="AQ36" s="167"/>
      <c r="AR36" s="167">
        <v>11.017026</v>
      </c>
      <c r="AS36" s="167"/>
      <c r="AT36" s="167">
        <v>11.017026</v>
      </c>
      <c r="AU36" s="167">
        <v>133.58052900000001</v>
      </c>
      <c r="AV36" s="167">
        <v>-13.445295</v>
      </c>
      <c r="AW36" s="167">
        <v>-13</v>
      </c>
      <c r="AX36" s="167">
        <v>151.923655</v>
      </c>
      <c r="AY36" s="167">
        <v>13</v>
      </c>
      <c r="AZ36" s="167">
        <v>13.445295</v>
      </c>
      <c r="BA36" s="167">
        <v>272.906499</v>
      </c>
      <c r="BB36" s="169">
        <v>267.47792299999998</v>
      </c>
      <c r="BC36" s="169">
        <v>312.77682600000003</v>
      </c>
      <c r="BD36" s="167"/>
      <c r="BE36" s="168"/>
      <c r="BF36" s="167">
        <v>135.495104</v>
      </c>
      <c r="BG36" s="167"/>
      <c r="BH36" s="167"/>
      <c r="BI36" s="167">
        <v>192.69805500000001</v>
      </c>
      <c r="BJ36" s="167">
        <v>135.495104</v>
      </c>
      <c r="BK36" s="167">
        <v>192.69805500000001</v>
      </c>
      <c r="BL36" s="167">
        <v>311.539536</v>
      </c>
      <c r="BM36" s="167">
        <v>311.539536</v>
      </c>
      <c r="BN36" s="167">
        <v>311.539536</v>
      </c>
      <c r="BO36" s="167">
        <v>312.77682600000003</v>
      </c>
      <c r="BP36" s="169">
        <v>303.36926399999999</v>
      </c>
      <c r="BQ36" s="169">
        <v>303.36926399999999</v>
      </c>
      <c r="BR36" s="167"/>
      <c r="BS36" s="167"/>
      <c r="BT36" s="167">
        <v>7.6656269999999997</v>
      </c>
      <c r="BU36" s="167">
        <v>7.6656269999999997</v>
      </c>
      <c r="BV36" s="167">
        <v>8.0994200000000003</v>
      </c>
      <c r="BW36" s="167">
        <v>137.12314699999999</v>
      </c>
      <c r="BX36" s="167">
        <v>139.69162499999999</v>
      </c>
      <c r="BY36" s="167">
        <v>142.26011099999999</v>
      </c>
      <c r="BZ36" s="167">
        <v>144.82858999999999</v>
      </c>
      <c r="CA36" s="167">
        <v>263.88136400000002</v>
      </c>
      <c r="CB36" s="167">
        <v>268.55291399999999</v>
      </c>
      <c r="CC36" s="170">
        <v>4564.9773139999998</v>
      </c>
      <c r="CD36" s="170">
        <v>224.12398400000001</v>
      </c>
      <c r="CE36" s="170">
        <v>2.174464</v>
      </c>
      <c r="CF36" s="169">
        <v>4.4862029999999997</v>
      </c>
      <c r="CG36" s="169">
        <v>5.8567039999999997</v>
      </c>
      <c r="CH36" s="169">
        <v>124.065652</v>
      </c>
      <c r="CI36" s="169">
        <v>125.436336</v>
      </c>
      <c r="CJ36" s="169">
        <v>126.807112</v>
      </c>
      <c r="CK36" s="169">
        <v>127.55297899999999</v>
      </c>
      <c r="CL36" s="169">
        <v>128.29893799999999</v>
      </c>
      <c r="CM36" s="169">
        <v>1729.044989</v>
      </c>
      <c r="CN36" s="169">
        <v>1845.2893509999999</v>
      </c>
      <c r="CO36" s="169">
        <v>1845.703878</v>
      </c>
      <c r="CP36" s="169">
        <v>3606.038215</v>
      </c>
      <c r="CQ36" s="170">
        <v>185.03230300000001</v>
      </c>
      <c r="CR36" s="170">
        <v>185.03230300000001</v>
      </c>
      <c r="CS36" s="170">
        <v>0</v>
      </c>
      <c r="CT36" s="169">
        <v>1.8044100000000001</v>
      </c>
      <c r="CU36" s="169">
        <v>6.2632300000000001</v>
      </c>
      <c r="CV36" s="167">
        <v>8.0679379999999998</v>
      </c>
      <c r="CW36" s="169">
        <v>9.8727959999999992</v>
      </c>
      <c r="CX36" s="169">
        <v>129.763352</v>
      </c>
      <c r="CY36" s="169">
        <v>136.97093100000001</v>
      </c>
      <c r="CZ36" s="169">
        <v>1594.17866</v>
      </c>
      <c r="DA36" s="169">
        <v>1602.9865400000001</v>
      </c>
      <c r="DB36" s="169">
        <v>1607.59457</v>
      </c>
      <c r="DC36" s="169">
        <v>1736.2643089999999</v>
      </c>
      <c r="DD36" s="169">
        <v>1736.4035510000001</v>
      </c>
      <c r="DE36" s="169">
        <v>143.6</v>
      </c>
      <c r="DF36" s="178">
        <v>391.6</v>
      </c>
      <c r="DG36" s="169">
        <v>7.4690890000000003</v>
      </c>
      <c r="DH36" s="169">
        <v>13.617371</v>
      </c>
      <c r="DI36" s="169">
        <v>18.826249000000001</v>
      </c>
      <c r="DJ36" s="169">
        <v>24.695338</v>
      </c>
      <c r="DK36" s="169">
        <v>150.60150400000001</v>
      </c>
      <c r="DL36" s="169">
        <v>156.80392599999999</v>
      </c>
      <c r="DM36" s="169">
        <v>161.479726</v>
      </c>
      <c r="DN36" s="169">
        <v>166.29595599999999</v>
      </c>
      <c r="DO36" s="169">
        <v>173.17183700000001</v>
      </c>
      <c r="DP36" s="169">
        <v>180.047718</v>
      </c>
      <c r="DQ36" s="169">
        <v>190.74649400000001</v>
      </c>
      <c r="DR36" s="169">
        <v>307.07491299999998</v>
      </c>
      <c r="DS36" s="172">
        <f>2303336808/1000000</f>
        <v>2303.336808</v>
      </c>
      <c r="DT36" s="172">
        <v>2303.336808</v>
      </c>
      <c r="DU36" s="172">
        <v>3.6831070000000001</v>
      </c>
      <c r="DV36" s="172">
        <v>10.855655</v>
      </c>
      <c r="DW36" s="172">
        <v>11.398764999999999</v>
      </c>
      <c r="DX36" s="172">
        <v>11.942004000000001</v>
      </c>
      <c r="DY36" s="172">
        <v>14.791498000000001</v>
      </c>
      <c r="DZ36" s="172">
        <v>15.19392</v>
      </c>
      <c r="EA36" s="172">
        <f>+'AI_ Abaixo da linha '!$E$34/1000000</f>
        <v>133.17667299999999</v>
      </c>
      <c r="EB36" s="172">
        <f>+'AI_ Abaixo da linha '!$E$34/1000000</f>
        <v>133.17667299999999</v>
      </c>
      <c r="EC36" s="172">
        <f>+'AI_ Abaixo da linha '!$E$34/1000000</f>
        <v>133.17667299999999</v>
      </c>
      <c r="ED36" s="172">
        <f>+'AI_ Abaixo da linha '!$E$34/1000000</f>
        <v>133.17667299999999</v>
      </c>
      <c r="EE36" s="172">
        <f>+'AI_ Abaixo da linha '!$E$34/1000000</f>
        <v>133.17667299999999</v>
      </c>
      <c r="EF36" s="214" t="s">
        <v>75</v>
      </c>
      <c r="EG36" s="214" t="s">
        <v>75</v>
      </c>
      <c r="EH36" s="214" t="s">
        <v>75</v>
      </c>
      <c r="EI36" s="214" t="s">
        <v>75</v>
      </c>
      <c r="EJ36" s="214" t="s">
        <v>75</v>
      </c>
      <c r="EK36" s="214" t="s">
        <v>75</v>
      </c>
      <c r="EL36" s="965">
        <f t="shared" si="6"/>
        <v>-28.303053000000006</v>
      </c>
    </row>
    <row r="37" spans="1:146" ht="15" customHeight="1">
      <c r="A37" s="235" t="s">
        <v>139</v>
      </c>
      <c r="B37" s="167">
        <v>-6304.55681</v>
      </c>
      <c r="C37" s="167">
        <v>-426.31018227754998</v>
      </c>
      <c r="D37" s="167">
        <v>-1583.6024934208499</v>
      </c>
      <c r="E37" s="167">
        <v>-1021</v>
      </c>
      <c r="F37" s="167">
        <v>-2596.0706386471002</v>
      </c>
      <c r="G37" s="167">
        <v>-2902.3394625759502</v>
      </c>
      <c r="H37" s="167">
        <v>-1374</v>
      </c>
      <c r="I37" s="167">
        <v>-3408.2000220232699</v>
      </c>
      <c r="J37" s="167">
        <v>-3771.5723525141698</v>
      </c>
      <c r="K37" s="167">
        <v>-1765</v>
      </c>
      <c r="L37" s="167">
        <v>-4589.4204619770198</v>
      </c>
      <c r="M37" s="167">
        <v>-4916.3748443609102</v>
      </c>
      <c r="N37" s="167">
        <v>-5601.3085273337301</v>
      </c>
      <c r="O37" s="167">
        <v>-11516.49</v>
      </c>
      <c r="P37" s="167">
        <v>-351.72933699999999</v>
      </c>
      <c r="Q37" s="167">
        <v>-819.14819599999998</v>
      </c>
      <c r="R37" s="167">
        <v>-990.37785254505093</v>
      </c>
      <c r="S37" s="167">
        <v>-1634.1003381018493</v>
      </c>
      <c r="T37" s="167">
        <v>-2057.8204326517957</v>
      </c>
      <c r="U37" s="167">
        <v>-3293</v>
      </c>
      <c r="V37" s="167">
        <v>-3423.3090984660935</v>
      </c>
      <c r="W37" s="167">
        <v>-3836.9483951605175</v>
      </c>
      <c r="X37" s="167">
        <v>-4811.5589528033015</v>
      </c>
      <c r="Y37" s="167">
        <v>-4970.3380364532177</v>
      </c>
      <c r="Z37" s="167">
        <v>-6142.9494605689351</v>
      </c>
      <c r="AA37" s="167">
        <v>-6135.1493530678017</v>
      </c>
      <c r="AB37" s="167">
        <v>-7651.6970463012149</v>
      </c>
      <c r="AC37" s="167">
        <v>0</v>
      </c>
      <c r="AD37" s="167">
        <v>-444.45671450275</v>
      </c>
      <c r="AE37" s="167">
        <v>-1071.5208267472503</v>
      </c>
      <c r="AF37" s="167">
        <v>-1860.2874597318375</v>
      </c>
      <c r="AG37" s="167">
        <v>-1959.8997580818375</v>
      </c>
      <c r="AH37" s="167">
        <v>-2063.6242259999999</v>
      </c>
      <c r="AI37" s="167">
        <v>-3078.2050567650172</v>
      </c>
      <c r="AJ37" s="167">
        <v>-3303.8734972849666</v>
      </c>
      <c r="AK37" s="167">
        <v>-3219.4942759999999</v>
      </c>
      <c r="AL37" s="236"/>
      <c r="AM37" s="236"/>
      <c r="AN37" s="167">
        <v>-5036.8142183458958</v>
      </c>
      <c r="AO37" s="167">
        <v>-7032.0233399999997</v>
      </c>
      <c r="AP37" s="167">
        <v>-353.2268903877</v>
      </c>
      <c r="AQ37" s="167">
        <v>-385.76206390724991</v>
      </c>
      <c r="AR37" s="167">
        <v>-1555.1059163877003</v>
      </c>
      <c r="AS37" s="167">
        <v>-484.52708599724997</v>
      </c>
      <c r="AT37" s="167">
        <v>-1757.0748700350002</v>
      </c>
      <c r="AU37" s="167">
        <v>-1668.1647523877002</v>
      </c>
      <c r="AV37" s="167">
        <v>-1544.0888903877003</v>
      </c>
      <c r="AW37" s="167">
        <v>-1544.0888903877001</v>
      </c>
      <c r="AX37" s="167">
        <v>-1668.1647523877002</v>
      </c>
      <c r="AY37" s="167">
        <v>-2101.3794438834202</v>
      </c>
      <c r="AZ37" s="167">
        <v>-2168.5951949745204</v>
      </c>
      <c r="BA37" s="167">
        <v>-3928.457312</v>
      </c>
      <c r="BB37" s="167">
        <v>-7859.2003050000003</v>
      </c>
      <c r="BC37" s="167">
        <v>-3632.0862613836189</v>
      </c>
      <c r="BD37" s="167">
        <v>-6.3068900000000001</v>
      </c>
      <c r="BE37" s="168">
        <v>-80.468368743077093</v>
      </c>
      <c r="BF37" s="167">
        <v>-177.81339929807712</v>
      </c>
      <c r="BG37" s="167">
        <v>-307.69304550799836</v>
      </c>
      <c r="BH37" s="167">
        <v>-480.60197738457799</v>
      </c>
      <c r="BI37" s="167">
        <v>-481.53235486182837</v>
      </c>
      <c r="BJ37" s="167">
        <v>-646.35780456269299</v>
      </c>
      <c r="BK37" s="167">
        <v>-646.35780456269333</v>
      </c>
      <c r="BL37" s="167">
        <v>-2011.8759789998805</v>
      </c>
      <c r="BM37" s="167">
        <v>-2154.0161627953753</v>
      </c>
      <c r="BN37" s="167">
        <v>-3221.5288307916339</v>
      </c>
      <c r="BO37" s="167">
        <v>-4526.2725719999999</v>
      </c>
      <c r="BP37" s="167">
        <v>-5960.1472180000001</v>
      </c>
      <c r="BQ37" s="167">
        <v>-5582.40679692919</v>
      </c>
      <c r="BR37" s="167">
        <v>169.11946122364498</v>
      </c>
      <c r="BS37" s="167">
        <v>-173.47670509279499</v>
      </c>
      <c r="BT37" s="167">
        <v>-382.45009399999998</v>
      </c>
      <c r="BU37" s="167">
        <v>-571.61408546932194</v>
      </c>
      <c r="BV37" s="167">
        <v>-730.70478031732193</v>
      </c>
      <c r="BW37" s="167">
        <v>-1532.119685869822</v>
      </c>
      <c r="BX37" s="167">
        <v>-877.40178622095664</v>
      </c>
      <c r="BY37" s="167">
        <v>-946.4474996626567</v>
      </c>
      <c r="BZ37" s="167">
        <v>-2467.9338674420464</v>
      </c>
      <c r="CA37" s="167">
        <v>-2571.8837273586996</v>
      </c>
      <c r="CB37" s="167">
        <v>-2599.1353769792468</v>
      </c>
      <c r="CC37" s="170">
        <v>-4097.800166</v>
      </c>
      <c r="CD37" s="170">
        <v>-7462.2374479999999</v>
      </c>
      <c r="CE37" s="170">
        <v>0</v>
      </c>
      <c r="CF37" s="169">
        <v>0</v>
      </c>
      <c r="CG37" s="169">
        <v>0</v>
      </c>
      <c r="CH37" s="169">
        <v>0</v>
      </c>
      <c r="CI37" s="169"/>
      <c r="CJ37" s="169">
        <v>-104.88794127755</v>
      </c>
      <c r="CK37" s="169">
        <v>-104.88794127755</v>
      </c>
      <c r="CL37" s="169">
        <v>-104.88794127755</v>
      </c>
      <c r="CM37" s="169">
        <v>-104.88794127755001</v>
      </c>
      <c r="CN37" s="169">
        <v>-104.88794127755001</v>
      </c>
      <c r="CO37" s="169">
        <v>-104.88794127755001</v>
      </c>
      <c r="CP37" s="169">
        <v>-3325.7586110000002</v>
      </c>
      <c r="CQ37" s="170">
        <v>-4930.7689799999998</v>
      </c>
      <c r="CR37" s="170">
        <v>-5049.1032982647303</v>
      </c>
      <c r="CS37" s="170">
        <v>0</v>
      </c>
      <c r="CT37" s="169">
        <v>0</v>
      </c>
      <c r="CU37" s="169">
        <v>0</v>
      </c>
      <c r="CV37" s="167">
        <v>0</v>
      </c>
      <c r="CW37" s="169">
        <v>0</v>
      </c>
      <c r="CX37" s="169">
        <v>0</v>
      </c>
      <c r="CY37" s="169">
        <v>-2026.0412588745501</v>
      </c>
      <c r="CZ37" s="169">
        <v>-2264.2630953745502</v>
      </c>
      <c r="DA37" s="169">
        <v>-1315.332594</v>
      </c>
      <c r="DB37" s="169">
        <v>-1307.43702566</v>
      </c>
      <c r="DC37" s="169">
        <v>-1308.8082299999999</v>
      </c>
      <c r="DD37" s="169">
        <v>-2305.0705950000001</v>
      </c>
      <c r="DE37" s="169">
        <v>-3538.6875030000001</v>
      </c>
      <c r="DF37" s="178">
        <v>-4664.1100390000001</v>
      </c>
      <c r="DG37" s="169">
        <v>0</v>
      </c>
      <c r="DH37" s="169">
        <v>0</v>
      </c>
      <c r="DI37" s="167">
        <v>-4</v>
      </c>
      <c r="DJ37" s="169">
        <v>-4</v>
      </c>
      <c r="DK37" s="169">
        <v>-24</v>
      </c>
      <c r="DL37" s="169">
        <v>-24</v>
      </c>
      <c r="DM37" s="169">
        <v>-24</v>
      </c>
      <c r="DN37" s="169">
        <v>-436.85614246439997</v>
      </c>
      <c r="DO37" s="169">
        <v>-842.66601216099991</v>
      </c>
      <c r="DP37" s="169">
        <v>-842.66601216099968</v>
      </c>
      <c r="DQ37" s="169">
        <v>-842.66601216099968</v>
      </c>
      <c r="DR37" s="169">
        <v>-1376.7340517001503</v>
      </c>
      <c r="DS37" s="172">
        <f>-579055301/1000000</f>
        <v>-579.05530099999999</v>
      </c>
      <c r="DT37" s="172">
        <v>-2278.458897</v>
      </c>
      <c r="DU37" s="172">
        <v>0</v>
      </c>
      <c r="DV37" s="172">
        <v>-145.70962312500001</v>
      </c>
      <c r="DW37" s="187">
        <v>-314.517447</v>
      </c>
      <c r="DX37" s="187">
        <v>-314.517447</v>
      </c>
      <c r="DY37" s="187">
        <v>-329.517447</v>
      </c>
      <c r="DZ37" s="187">
        <v>-583.34394599999996</v>
      </c>
      <c r="EA37" s="187">
        <f>-+'AI_ Abaixo da linha '!$G$12/1000000</f>
        <v>-640.55451500000004</v>
      </c>
      <c r="EB37" s="187">
        <f>-+'AI_ Abaixo da linha '!$G$12/1000000</f>
        <v>-640.55451500000004</v>
      </c>
      <c r="EC37" s="187">
        <f>-+'AI_ Abaixo da linha '!$G$12/1000000</f>
        <v>-640.55451500000004</v>
      </c>
      <c r="ED37" s="187">
        <f>-+'AI_ Abaixo da linha '!$G$12/1000000</f>
        <v>-640.55451500000004</v>
      </c>
      <c r="EE37" s="187">
        <f>-+'AI_ Abaixo da linha '!$G$12/1000000</f>
        <v>-640.55451500000004</v>
      </c>
      <c r="EF37" s="214" t="s">
        <v>75</v>
      </c>
      <c r="EG37" s="214" t="s">
        <v>75</v>
      </c>
      <c r="EH37" s="214" t="s">
        <v>75</v>
      </c>
      <c r="EI37" s="214" t="s">
        <v>75</v>
      </c>
      <c r="EJ37" s="214" t="s">
        <v>75</v>
      </c>
      <c r="EK37" s="214" t="s">
        <v>75</v>
      </c>
      <c r="EL37" s="965">
        <f t="shared" si="6"/>
        <v>-616.55451500000004</v>
      </c>
    </row>
    <row r="38" spans="1:146" ht="15" customHeight="1">
      <c r="A38" s="235" t="s">
        <v>140</v>
      </c>
      <c r="B38" s="167">
        <v>-1000</v>
      </c>
      <c r="C38" s="167"/>
      <c r="D38" s="167"/>
      <c r="E38" s="167">
        <v>-60</v>
      </c>
      <c r="F38" s="167">
        <v>-60</v>
      </c>
      <c r="G38" s="167">
        <v>-60</v>
      </c>
      <c r="H38" s="167">
        <v>-64.294702999999998</v>
      </c>
      <c r="I38" s="167">
        <v>-64.532335000000003</v>
      </c>
      <c r="J38" s="167">
        <v>-72</v>
      </c>
      <c r="K38" s="167">
        <v>-78.922202999999996</v>
      </c>
      <c r="L38" s="167">
        <v>-82.549453</v>
      </c>
      <c r="M38" s="167">
        <v>-82.549453</v>
      </c>
      <c r="N38" s="167">
        <v>-1043.7163849999999</v>
      </c>
      <c r="O38" s="167">
        <v>-1500</v>
      </c>
      <c r="P38" s="167"/>
      <c r="Q38" s="167"/>
      <c r="R38" s="167">
        <v>-525</v>
      </c>
      <c r="S38" s="167">
        <v>-306</v>
      </c>
      <c r="T38" s="167">
        <v>-525.45399999999995</v>
      </c>
      <c r="U38" s="167">
        <v>-525</v>
      </c>
      <c r="V38" s="167">
        <v>-560.15808100000004</v>
      </c>
      <c r="W38" s="167">
        <v>-560.15808100000004</v>
      </c>
      <c r="X38" s="167">
        <v>-587.15808100000004</v>
      </c>
      <c r="Y38" s="167">
        <v>-587.15808100000004</v>
      </c>
      <c r="Z38" s="167">
        <v>-601.15808100000004</v>
      </c>
      <c r="AA38" s="167">
        <v>-717.52853000000005</v>
      </c>
      <c r="AB38" s="167">
        <v>-500</v>
      </c>
      <c r="AC38" s="167">
        <v>0</v>
      </c>
      <c r="AD38" s="167">
        <v>-11.78302</v>
      </c>
      <c r="AE38" s="167">
        <v>-11.78302</v>
      </c>
      <c r="AF38" s="167">
        <v>-17.03302</v>
      </c>
      <c r="AG38" s="167">
        <v>-17.03302</v>
      </c>
      <c r="AH38" s="167">
        <v>-34.285786999999999</v>
      </c>
      <c r="AI38" s="167">
        <v>-22.28302</v>
      </c>
      <c r="AJ38" s="167">
        <v>-22.28302</v>
      </c>
      <c r="AK38" s="167">
        <v>-27.53302</v>
      </c>
      <c r="AL38" s="236"/>
      <c r="AM38" s="236"/>
      <c r="AN38" s="167">
        <v>-100.561341</v>
      </c>
      <c r="AO38" s="167">
        <v>-407.71712000000002</v>
      </c>
      <c r="AP38" s="167">
        <v>0</v>
      </c>
      <c r="AQ38" s="167">
        <v>-5.25</v>
      </c>
      <c r="AR38" s="167">
        <v>-15.25</v>
      </c>
      <c r="AS38" s="167">
        <v>-20.475000000000001</v>
      </c>
      <c r="AT38" s="167">
        <v>-20.475000000000001</v>
      </c>
      <c r="AU38" s="167">
        <v>-183.2</v>
      </c>
      <c r="AV38" s="167">
        <v>-183.2</v>
      </c>
      <c r="AW38" s="167">
        <v>-238.33250000000001</v>
      </c>
      <c r="AX38" s="167">
        <v>-248.33250000000001</v>
      </c>
      <c r="AY38" s="167">
        <v>-308.41245099999998</v>
      </c>
      <c r="AZ38" s="167">
        <v>-308.41245099999998</v>
      </c>
      <c r="BA38" s="167">
        <v>-1913.16508</v>
      </c>
      <c r="BB38" s="167"/>
      <c r="BC38" s="167">
        <v>-1509.583787</v>
      </c>
      <c r="BD38" s="167">
        <v>-154.41434000000001</v>
      </c>
      <c r="BE38" s="168">
        <v>-154.41434000000001</v>
      </c>
      <c r="BF38" s="167">
        <v>-390.49755499999998</v>
      </c>
      <c r="BG38" s="167">
        <v>-851.97613000000001</v>
      </c>
      <c r="BH38" s="167">
        <v>-957.73543600000005</v>
      </c>
      <c r="BI38" s="167">
        <v>-957.73543600000005</v>
      </c>
      <c r="BJ38" s="167">
        <v>-1165.979</v>
      </c>
      <c r="BK38" s="169">
        <v>-1165.9794910000001</v>
      </c>
      <c r="BL38" s="167"/>
      <c r="BM38" s="167">
        <v>-1509.583787</v>
      </c>
      <c r="BN38" s="167">
        <v>-1650</v>
      </c>
      <c r="BO38" s="167">
        <v>-1508.4136370000001</v>
      </c>
      <c r="BP38" s="167">
        <v>-1108.0061109999999</v>
      </c>
      <c r="BQ38" s="167">
        <v>-1610.2261109999999</v>
      </c>
      <c r="BR38" s="167"/>
      <c r="BS38" s="167"/>
      <c r="BT38" s="167">
        <v>0</v>
      </c>
      <c r="BU38" s="167">
        <v>0</v>
      </c>
      <c r="BV38" s="167">
        <v>-5</v>
      </c>
      <c r="BW38" s="167">
        <v>-22.5</v>
      </c>
      <c r="BX38" s="167">
        <v>-22.5</v>
      </c>
      <c r="BY38" s="167">
        <v>-26.33</v>
      </c>
      <c r="BZ38" s="167">
        <v>-49.31</v>
      </c>
      <c r="CA38" s="167">
        <v>-774.22186099999999</v>
      </c>
      <c r="CB38" s="167">
        <v>-774.22186099999999</v>
      </c>
      <c r="CC38" s="170">
        <v>-1157.4308739999999</v>
      </c>
      <c r="CD38" s="170">
        <v>-4014.9811970000001</v>
      </c>
      <c r="CE38" s="170">
        <v>-17.5</v>
      </c>
      <c r="CF38" s="169">
        <v>-17.5</v>
      </c>
      <c r="CG38" s="169">
        <v>-116.90826800000001</v>
      </c>
      <c r="CH38" s="169">
        <v>-116.90826800000001</v>
      </c>
      <c r="CI38" s="169">
        <v>-192.98538400000001</v>
      </c>
      <c r="CJ38" s="169">
        <v>-192.98538400000001</v>
      </c>
      <c r="CK38" s="169">
        <v>-192.98538400000001</v>
      </c>
      <c r="CL38" s="169">
        <v>-192.98538400000001</v>
      </c>
      <c r="CM38" s="169">
        <v>-2469.2253839999998</v>
      </c>
      <c r="CN38" s="169">
        <v>-3229.2253839999998</v>
      </c>
      <c r="CO38" s="169">
        <v>-3626.0243840000003</v>
      </c>
      <c r="CP38" s="169">
        <v>-4588.8510319999996</v>
      </c>
      <c r="CQ38" s="170">
        <v>-3666.9446010000001</v>
      </c>
      <c r="CR38" s="170">
        <v>-3666.9446010000001</v>
      </c>
      <c r="CS38" s="170">
        <v>0</v>
      </c>
      <c r="CT38" s="169">
        <v>0</v>
      </c>
      <c r="CU38" s="169">
        <v>0</v>
      </c>
      <c r="CV38" s="167">
        <v>-2136.589414</v>
      </c>
      <c r="CW38" s="169">
        <v>-2260.0638949999998</v>
      </c>
      <c r="CX38" s="169">
        <v>-2806.160292</v>
      </c>
      <c r="CY38" s="169">
        <v>-1697.3187760000001</v>
      </c>
      <c r="CZ38" s="169">
        <v>-1896.805192</v>
      </c>
      <c r="DA38" s="169">
        <v>-1944.360551</v>
      </c>
      <c r="DB38" s="169">
        <v>-2019.507267</v>
      </c>
      <c r="DC38" s="169">
        <v>-2405.9458420000001</v>
      </c>
      <c r="DD38" s="169">
        <v>-5318.2361010000004</v>
      </c>
      <c r="DE38" s="169">
        <v>-1447.7121890000001</v>
      </c>
      <c r="DF38" s="178">
        <v>-1444.556116</v>
      </c>
      <c r="DG38" s="169">
        <v>-73.023336</v>
      </c>
      <c r="DH38" s="169">
        <v>-73.023336</v>
      </c>
      <c r="DI38" s="169">
        <v>-121.95693900000001</v>
      </c>
      <c r="DJ38" s="169">
        <v>-191.95693900000001</v>
      </c>
      <c r="DK38" s="169">
        <v>-191.95693900000001</v>
      </c>
      <c r="DL38" s="169">
        <v>-260.62370800000002</v>
      </c>
      <c r="DM38" s="169">
        <v>-307.46170799999999</v>
      </c>
      <c r="DN38" s="169">
        <v>-294.06790699999999</v>
      </c>
      <c r="DO38" s="169">
        <v>-547.18766400000004</v>
      </c>
      <c r="DP38" s="169">
        <v>-595.19028400000002</v>
      </c>
      <c r="DQ38" s="169">
        <v>-664.47202700000003</v>
      </c>
      <c r="DR38" s="169">
        <v>-769.06805499999996</v>
      </c>
      <c r="DS38" s="172">
        <f>-1099627038/1000000</f>
        <v>-1099.6270380000001</v>
      </c>
      <c r="DT38" s="172">
        <v>-1049</v>
      </c>
      <c r="DU38" s="172">
        <v>0</v>
      </c>
      <c r="DV38" s="172">
        <v>-122.34804699999999</v>
      </c>
      <c r="DW38" s="187">
        <v>-210.432548</v>
      </c>
      <c r="DX38" s="187">
        <v>-291.71648600000003</v>
      </c>
      <c r="DY38" s="187">
        <v>-291.71648600000003</v>
      </c>
      <c r="DZ38" s="187">
        <v>-289.36843900000002</v>
      </c>
      <c r="EA38" s="187">
        <f>-(+'AI_ Abaixo da linha '!$G$14/1000000+'AI_Por Regularizar e OPT'!$D$81/1000000)</f>
        <v>-412.93778899999995</v>
      </c>
      <c r="EB38" s="172"/>
      <c r="EC38" s="172"/>
      <c r="ED38" s="172"/>
      <c r="EE38" s="172"/>
      <c r="EF38" s="214" t="s">
        <v>75</v>
      </c>
      <c r="EG38" s="214" t="s">
        <v>75</v>
      </c>
      <c r="EH38" s="214" t="s">
        <v>75</v>
      </c>
      <c r="EI38" s="214" t="s">
        <v>75</v>
      </c>
      <c r="EJ38" s="214" t="s">
        <v>75</v>
      </c>
      <c r="EK38" s="214" t="s">
        <v>75</v>
      </c>
      <c r="EL38" s="965">
        <f t="shared" si="6"/>
        <v>-105.47608099999997</v>
      </c>
    </row>
    <row r="39" spans="1:146" ht="15" hidden="1" customHeight="1">
      <c r="A39" s="235" t="s">
        <v>141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>
        <v>-28</v>
      </c>
      <c r="S39" s="167"/>
      <c r="T39" s="167"/>
      <c r="U39" s="167">
        <v>-28</v>
      </c>
      <c r="V39" s="167"/>
      <c r="W39" s="167"/>
      <c r="X39" s="167">
        <v>-55</v>
      </c>
      <c r="Y39" s="167"/>
      <c r="Z39" s="167"/>
      <c r="AA39" s="167">
        <v>-92.259726000000001</v>
      </c>
      <c r="AB39" s="167"/>
      <c r="AC39" s="167"/>
      <c r="AD39" s="167"/>
      <c r="AE39" s="167"/>
      <c r="AF39" s="167"/>
      <c r="AG39" s="167">
        <v>-5.0676269999999999</v>
      </c>
      <c r="AH39" s="167"/>
      <c r="AI39" s="167"/>
      <c r="AJ39" s="167"/>
      <c r="AK39" s="167">
        <v>-32.071075999999998</v>
      </c>
      <c r="AL39" s="236"/>
      <c r="AM39" s="236"/>
      <c r="AN39" s="167"/>
      <c r="AO39" s="167"/>
      <c r="AP39" s="167"/>
      <c r="AQ39" s="167"/>
      <c r="AR39" s="167">
        <v>-32.091076000000001</v>
      </c>
      <c r="AS39" s="167"/>
      <c r="AT39" s="167"/>
      <c r="AU39" s="167">
        <v>-32.071075999999998</v>
      </c>
      <c r="AV39" s="167"/>
      <c r="AW39" s="167">
        <v>-32.071075999999998</v>
      </c>
      <c r="AX39" s="167">
        <v>-32.071075999999998</v>
      </c>
      <c r="AY39" s="167">
        <v>-32.071075999999998</v>
      </c>
      <c r="AZ39" s="167">
        <v>-32.071075999999998</v>
      </c>
      <c r="BA39" s="167">
        <v>-32.071075999999998</v>
      </c>
      <c r="BB39" s="167"/>
      <c r="BC39" s="167"/>
      <c r="BD39" s="167"/>
      <c r="BE39" s="168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4"/>
      <c r="CD39" s="164"/>
      <c r="CE39" s="164"/>
      <c r="CF39" s="169"/>
      <c r="CG39" s="169">
        <v>3.3752119999999999</v>
      </c>
      <c r="CH39" s="169"/>
      <c r="CI39" s="169"/>
      <c r="CJ39" s="169"/>
      <c r="CK39" s="169"/>
      <c r="CL39" s="169"/>
      <c r="CM39" s="169"/>
      <c r="CN39" s="169"/>
      <c r="CO39" s="169"/>
      <c r="CP39" s="169"/>
      <c r="CQ39" s="170"/>
      <c r="CR39" s="170"/>
      <c r="CS39" s="170"/>
      <c r="CT39" s="169"/>
      <c r="CU39" s="169"/>
      <c r="CV39" s="167"/>
      <c r="CW39" s="169"/>
      <c r="CX39" s="169"/>
      <c r="CY39" s="169"/>
      <c r="CZ39" s="169"/>
      <c r="DA39" s="169"/>
      <c r="DB39" s="169"/>
      <c r="DC39" s="169"/>
      <c r="DD39" s="169">
        <v>0</v>
      </c>
      <c r="DE39" s="169"/>
      <c r="DF39" s="169"/>
      <c r="DG39" s="169"/>
      <c r="DH39" s="169"/>
      <c r="DI39" s="169"/>
      <c r="DJ39" s="169"/>
      <c r="DK39" s="169"/>
      <c r="DL39" s="169"/>
      <c r="DM39" s="169"/>
      <c r="DN39" s="169"/>
      <c r="DO39" s="169"/>
      <c r="DP39" s="169"/>
      <c r="DQ39" s="169"/>
      <c r="DR39" s="169"/>
      <c r="DS39" s="172"/>
      <c r="DT39" s="172"/>
      <c r="DU39" s="172"/>
      <c r="DV39" s="172"/>
      <c r="DW39" s="172"/>
      <c r="DX39" s="172"/>
      <c r="DY39" s="172"/>
      <c r="DZ39" s="187"/>
      <c r="EA39" s="172"/>
      <c r="EB39" s="172"/>
      <c r="EC39" s="172"/>
      <c r="ED39" s="172"/>
      <c r="EE39" s="172"/>
      <c r="EF39" s="214" t="s">
        <v>75</v>
      </c>
      <c r="EG39" s="214" t="s">
        <v>75</v>
      </c>
      <c r="EH39" s="214" t="s">
        <v>75</v>
      </c>
      <c r="EI39" s="214" t="s">
        <v>75</v>
      </c>
      <c r="EJ39" s="214" t="s">
        <v>75</v>
      </c>
      <c r="EK39" s="214" t="s">
        <v>75</v>
      </c>
      <c r="EL39" s="965">
        <f t="shared" si="6"/>
        <v>0</v>
      </c>
    </row>
    <row r="40" spans="1:146" ht="15" hidden="1" customHeight="1">
      <c r="A40" s="235" t="s">
        <v>142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236"/>
      <c r="AM40" s="236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>
        <v>482.86619899999999</v>
      </c>
      <c r="AY40" s="167"/>
      <c r="AZ40" s="167"/>
      <c r="BA40" s="167">
        <v>488.18077499999998</v>
      </c>
      <c r="BB40" s="167"/>
      <c r="BC40" s="167"/>
      <c r="BD40" s="167"/>
      <c r="BE40" s="168"/>
      <c r="BF40" s="167"/>
      <c r="BG40" s="167"/>
      <c r="BH40" s="167"/>
      <c r="BI40" s="167"/>
      <c r="BJ40" s="167"/>
      <c r="BK40" s="167"/>
      <c r="BL40" s="167">
        <v>-1509.583787</v>
      </c>
      <c r="BM40" s="167"/>
      <c r="BN40" s="167"/>
      <c r="BO40" s="167">
        <v>27.816953999999999</v>
      </c>
      <c r="BP40" s="167"/>
      <c r="BQ40" s="167"/>
      <c r="BR40" s="167"/>
      <c r="BS40" s="167">
        <v>35.057535000000001</v>
      </c>
      <c r="BT40" s="167">
        <v>36.167198999999997</v>
      </c>
      <c r="BU40" s="167">
        <v>42.451953000000003</v>
      </c>
      <c r="BV40" s="167">
        <v>0</v>
      </c>
      <c r="BW40" s="167">
        <v>43.664293999999998</v>
      </c>
      <c r="BX40" s="167"/>
      <c r="BY40" s="167"/>
      <c r="BZ40" s="167">
        <v>47.025531000000001</v>
      </c>
      <c r="CA40" s="167">
        <v>47.067101000000001</v>
      </c>
      <c r="CB40" s="167">
        <v>51.553545</v>
      </c>
      <c r="CC40" s="170">
        <v>67.008090999999993</v>
      </c>
      <c r="CD40" s="170"/>
      <c r="CE40" s="170">
        <v>2.0785629999999999</v>
      </c>
      <c r="CF40" s="169">
        <v>2.2234189999999998</v>
      </c>
      <c r="CG40" s="200">
        <v>0</v>
      </c>
      <c r="CH40" s="200">
        <v>3.400811</v>
      </c>
      <c r="CI40" s="200">
        <v>3.449783</v>
      </c>
      <c r="CJ40" s="200">
        <v>3.938723</v>
      </c>
      <c r="CK40" s="200">
        <v>8.5774270000000001</v>
      </c>
      <c r="CL40" s="200">
        <v>8.6255749999999995</v>
      </c>
      <c r="CM40" s="200">
        <v>10.654277</v>
      </c>
      <c r="CN40" s="200">
        <v>11.619358</v>
      </c>
      <c r="CO40" s="200">
        <v>12.861738000000001</v>
      </c>
      <c r="CP40" s="200">
        <v>0</v>
      </c>
      <c r="CQ40" s="170"/>
      <c r="CR40" s="170"/>
      <c r="CS40" s="170"/>
      <c r="CT40" s="169">
        <v>0.72797999999999996</v>
      </c>
      <c r="CU40" s="200">
        <v>1.626555</v>
      </c>
      <c r="CV40" s="204">
        <v>1.6474500000000001</v>
      </c>
      <c r="CW40" s="200">
        <v>2.3440979999999998</v>
      </c>
      <c r="CX40" s="200">
        <v>2.6176569999999999</v>
      </c>
      <c r="CY40" s="200">
        <v>0</v>
      </c>
      <c r="CZ40" s="200"/>
      <c r="DA40" s="200"/>
      <c r="DB40" s="200"/>
      <c r="DC40" s="200"/>
      <c r="DD40" s="200">
        <v>139.690044</v>
      </c>
      <c r="DE40" s="200"/>
      <c r="DF40" s="200"/>
      <c r="DG40" s="200"/>
      <c r="DH40" s="200"/>
      <c r="DI40" s="200">
        <v>0.972495</v>
      </c>
      <c r="DJ40" s="200"/>
      <c r="DK40" s="200"/>
      <c r="DL40" s="200"/>
      <c r="DM40" s="200"/>
      <c r="DN40" s="200"/>
      <c r="DO40" s="200">
        <v>6.3426650000000002</v>
      </c>
      <c r="DP40" s="200"/>
      <c r="DQ40" s="200"/>
      <c r="DR40" s="200">
        <v>6.5491650000000003</v>
      </c>
      <c r="DS40" s="191"/>
      <c r="DT40" s="191"/>
      <c r="DU40" s="191"/>
      <c r="DV40" s="191"/>
      <c r="DW40" s="191"/>
      <c r="DX40" s="191"/>
      <c r="DY40" s="191"/>
      <c r="DZ40" s="187">
        <v>-289368439</v>
      </c>
      <c r="EA40" s="191"/>
      <c r="EB40" s="191"/>
      <c r="EC40" s="191"/>
      <c r="ED40" s="191"/>
      <c r="EE40" s="191"/>
      <c r="EF40" s="214" t="s">
        <v>75</v>
      </c>
      <c r="EG40" s="214" t="s">
        <v>75</v>
      </c>
      <c r="EH40" s="214" t="s">
        <v>75</v>
      </c>
      <c r="EI40" s="214" t="s">
        <v>75</v>
      </c>
      <c r="EJ40" s="214" t="s">
        <v>75</v>
      </c>
      <c r="EK40" s="214" t="s">
        <v>75</v>
      </c>
      <c r="EL40" s="965">
        <f t="shared" si="6"/>
        <v>0</v>
      </c>
    </row>
    <row r="41" spans="1:146" ht="15" hidden="1" customHeight="1">
      <c r="A41" s="235" t="s">
        <v>143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236"/>
      <c r="AM41" s="236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8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70"/>
      <c r="CD41" s="170"/>
      <c r="CE41" s="170"/>
      <c r="CF41" s="169"/>
      <c r="CG41" s="200">
        <v>0</v>
      </c>
      <c r="CH41" s="200"/>
      <c r="CI41" s="200"/>
      <c r="CJ41" s="200"/>
      <c r="CK41" s="200"/>
      <c r="CL41" s="200"/>
      <c r="CM41" s="200"/>
      <c r="CN41" s="200"/>
      <c r="CO41" s="200"/>
      <c r="CP41" s="200"/>
      <c r="CQ41" s="170">
        <v>-953.65909299999998</v>
      </c>
      <c r="CR41" s="170">
        <v>-953.65909299999998</v>
      </c>
      <c r="CS41" s="170"/>
      <c r="CT41" s="169"/>
      <c r="CU41" s="200"/>
      <c r="CV41" s="204"/>
      <c r="CW41" s="200"/>
      <c r="CX41" s="200"/>
      <c r="CY41" s="200"/>
      <c r="CZ41" s="200"/>
      <c r="DA41" s="200"/>
      <c r="DB41" s="200"/>
      <c r="DC41" s="200"/>
      <c r="DD41" s="200">
        <v>0</v>
      </c>
      <c r="DE41" s="200"/>
      <c r="DF41" s="200"/>
      <c r="DG41" s="200"/>
      <c r="DH41" s="200"/>
      <c r="DI41" s="200"/>
      <c r="DJ41" s="200"/>
      <c r="DK41" s="200"/>
      <c r="DL41" s="200"/>
      <c r="DM41" s="200"/>
      <c r="DN41" s="200"/>
      <c r="DO41" s="200"/>
      <c r="DP41" s="200"/>
      <c r="DQ41" s="200"/>
      <c r="DR41" s="200"/>
      <c r="DS41" s="191"/>
      <c r="DT41" s="191"/>
      <c r="DU41" s="191"/>
      <c r="DV41" s="191"/>
      <c r="DW41" s="191"/>
      <c r="DX41" s="191"/>
      <c r="DY41" s="191"/>
      <c r="DZ41" s="187"/>
      <c r="EA41" s="191"/>
      <c r="EB41" s="191"/>
      <c r="EC41" s="191"/>
      <c r="ED41" s="191"/>
      <c r="EE41" s="191"/>
      <c r="EF41" s="214" t="s">
        <v>75</v>
      </c>
      <c r="EG41" s="214" t="s">
        <v>75</v>
      </c>
      <c r="EH41" s="214" t="s">
        <v>75</v>
      </c>
      <c r="EI41" s="214" t="s">
        <v>75</v>
      </c>
      <c r="EJ41" s="214" t="s">
        <v>75</v>
      </c>
      <c r="EK41" s="214" t="s">
        <v>75</v>
      </c>
      <c r="EL41" s="965">
        <f t="shared" si="6"/>
        <v>0</v>
      </c>
    </row>
    <row r="42" spans="1:146" ht="15" customHeight="1">
      <c r="A42" s="235" t="s">
        <v>144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236"/>
      <c r="AM42" s="236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8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>
        <v>18.094595999999999</v>
      </c>
      <c r="BQ42" s="167"/>
      <c r="BR42" s="167"/>
      <c r="BS42" s="167"/>
      <c r="BT42" s="167">
        <v>0</v>
      </c>
      <c r="BU42" s="167">
        <v>0</v>
      </c>
      <c r="BV42" s="167">
        <v>0</v>
      </c>
      <c r="BW42" s="167"/>
      <c r="BX42" s="167"/>
      <c r="BY42" s="167"/>
      <c r="BZ42" s="167"/>
      <c r="CA42" s="167"/>
      <c r="CB42" s="167"/>
      <c r="CC42" s="164"/>
      <c r="CD42" s="170">
        <v>1078.2871319999999</v>
      </c>
      <c r="CE42" s="164"/>
      <c r="CF42" s="169"/>
      <c r="CG42" s="169">
        <v>0</v>
      </c>
      <c r="CH42" s="169"/>
      <c r="CI42" s="169"/>
      <c r="CJ42" s="169"/>
      <c r="CK42" s="169"/>
      <c r="CL42" s="169"/>
      <c r="CM42" s="169"/>
      <c r="CN42" s="169"/>
      <c r="CO42" s="169"/>
      <c r="CP42" s="169"/>
      <c r="CQ42" s="170">
        <v>973.34757300000001</v>
      </c>
      <c r="CR42" s="170">
        <v>973.34757300000001</v>
      </c>
      <c r="CS42" s="170"/>
      <c r="CT42" s="169"/>
      <c r="CU42" s="169"/>
      <c r="CV42" s="167"/>
      <c r="CW42" s="169"/>
      <c r="CX42" s="169"/>
      <c r="CY42" s="169"/>
      <c r="CZ42" s="169"/>
      <c r="DA42" s="169"/>
      <c r="DB42" s="169"/>
      <c r="DC42" s="169"/>
      <c r="DD42" s="169">
        <v>0</v>
      </c>
      <c r="DE42" s="169">
        <v>124.53430299999999</v>
      </c>
      <c r="DF42" s="178">
        <v>1147.774142</v>
      </c>
      <c r="DG42" s="169"/>
      <c r="DH42" s="169"/>
      <c r="DI42" s="169"/>
      <c r="DJ42" s="169"/>
      <c r="DK42" s="169"/>
      <c r="DL42" s="169"/>
      <c r="DM42" s="169"/>
      <c r="DN42" s="169"/>
      <c r="DO42" s="169"/>
      <c r="DP42" s="169"/>
      <c r="DQ42" s="169"/>
      <c r="DR42" s="169">
        <v>0</v>
      </c>
      <c r="DS42" s="172">
        <f>505617104/1000000</f>
        <v>505.61710399999998</v>
      </c>
      <c r="DT42" s="172">
        <v>1957.7530469999999</v>
      </c>
      <c r="DU42" s="172">
        <v>0</v>
      </c>
      <c r="DV42" s="172">
        <v>0</v>
      </c>
      <c r="DW42" s="172"/>
      <c r="DX42" s="172">
        <v>0</v>
      </c>
      <c r="DY42" s="172"/>
      <c r="DZ42" s="187"/>
      <c r="EA42" s="172"/>
      <c r="EB42" s="172"/>
      <c r="EC42" s="172"/>
      <c r="ED42" s="172"/>
      <c r="EE42" s="172"/>
      <c r="EF42" s="214" t="s">
        <v>75</v>
      </c>
      <c r="EG42" s="214" t="s">
        <v>75</v>
      </c>
      <c r="EH42" s="214" t="s">
        <v>75</v>
      </c>
      <c r="EI42" s="214" t="s">
        <v>75</v>
      </c>
      <c r="EJ42" s="214" t="s">
        <v>75</v>
      </c>
      <c r="EK42" s="214" t="s">
        <v>75</v>
      </c>
      <c r="EL42" s="965">
        <f t="shared" si="6"/>
        <v>0</v>
      </c>
    </row>
    <row r="43" spans="1:146" ht="15" hidden="1" customHeight="1">
      <c r="A43" s="193" t="s">
        <v>145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>
        <v>-1300</v>
      </c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>
        <v>-446.496375397777</v>
      </c>
      <c r="AC43" s="167"/>
      <c r="AD43" s="167"/>
      <c r="AE43" s="167"/>
      <c r="AF43" s="167">
        <v>-5.0676269999999999</v>
      </c>
      <c r="AG43" s="167"/>
      <c r="AH43" s="167"/>
      <c r="AI43" s="167"/>
      <c r="AJ43" s="167"/>
      <c r="AK43" s="167">
        <v>-21.582967</v>
      </c>
      <c r="AL43" s="236"/>
      <c r="AM43" s="236"/>
      <c r="AN43" s="167">
        <v>-27.563431000000001</v>
      </c>
      <c r="AO43" s="167">
        <v>331.997771</v>
      </c>
      <c r="AP43" s="167"/>
      <c r="AQ43" s="167"/>
      <c r="AR43" s="167">
        <v>19.333589</v>
      </c>
      <c r="AS43" s="167"/>
      <c r="AT43" s="167"/>
      <c r="AU43" s="167">
        <v>27.026149</v>
      </c>
      <c r="AV43" s="167"/>
      <c r="AW43" s="167"/>
      <c r="AX43" s="167">
        <v>20.971900000000002</v>
      </c>
      <c r="AY43" s="167"/>
      <c r="AZ43" s="167"/>
      <c r="BA43" s="167">
        <v>20.971900000000002</v>
      </c>
      <c r="BB43" s="167">
        <v>407.77501999999998</v>
      </c>
      <c r="BC43" s="167">
        <v>27.816953999999999</v>
      </c>
      <c r="BD43" s="167"/>
      <c r="BE43" s="168"/>
      <c r="BF43" s="167">
        <v>15.836183999999999</v>
      </c>
      <c r="BG43" s="167"/>
      <c r="BH43" s="167"/>
      <c r="BI43" s="167">
        <v>15.938146</v>
      </c>
      <c r="BJ43" s="167"/>
      <c r="BK43" s="167"/>
      <c r="BL43" s="167">
        <v>27.582186</v>
      </c>
      <c r="BM43" s="167">
        <v>27.582186</v>
      </c>
      <c r="BN43" s="167">
        <v>27.582186</v>
      </c>
      <c r="BO43" s="167"/>
      <c r="BP43" s="167">
        <v>63.982719000000003</v>
      </c>
      <c r="BQ43" s="167">
        <v>82.077314999999999</v>
      </c>
      <c r="BR43" s="167"/>
      <c r="BS43" s="167"/>
      <c r="BT43" s="167">
        <v>0</v>
      </c>
      <c r="BU43" s="167">
        <v>0</v>
      </c>
      <c r="BV43" s="167">
        <v>0</v>
      </c>
      <c r="BW43" s="167"/>
      <c r="BX43" s="167"/>
      <c r="BY43" s="167"/>
      <c r="BZ43" s="167"/>
      <c r="CA43" s="167"/>
      <c r="CB43" s="167"/>
      <c r="CC43" s="164">
        <v>8.1791590000000003</v>
      </c>
      <c r="CD43" s="164"/>
      <c r="CE43" s="164"/>
      <c r="CF43" s="169"/>
      <c r="CG43" s="169"/>
      <c r="CH43" s="169"/>
      <c r="CI43" s="169"/>
      <c r="CJ43" s="169"/>
      <c r="CK43" s="169">
        <v>-1414.2559180000001</v>
      </c>
      <c r="CL43" s="169">
        <v>-2054.2559179999998</v>
      </c>
      <c r="CM43" s="169"/>
      <c r="CN43" s="169"/>
      <c r="CO43" s="169"/>
      <c r="CP43" s="169"/>
      <c r="CQ43" s="170"/>
      <c r="CR43" s="170"/>
      <c r="CS43" s="170"/>
      <c r="CT43" s="169"/>
      <c r="CU43" s="169"/>
      <c r="CV43" s="167"/>
      <c r="CW43" s="169"/>
      <c r="CX43" s="169"/>
      <c r="CY43" s="169"/>
      <c r="CZ43" s="169"/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  <c r="DL43" s="169"/>
      <c r="DM43" s="169"/>
      <c r="DN43" s="169"/>
      <c r="DO43" s="169"/>
      <c r="DP43" s="169"/>
      <c r="DQ43" s="169"/>
      <c r="DR43" s="169"/>
      <c r="DS43" s="172"/>
      <c r="DT43" s="172"/>
      <c r="DU43" s="172"/>
      <c r="DV43" s="172"/>
      <c r="DW43" s="172"/>
      <c r="DX43" s="172"/>
      <c r="DY43" s="172"/>
      <c r="DZ43" s="172"/>
      <c r="EA43" s="172"/>
      <c r="EB43" s="172"/>
      <c r="EC43" s="172"/>
      <c r="ED43" s="172"/>
      <c r="EE43" s="172"/>
      <c r="EF43" s="214" t="s">
        <v>75</v>
      </c>
      <c r="EG43" s="214" t="s">
        <v>75</v>
      </c>
      <c r="EH43" s="214" t="s">
        <v>75</v>
      </c>
      <c r="EI43" s="214" t="s">
        <v>75</v>
      </c>
      <c r="EJ43" s="214" t="s">
        <v>75</v>
      </c>
      <c r="EK43" s="214" t="s">
        <v>75</v>
      </c>
      <c r="EL43" s="965">
        <f t="shared" si="6"/>
        <v>0</v>
      </c>
    </row>
    <row r="44" spans="1:146" ht="15" customHeight="1">
      <c r="A44" s="179" t="s">
        <v>146</v>
      </c>
      <c r="B44" s="169">
        <v>19265.483078999998</v>
      </c>
      <c r="C44" s="169">
        <v>1307.190360536636</v>
      </c>
      <c r="D44" s="169">
        <v>2263.9735541086575</v>
      </c>
      <c r="E44" s="169">
        <v>3504.3197378752725</v>
      </c>
      <c r="F44" s="169">
        <v>6009.8008403721751</v>
      </c>
      <c r="G44" s="169">
        <v>8083.70417654635</v>
      </c>
      <c r="H44" s="169">
        <v>9892.1649035535847</v>
      </c>
      <c r="I44" s="169">
        <v>11084.663769284007</v>
      </c>
      <c r="J44" s="169">
        <v>13257.909287765373</v>
      </c>
      <c r="K44" s="169">
        <v>14289.894706702868</v>
      </c>
      <c r="L44" s="169">
        <v>15751.036782287305</v>
      </c>
      <c r="M44" s="169">
        <v>17866.631069865456</v>
      </c>
      <c r="N44" s="169">
        <v>21658.155799732216</v>
      </c>
      <c r="O44" s="169">
        <v>27187.078393000003</v>
      </c>
      <c r="P44" s="169">
        <v>645.95408655103995</v>
      </c>
      <c r="Q44" s="169">
        <v>582.05055118611142</v>
      </c>
      <c r="R44" s="169">
        <v>3352.3103566359196</v>
      </c>
      <c r="S44" s="169">
        <v>5604.8513356385683</v>
      </c>
      <c r="T44" s="169">
        <v>7491.2179539504532</v>
      </c>
      <c r="U44" s="169">
        <v>8947.9825457621846</v>
      </c>
      <c r="V44" s="169">
        <v>9646.5244346116961</v>
      </c>
      <c r="W44" s="169">
        <v>10748.88540074417</v>
      </c>
      <c r="X44" s="169">
        <v>12589.67044941011</v>
      </c>
      <c r="Y44" s="169">
        <v>12657.525739707891</v>
      </c>
      <c r="Z44" s="169">
        <v>14080.091624665343</v>
      </c>
      <c r="AA44" s="169">
        <v>20907.189257301765</v>
      </c>
      <c r="AB44" s="169">
        <v>21480.202086826059</v>
      </c>
      <c r="AC44" s="169">
        <v>1298.4791287802332</v>
      </c>
      <c r="AD44" s="169">
        <v>2917.9342985596368</v>
      </c>
      <c r="AE44" s="169">
        <v>2083.7104057203187</v>
      </c>
      <c r="AF44" s="169">
        <v>5726.7303688443617</v>
      </c>
      <c r="AG44" s="169">
        <v>5988.2947992567024</v>
      </c>
      <c r="AH44" s="169">
        <v>6616.6326356031932</v>
      </c>
      <c r="AI44" s="169">
        <v>9968.4318143210239</v>
      </c>
      <c r="AJ44" s="169">
        <v>10387.900081142776</v>
      </c>
      <c r="AK44" s="169">
        <v>10915.350001286221</v>
      </c>
      <c r="AL44" s="234"/>
      <c r="AM44" s="234"/>
      <c r="AN44" s="169">
        <v>16642.045706383491</v>
      </c>
      <c r="AO44" s="169">
        <v>19393.069818000004</v>
      </c>
      <c r="AP44" s="169">
        <v>513.80144851173213</v>
      </c>
      <c r="AQ44" s="169">
        <v>918.62930410280956</v>
      </c>
      <c r="AR44" s="169">
        <v>2261.8375596054561</v>
      </c>
      <c r="AS44" s="169">
        <v>2353.0002289653075</v>
      </c>
      <c r="AT44" s="169">
        <v>3942.3424036311881</v>
      </c>
      <c r="AU44" s="169">
        <v>4633.2561477704257</v>
      </c>
      <c r="AV44" s="169">
        <v>5485.1201267203433</v>
      </c>
      <c r="AW44" s="169">
        <v>5728.9912465198267</v>
      </c>
      <c r="AX44" s="169">
        <v>6648.5224663340541</v>
      </c>
      <c r="AY44" s="169">
        <v>7930.1612391193175</v>
      </c>
      <c r="AZ44" s="169">
        <v>8621.9573991415709</v>
      </c>
      <c r="BA44" s="169">
        <v>12450.884085725502</v>
      </c>
      <c r="BB44" s="169">
        <v>16116.622407999981</v>
      </c>
      <c r="BC44" s="169">
        <v>8352.9309432776117</v>
      </c>
      <c r="BD44" s="169">
        <v>805.54059491004512</v>
      </c>
      <c r="BE44" s="178">
        <v>1266.8980645351544</v>
      </c>
      <c r="BF44" s="167">
        <v>204.66217837063942</v>
      </c>
      <c r="BG44" s="167">
        <v>2032.7617976005877</v>
      </c>
      <c r="BH44" s="167">
        <v>2893.9668635913054</v>
      </c>
      <c r="BI44" s="155">
        <v>3915.7591947439228</v>
      </c>
      <c r="BJ44" s="154">
        <v>5696.5254035030111</v>
      </c>
      <c r="BK44" s="155">
        <v>7632.9018760411573</v>
      </c>
      <c r="BL44" s="155">
        <v>6365.286301660266</v>
      </c>
      <c r="BM44" s="155">
        <v>7030.1209360287194</v>
      </c>
      <c r="BN44" s="155">
        <v>7903.1494712104886</v>
      </c>
      <c r="BO44" s="155">
        <v>9224.4309772940214</v>
      </c>
      <c r="BP44" s="155">
        <v>12325.538192</v>
      </c>
      <c r="BQ44" s="155">
        <v>12279.382996655928</v>
      </c>
      <c r="BR44" s="155">
        <v>544.75877106013149</v>
      </c>
      <c r="BS44" s="155">
        <v>1702.4832892378647</v>
      </c>
      <c r="BT44" s="154">
        <v>459.37888847797353</v>
      </c>
      <c r="BU44" s="154">
        <v>1764.6017785177796</v>
      </c>
      <c r="BV44" s="154">
        <v>2151.4786273872996</v>
      </c>
      <c r="BW44" s="154">
        <v>-206.30918076445087</v>
      </c>
      <c r="BX44" s="154">
        <v>2915.1258602913758</v>
      </c>
      <c r="BY44" s="154">
        <v>2817.2715554042265</v>
      </c>
      <c r="BZ44" s="155">
        <v>1719.3375902328373</v>
      </c>
      <c r="CA44" s="155">
        <v>1540.2086443443839</v>
      </c>
      <c r="CB44" s="155">
        <v>2129.3129544917056</v>
      </c>
      <c r="CC44" s="164">
        <v>7197.3943113094574</v>
      </c>
      <c r="CD44" s="164">
        <v>15871.727032999999</v>
      </c>
      <c r="CE44" s="164">
        <v>-495.91698608337947</v>
      </c>
      <c r="CF44" s="155">
        <v>4.8349836624174714</v>
      </c>
      <c r="CG44" s="155">
        <v>257.58434551318669</v>
      </c>
      <c r="CH44" s="155">
        <v>-2178.3415576440602</v>
      </c>
      <c r="CI44" s="155">
        <v>-1391.5698645925975</v>
      </c>
      <c r="CJ44" s="155">
        <v>-461.46142200009695</v>
      </c>
      <c r="CK44" s="155">
        <v>1012.5800233162533</v>
      </c>
      <c r="CL44" s="155">
        <v>387.81170870214089</v>
      </c>
      <c r="CM44" s="155">
        <v>2118.1879431228854</v>
      </c>
      <c r="CN44" s="155">
        <v>1208.1995585741281</v>
      </c>
      <c r="CO44" s="155">
        <v>108.04068928918468</v>
      </c>
      <c r="CP44" s="155">
        <v>8731.8558859570767</v>
      </c>
      <c r="CQ44" s="164">
        <v>14258.638546000002</v>
      </c>
      <c r="CR44" s="164">
        <v>12832.918804076166</v>
      </c>
      <c r="CS44" s="164">
        <v>212.08979858358785</v>
      </c>
      <c r="CT44" s="155">
        <v>1669.0079367357971</v>
      </c>
      <c r="CU44" s="155">
        <v>687.78371492313283</v>
      </c>
      <c r="CV44" s="154">
        <v>2126.9209130433828</v>
      </c>
      <c r="CW44" s="155">
        <v>3240.470313834373</v>
      </c>
      <c r="CX44" s="155">
        <v>4364.0692566907728</v>
      </c>
      <c r="CY44" s="155">
        <v>6093.8813608451537</v>
      </c>
      <c r="CZ44" s="155">
        <v>5686.4009332127789</v>
      </c>
      <c r="DA44" s="155">
        <v>2492.918265081682</v>
      </c>
      <c r="DB44" s="155">
        <v>4751.0164905980137</v>
      </c>
      <c r="DC44" s="155">
        <v>5969.5560271413169</v>
      </c>
      <c r="DD44" s="155">
        <v>9927.0572587125553</v>
      </c>
      <c r="DE44" s="155">
        <v>8287.6726429999999</v>
      </c>
      <c r="DF44" s="155">
        <v>25524.959801999998</v>
      </c>
      <c r="DG44" s="155">
        <v>-1879.7149076611586</v>
      </c>
      <c r="DH44" s="155">
        <v>992.09452901274085</v>
      </c>
      <c r="DI44" s="155">
        <v>-392.19011591759386</v>
      </c>
      <c r="DJ44" s="155">
        <v>2529.6830840440325</v>
      </c>
      <c r="DK44" s="155">
        <v>5863.7393405885068</v>
      </c>
      <c r="DL44" s="155">
        <v>5131.5968872903841</v>
      </c>
      <c r="DM44" s="155">
        <v>7524.2610989804489</v>
      </c>
      <c r="DN44" s="155">
        <v>7673.1093572209593</v>
      </c>
      <c r="DO44" s="155">
        <v>10343.497037254787</v>
      </c>
      <c r="DP44" s="155">
        <v>13667.208544822486</v>
      </c>
      <c r="DQ44" s="155">
        <v>16603.001342873144</v>
      </c>
      <c r="DR44" s="155">
        <v>15878.466283303149</v>
      </c>
      <c r="DS44" s="158">
        <f>+DS45+DS58</f>
        <v>16894.731453</v>
      </c>
      <c r="DT44" s="158">
        <f>DT45+DT58</f>
        <v>19882.459395000002</v>
      </c>
      <c r="DU44" s="158">
        <v>-102.58346787652113</v>
      </c>
      <c r="DV44" s="158">
        <v>2262.6481656514534</v>
      </c>
      <c r="DW44" s="158">
        <v>3607.1296902203799</v>
      </c>
      <c r="DX44" s="158">
        <v>5577.2944250445016</v>
      </c>
      <c r="DY44" s="158">
        <v>8488.9768244402276</v>
      </c>
      <c r="DZ44" s="158">
        <f>DZ45+DZ58</f>
        <v>8474.1229679999997</v>
      </c>
      <c r="EA44" s="158">
        <f>EA45+EA58</f>
        <v>9390.7186116370249</v>
      </c>
      <c r="EB44" s="158">
        <f t="shared" ref="EB44:EE44" si="23">EP48+EB45+EB58</f>
        <v>1613.0811508560682</v>
      </c>
      <c r="EC44" s="158">
        <f t="shared" si="23"/>
        <v>1613.0811508560682</v>
      </c>
      <c r="ED44" s="158">
        <f t="shared" si="23"/>
        <v>1613.0811508560682</v>
      </c>
      <c r="EE44" s="158">
        <f t="shared" si="23"/>
        <v>1613.0811508560682</v>
      </c>
      <c r="EF44" s="214" t="s">
        <v>75</v>
      </c>
      <c r="EG44" s="214" t="s">
        <v>75</v>
      </c>
      <c r="EH44" s="214" t="s">
        <v>75</v>
      </c>
      <c r="EI44" s="214" t="s">
        <v>75</v>
      </c>
      <c r="EJ44" s="214" t="s">
        <v>75</v>
      </c>
      <c r="EK44" s="214" t="s">
        <v>75</v>
      </c>
      <c r="EL44" s="965">
        <f t="shared" si="6"/>
        <v>1866.457512656576</v>
      </c>
    </row>
    <row r="45" spans="1:146" ht="15" customHeight="1">
      <c r="A45" s="237" t="s">
        <v>147</v>
      </c>
      <c r="B45" s="169">
        <v>3982.0088109999997</v>
      </c>
      <c r="C45" s="169">
        <v>-116.55310986380779</v>
      </c>
      <c r="D45" s="169">
        <v>-355.84008480415622</v>
      </c>
      <c r="E45" s="169">
        <v>-406.36294480863171</v>
      </c>
      <c r="F45" s="169">
        <v>1404.1822506184717</v>
      </c>
      <c r="G45" s="169">
        <v>1504.0044123874704</v>
      </c>
      <c r="H45" s="169">
        <v>1475.6343412555391</v>
      </c>
      <c r="I45" s="169">
        <v>2493.5534706838657</v>
      </c>
      <c r="J45" s="169">
        <v>2493.5534706838657</v>
      </c>
      <c r="K45" s="169">
        <v>2156.9356738613678</v>
      </c>
      <c r="L45" s="169">
        <v>2719.8315264004605</v>
      </c>
      <c r="M45" s="169">
        <v>3075.9745846021651</v>
      </c>
      <c r="N45" s="169">
        <v>3907.5955357322155</v>
      </c>
      <c r="O45" s="169">
        <v>2699.0313930000002</v>
      </c>
      <c r="P45" s="169">
        <v>-37.437739494080205</v>
      </c>
      <c r="Q45" s="167">
        <v>-213.07606210207715</v>
      </c>
      <c r="R45" s="167">
        <v>572.15030552370831</v>
      </c>
      <c r="S45" s="167">
        <v>1132.1743474629754</v>
      </c>
      <c r="T45" s="167">
        <v>1673.4762614629751</v>
      </c>
      <c r="U45" s="167">
        <v>2045.7670117818423</v>
      </c>
      <c r="V45" s="167">
        <v>2175.0456373806846</v>
      </c>
      <c r="W45" s="169">
        <v>2630.1084068406853</v>
      </c>
      <c r="X45" s="169">
        <v>2712.1468216293333</v>
      </c>
      <c r="Y45" s="167">
        <v>2649.3620182149843</v>
      </c>
      <c r="Z45" s="167">
        <v>2595.2168087130926</v>
      </c>
      <c r="AA45" s="169">
        <v>1199.242751227001</v>
      </c>
      <c r="AB45" s="169">
        <v>4223.5684334929902</v>
      </c>
      <c r="AC45" s="169">
        <v>1078.5419975929333</v>
      </c>
      <c r="AD45" s="167">
        <v>2076.0746307826371</v>
      </c>
      <c r="AE45" s="167">
        <v>-233.62975638806483</v>
      </c>
      <c r="AF45" s="167">
        <v>2563.7478978698027</v>
      </c>
      <c r="AG45" s="167">
        <v>2561.2439602598397</v>
      </c>
      <c r="AH45" s="167">
        <v>1933.6674532200998</v>
      </c>
      <c r="AI45" s="167">
        <v>3502.6748434677547</v>
      </c>
      <c r="AJ45" s="167">
        <v>3521.5439011495873</v>
      </c>
      <c r="AK45" s="167">
        <v>1094.0446618876317</v>
      </c>
      <c r="AL45" s="236"/>
      <c r="AM45" s="236"/>
      <c r="AN45" s="167">
        <v>1037.1066368544607</v>
      </c>
      <c r="AO45" s="167">
        <v>4746.0345710000011</v>
      </c>
      <c r="AP45" s="167">
        <v>408.03439640133217</v>
      </c>
      <c r="AQ45" s="167">
        <v>916.11140850185961</v>
      </c>
      <c r="AR45" s="167">
        <v>618.9409548182457</v>
      </c>
      <c r="AS45" s="167">
        <v>843.19347434754775</v>
      </c>
      <c r="AT45" s="167">
        <v>1825.217972272229</v>
      </c>
      <c r="AU45" s="167">
        <v>2123.1069522295179</v>
      </c>
      <c r="AV45" s="167">
        <v>2930.0160077957235</v>
      </c>
      <c r="AW45" s="167">
        <v>2429.6389916951962</v>
      </c>
      <c r="AX45" s="167">
        <v>1671.116690216124</v>
      </c>
      <c r="AY45" s="167">
        <v>3066.6725791520817</v>
      </c>
      <c r="AZ45" s="167">
        <v>3826.9576279076664</v>
      </c>
      <c r="BA45" s="167">
        <v>1871.996058025351</v>
      </c>
      <c r="BB45" s="169">
        <v>4843.6523519999801</v>
      </c>
      <c r="BC45" s="169">
        <v>5148.4770648807535</v>
      </c>
      <c r="BD45" s="167">
        <v>994.01781966004512</v>
      </c>
      <c r="BE45" s="178">
        <v>1535.7809226102172</v>
      </c>
      <c r="BF45" s="167">
        <v>496.05549373707237</v>
      </c>
      <c r="BG45" s="167">
        <v>2379.5269677255496</v>
      </c>
      <c r="BH45" s="167">
        <v>3712.0404195078572</v>
      </c>
      <c r="BI45" s="154">
        <v>3807.1646023357648</v>
      </c>
      <c r="BJ45" s="154">
        <v>5171.0597215416674</v>
      </c>
      <c r="BK45" s="155">
        <v>6495.3111787473745</v>
      </c>
      <c r="BL45" s="155">
        <v>3872.5335854700002</v>
      </c>
      <c r="BM45" s="155">
        <v>4490.9686584699994</v>
      </c>
      <c r="BN45" s="155">
        <v>5163.7959584700002</v>
      </c>
      <c r="BO45" s="155">
        <v>4770.0676848807525</v>
      </c>
      <c r="BP45" s="155">
        <v>4127.1550000000007</v>
      </c>
      <c r="BQ45" s="155">
        <v>3235.8840000000009</v>
      </c>
      <c r="BR45" s="155">
        <v>563.21373221129647</v>
      </c>
      <c r="BS45" s="155">
        <v>2042.6279430491998</v>
      </c>
      <c r="BT45" s="154">
        <v>1077.5656938790644</v>
      </c>
      <c r="BU45" s="154">
        <v>2196.9360543262478</v>
      </c>
      <c r="BV45" s="154">
        <v>2422.7194963262477</v>
      </c>
      <c r="BW45" s="154">
        <v>21.815055316247566</v>
      </c>
      <c r="BX45" s="154">
        <v>3066.3280008977745</v>
      </c>
      <c r="BY45" s="154">
        <v>3016.9068979184249</v>
      </c>
      <c r="BZ45" s="155">
        <v>397.13186349502871</v>
      </c>
      <c r="CA45" s="155">
        <v>353.27731235565778</v>
      </c>
      <c r="CB45" s="155">
        <v>1068.5742263896084</v>
      </c>
      <c r="CC45" s="164">
        <v>273.35707170408563</v>
      </c>
      <c r="CD45" s="164">
        <v>4076.4360260000003</v>
      </c>
      <c r="CE45" s="164">
        <v>-352.71660768827951</v>
      </c>
      <c r="CF45" s="155">
        <v>405.97177441254945</v>
      </c>
      <c r="CG45" s="155">
        <v>824.90792509911648</v>
      </c>
      <c r="CH45" s="155">
        <v>-1101.9807891291007</v>
      </c>
      <c r="CI45" s="155">
        <v>-628.22477181566796</v>
      </c>
      <c r="CJ45" s="155">
        <v>-46.653601367351939</v>
      </c>
      <c r="CK45" s="155">
        <v>1259.0447696326482</v>
      </c>
      <c r="CL45" s="155">
        <v>966.58851477045607</v>
      </c>
      <c r="CM45" s="155">
        <v>3269.7841902372006</v>
      </c>
      <c r="CN45" s="155">
        <v>2743.5076403214935</v>
      </c>
      <c r="CO45" s="155">
        <v>1111.1724194700487</v>
      </c>
      <c r="CP45" s="155">
        <v>1310.9510383289571</v>
      </c>
      <c r="CQ45" s="164">
        <v>4368.691769</v>
      </c>
      <c r="CR45" s="164">
        <v>2028.4615540935665</v>
      </c>
      <c r="CS45" s="164">
        <v>283.65116929824785</v>
      </c>
      <c r="CT45" s="155">
        <v>2206.389739526217</v>
      </c>
      <c r="CU45" s="155">
        <v>1535.8226465296029</v>
      </c>
      <c r="CV45" s="154">
        <v>3378.1211681911432</v>
      </c>
      <c r="CW45" s="155">
        <v>3588.3597131911433</v>
      </c>
      <c r="CX45" s="155">
        <v>3387.1506993460134</v>
      </c>
      <c r="CY45" s="155">
        <v>3647.6089599688357</v>
      </c>
      <c r="CZ45" s="155">
        <v>-805.92441926421861</v>
      </c>
      <c r="DA45" s="155">
        <v>-1944.088797164839</v>
      </c>
      <c r="DB45" s="155">
        <v>430.93430248729601</v>
      </c>
      <c r="DC45" s="155">
        <v>-501.63866824626098</v>
      </c>
      <c r="DD45" s="155">
        <v>2389.8078182462714</v>
      </c>
      <c r="DE45" s="155">
        <v>796.51178900000014</v>
      </c>
      <c r="DF45" s="169">
        <v>5487.7390839999998</v>
      </c>
      <c r="DG45" s="155">
        <v>-1692.5806151915699</v>
      </c>
      <c r="DH45" s="155">
        <v>1055.5412285223308</v>
      </c>
      <c r="DI45" s="155">
        <v>-44.802626477669151</v>
      </c>
      <c r="DJ45" s="155">
        <v>2347.3906083732077</v>
      </c>
      <c r="DK45" s="155">
        <v>5294.8978494453931</v>
      </c>
      <c r="DL45" s="155">
        <v>4506.9550149402621</v>
      </c>
      <c r="DM45" s="155">
        <v>3458.4287441476899</v>
      </c>
      <c r="DN45" s="155">
        <v>3463.2920780689346</v>
      </c>
      <c r="DO45" s="155">
        <v>3740.1995680689342</v>
      </c>
      <c r="DP45" s="155">
        <v>6979.173511952471</v>
      </c>
      <c r="DQ45" s="155">
        <v>6552.2428615724639</v>
      </c>
      <c r="DR45" s="155">
        <v>5480.7463597621609</v>
      </c>
      <c r="DS45" s="158">
        <f>+DS47+DS48+DS50</f>
        <v>5869.611414</v>
      </c>
      <c r="DT45" s="158">
        <f>+DT47+DT48+DT50</f>
        <v>5401.611414</v>
      </c>
      <c r="DU45" s="158">
        <v>-507.236774577365</v>
      </c>
      <c r="DV45" s="158">
        <v>1962.2395646004929</v>
      </c>
      <c r="DW45" s="158">
        <v>3024.9151470484899</v>
      </c>
      <c r="DX45" s="158">
        <v>4819.5119860784944</v>
      </c>
      <c r="DY45" s="158">
        <v>7408.9510330289886</v>
      </c>
      <c r="DZ45" s="158">
        <f>+DZ46+DZ50+DZ54+DZ53+DZ56+DZ55</f>
        <v>7000.8423139999995</v>
      </c>
      <c r="EA45" s="158">
        <f>+EA46+EA50+EA54+EA53+EA56+EA55</f>
        <v>7777.6374607809566</v>
      </c>
      <c r="EB45" s="158"/>
      <c r="EC45" s="158"/>
      <c r="ED45" s="158"/>
      <c r="EE45" s="158"/>
      <c r="EF45" s="214" t="s">
        <v>75</v>
      </c>
      <c r="EG45" s="214" t="s">
        <v>75</v>
      </c>
      <c r="EH45" s="174"/>
      <c r="EI45" s="116"/>
      <c r="EJ45" s="116"/>
      <c r="EK45" s="106"/>
      <c r="EL45" s="965">
        <f t="shared" si="6"/>
        <v>4319.2087166332667</v>
      </c>
      <c r="EP45" s="177"/>
    </row>
    <row r="46" spans="1:146" ht="15" customHeight="1">
      <c r="A46" s="238" t="s">
        <v>148</v>
      </c>
      <c r="B46" s="169"/>
      <c r="C46" s="169">
        <v>-116.55310986380779</v>
      </c>
      <c r="D46" s="169">
        <v>-157.84545880415621</v>
      </c>
      <c r="E46" s="169">
        <v>552.40263119136819</v>
      </c>
      <c r="F46" s="169">
        <v>1112.8237626184716</v>
      </c>
      <c r="G46" s="169">
        <v>314.80144638747038</v>
      </c>
      <c r="H46" s="167">
        <v>758.524911255539</v>
      </c>
      <c r="I46" s="167">
        <v>1523.4818016838658</v>
      </c>
      <c r="J46" s="167">
        <v>1523.4818016838658</v>
      </c>
      <c r="K46" s="167">
        <v>612.04847386136828</v>
      </c>
      <c r="L46" s="167">
        <v>1372.0002804004603</v>
      </c>
      <c r="M46" s="167">
        <v>1721.9875626021653</v>
      </c>
      <c r="N46" s="167">
        <v>3024.7391548832147</v>
      </c>
      <c r="O46" s="167"/>
      <c r="P46" s="167">
        <v>-260.16773949408019</v>
      </c>
      <c r="Q46" s="167">
        <v>-435.80606210207714</v>
      </c>
      <c r="R46" s="167">
        <v>1687.0324735237084</v>
      </c>
      <c r="S46" s="167">
        <v>1174.9365434629754</v>
      </c>
      <c r="T46" s="167">
        <v>783.87331546297514</v>
      </c>
      <c r="U46" s="167">
        <v>1526.3804497818423</v>
      </c>
      <c r="V46" s="167">
        <v>656.02869138068445</v>
      </c>
      <c r="W46" s="167">
        <v>1111.0914608406852</v>
      </c>
      <c r="X46" s="167">
        <v>2183.4822596293334</v>
      </c>
      <c r="Y46" s="167">
        <v>3007.184253214984</v>
      </c>
      <c r="Z46" s="167">
        <v>3239.043185713093</v>
      </c>
      <c r="AA46" s="167">
        <v>2644.0278493510009</v>
      </c>
      <c r="AB46" s="169"/>
      <c r="AC46" s="167">
        <v>1078.5419975929333</v>
      </c>
      <c r="AD46" s="167">
        <v>2231.0746307826371</v>
      </c>
      <c r="AE46" s="167">
        <v>2697.8697466119352</v>
      </c>
      <c r="AF46" s="167">
        <v>3307.0478978698029</v>
      </c>
      <c r="AG46" s="167">
        <v>3304.5439602598394</v>
      </c>
      <c r="AH46" s="167">
        <v>5548.9266592201002</v>
      </c>
      <c r="AI46" s="167">
        <v>4545.9748434677549</v>
      </c>
      <c r="AJ46" s="169">
        <v>4564.8439011495875</v>
      </c>
      <c r="AK46" s="167">
        <v>4536.146119567632</v>
      </c>
      <c r="AL46" s="236"/>
      <c r="AM46" s="236"/>
      <c r="AN46" s="167">
        <v>3340.0463623944615</v>
      </c>
      <c r="AO46" s="167"/>
      <c r="AP46" s="167">
        <v>-22.653091970760823</v>
      </c>
      <c r="AQ46" s="167">
        <v>459.79810567118761</v>
      </c>
      <c r="AR46" s="167">
        <v>-227.77359501242628</v>
      </c>
      <c r="AS46" s="167">
        <v>227.9801715168758</v>
      </c>
      <c r="AT46" s="167">
        <v>1163.8818116928821</v>
      </c>
      <c r="AU46" s="167">
        <v>1714.4029318774863</v>
      </c>
      <c r="AV46" s="167">
        <v>2022.9266888157849</v>
      </c>
      <c r="AW46" s="167">
        <v>1695.6019921738364</v>
      </c>
      <c r="AX46" s="167">
        <v>3018.2037386947641</v>
      </c>
      <c r="AY46" s="167">
        <v>2099.1089995213601</v>
      </c>
      <c r="AZ46" s="167">
        <v>1037.8486283863062</v>
      </c>
      <c r="BA46" s="167">
        <v>-373.83615681600907</v>
      </c>
      <c r="BB46" s="167"/>
      <c r="BC46" s="167">
        <v>4385.9656165914885</v>
      </c>
      <c r="BD46" s="167">
        <v>796.51781966004512</v>
      </c>
      <c r="BE46" s="168">
        <v>858.15533899140689</v>
      </c>
      <c r="BF46" s="167">
        <v>1186.020819375814</v>
      </c>
      <c r="BG46" s="167">
        <v>1115.7815273642912</v>
      </c>
      <c r="BH46" s="167">
        <v>2500.7129791465986</v>
      </c>
      <c r="BI46" s="167">
        <v>5646.0817429745066</v>
      </c>
      <c r="BJ46" s="167">
        <v>3637.9402811804093</v>
      </c>
      <c r="BK46" s="167">
        <v>4647.4613594581097</v>
      </c>
      <c r="BL46" s="167">
        <v>5494.9018381807364</v>
      </c>
      <c r="BM46" s="167">
        <v>2357.9803461807351</v>
      </c>
      <c r="BN46" s="167">
        <v>2857.9803461807351</v>
      </c>
      <c r="BO46" s="167">
        <v>4385.9656165914885</v>
      </c>
      <c r="BP46" s="167"/>
      <c r="BQ46" s="167"/>
      <c r="BR46" s="167">
        <v>416.86357351938699</v>
      </c>
      <c r="BS46" s="167">
        <v>2099.7920498286121</v>
      </c>
      <c r="BT46" s="167">
        <v>1828.1827937084761</v>
      </c>
      <c r="BU46" s="167">
        <v>2046.6841004883427</v>
      </c>
      <c r="BV46" s="167">
        <v>2478.2781004883427</v>
      </c>
      <c r="BW46" s="167">
        <v>2203.3204444883422</v>
      </c>
      <c r="BX46" s="167">
        <v>2523.7124107649106</v>
      </c>
      <c r="BY46" s="167">
        <v>1935.0165757656112</v>
      </c>
      <c r="BZ46" s="167">
        <v>2203.9112091102147</v>
      </c>
      <c r="CA46" s="167">
        <v>2586.2747998979103</v>
      </c>
      <c r="CB46" s="167">
        <v>3163.4059293557393</v>
      </c>
      <c r="CC46" s="170">
        <v>2765.0608943520392</v>
      </c>
      <c r="CD46" s="170"/>
      <c r="CE46" s="170">
        <v>433.58164837905241</v>
      </c>
      <c r="CF46" s="169">
        <v>1101.0205286807611</v>
      </c>
      <c r="CG46" s="169">
        <v>1499.2033296757861</v>
      </c>
      <c r="CH46" s="169">
        <v>-1397.2122647287267</v>
      </c>
      <c r="CI46" s="169">
        <v>-1083.1492348779802</v>
      </c>
      <c r="CJ46" s="169">
        <v>93.70463257033586</v>
      </c>
      <c r="CK46" s="169">
        <v>1478.1196325703359</v>
      </c>
      <c r="CL46" s="169">
        <v>883.77402239968615</v>
      </c>
      <c r="CM46" s="169">
        <v>3979.7375588664304</v>
      </c>
      <c r="CN46" s="169">
        <v>3573.4286230119078</v>
      </c>
      <c r="CO46" s="169">
        <v>2240.2688988803739</v>
      </c>
      <c r="CP46" s="169">
        <v>4839.5768800484202</v>
      </c>
      <c r="CQ46" s="170"/>
      <c r="CR46" s="170"/>
      <c r="CS46" s="170">
        <v>34.400472298247692</v>
      </c>
      <c r="CT46" s="169">
        <v>-176.37047996672965</v>
      </c>
      <c r="CU46" s="169">
        <v>102.72710413603532</v>
      </c>
      <c r="CV46" s="167">
        <v>-510.31486661697556</v>
      </c>
      <c r="CW46" s="169">
        <v>-696.75386661697553</v>
      </c>
      <c r="CX46" s="169">
        <v>1272.8720261115166</v>
      </c>
      <c r="CY46" s="169">
        <v>1112.3808520743385</v>
      </c>
      <c r="CZ46" s="169">
        <v>-3627.4883765418003</v>
      </c>
      <c r="DA46" s="169">
        <v>-3667.0393765418007</v>
      </c>
      <c r="DB46" s="169">
        <v>-3372.8594978032866</v>
      </c>
      <c r="DC46" s="169">
        <v>-1804.5330448474178</v>
      </c>
      <c r="DD46" s="169">
        <v>175.41377879768896</v>
      </c>
      <c r="DE46" s="169"/>
      <c r="DF46" s="169">
        <f>SUM(DF47:DF48)</f>
        <v>5632.7390839999998</v>
      </c>
      <c r="DG46" s="169">
        <v>83.479786808431513</v>
      </c>
      <c r="DH46" s="169">
        <v>508.76330960936463</v>
      </c>
      <c r="DI46" s="169">
        <v>920.84530960936468</v>
      </c>
      <c r="DJ46" s="169">
        <v>2328.1341767502167</v>
      </c>
      <c r="DK46" s="169">
        <v>4882.7530408224029</v>
      </c>
      <c r="DL46" s="169">
        <v>792.34312731727118</v>
      </c>
      <c r="DM46" s="169">
        <v>-1681.8875232304886</v>
      </c>
      <c r="DN46" s="169">
        <v>-1099.7477933092439</v>
      </c>
      <c r="DO46" s="169">
        <v>-1378.5477933092438</v>
      </c>
      <c r="DP46" s="169">
        <v>2889.0859575742929</v>
      </c>
      <c r="DQ46" s="169">
        <v>4457.0847819043101</v>
      </c>
      <c r="DR46" s="169">
        <v>3100.0855750705387</v>
      </c>
      <c r="DS46" s="172">
        <f>SUM(DS47:DS48)</f>
        <v>6054.611414</v>
      </c>
      <c r="DT46" s="172"/>
      <c r="DU46" s="172">
        <v>1083.07623772597</v>
      </c>
      <c r="DV46" s="172">
        <v>1567.4673427993519</v>
      </c>
      <c r="DW46" s="172">
        <v>2026.2873979467799</v>
      </c>
      <c r="DX46" s="172">
        <v>2685.6725739767826</v>
      </c>
      <c r="DY46" s="172">
        <v>4548.7202144520306</v>
      </c>
      <c r="DZ46" s="172">
        <v>5382.5878679999996</v>
      </c>
      <c r="EA46" s="172">
        <f>+'Movi Janeiro a Julho - 2021'!P765/1000000</f>
        <v>5136.9921289480089</v>
      </c>
      <c r="EB46" s="172">
        <f>+'Movi Janeiro a Junho - 2021'!R655/1000000</f>
        <v>0</v>
      </c>
      <c r="EC46" s="172">
        <f>+'Movi Janeiro a Junho - 2021'!S655/1000000</f>
        <v>0</v>
      </c>
      <c r="ED46" s="172">
        <f>+'Movi Janeiro a Junho - 2021'!T655/1000000</f>
        <v>0</v>
      </c>
      <c r="EE46" s="172">
        <f>+'Movi Janeiro a Junho - 2021'!U655/1000000</f>
        <v>0</v>
      </c>
      <c r="EF46" s="214" t="s">
        <v>75</v>
      </c>
      <c r="EG46" s="214" t="s">
        <v>75</v>
      </c>
      <c r="EH46" s="174"/>
      <c r="EI46" s="106"/>
      <c r="EJ46" s="106"/>
      <c r="EK46" s="106"/>
      <c r="EL46" s="965">
        <f t="shared" si="6"/>
        <v>6818.8796521784971</v>
      </c>
    </row>
    <row r="47" spans="1:146" s="185" customFormat="1" ht="15" customHeight="1">
      <c r="A47" s="239" t="s">
        <v>149</v>
      </c>
      <c r="B47" s="187">
        <v>7417.0088109999997</v>
      </c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>
        <v>7116.8283929999998</v>
      </c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>
        <v>6362.0820580952131</v>
      </c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>
        <v>8926.2509480000008</v>
      </c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>
        <v>8526.0982742346678</v>
      </c>
      <c r="BC47" s="187">
        <v>-19.342258000000001</v>
      </c>
      <c r="BD47" s="187"/>
      <c r="BE47" s="192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7">
        <v>9388.1550000000007</v>
      </c>
      <c r="BQ47" s="187">
        <v>9388.1550000000007</v>
      </c>
      <c r="BR47" s="187"/>
      <c r="BS47" s="187"/>
      <c r="BT47" s="187"/>
      <c r="BU47" s="187"/>
      <c r="BV47" s="187"/>
      <c r="BW47" s="187"/>
      <c r="BX47" s="187"/>
      <c r="BY47" s="187"/>
      <c r="BZ47" s="187"/>
      <c r="CA47" s="187"/>
      <c r="CB47" s="187"/>
      <c r="CC47" s="182"/>
      <c r="CD47" s="189">
        <v>10918.936726</v>
      </c>
      <c r="CE47" s="182"/>
      <c r="CF47" s="172"/>
      <c r="CG47" s="172"/>
      <c r="CH47" s="172"/>
      <c r="CI47" s="172"/>
      <c r="CJ47" s="172"/>
      <c r="CK47" s="172"/>
      <c r="CL47" s="172"/>
      <c r="CM47" s="172"/>
      <c r="CN47" s="172"/>
      <c r="CO47" s="172"/>
      <c r="CP47" s="172"/>
      <c r="CQ47" s="189">
        <v>10147.701767</v>
      </c>
      <c r="CR47" s="189">
        <v>7807.471552093567</v>
      </c>
      <c r="CS47" s="189"/>
      <c r="CT47" s="172"/>
      <c r="CU47" s="172"/>
      <c r="CV47" s="187"/>
      <c r="CW47" s="172"/>
      <c r="CX47" s="172"/>
      <c r="CY47" s="172"/>
      <c r="CZ47" s="172"/>
      <c r="DA47" s="172"/>
      <c r="DB47" s="172"/>
      <c r="DC47" s="172"/>
      <c r="DD47" s="172"/>
      <c r="DE47" s="172">
        <v>7860.7657310000004</v>
      </c>
      <c r="DF47" s="188">
        <v>12551.993026</v>
      </c>
      <c r="DG47" s="172"/>
      <c r="DH47" s="172"/>
      <c r="DI47" s="172"/>
      <c r="DJ47" s="172"/>
      <c r="DK47" s="172"/>
      <c r="DL47" s="172"/>
      <c r="DM47" s="172"/>
      <c r="DN47" s="172"/>
      <c r="DO47" s="172"/>
      <c r="DP47" s="172"/>
      <c r="DQ47" s="172"/>
      <c r="DR47" s="172"/>
      <c r="DS47" s="172">
        <f>13638864415/1000000</f>
        <v>13638.864415</v>
      </c>
      <c r="DT47" s="172">
        <v>13170.864415</v>
      </c>
      <c r="DU47" s="172"/>
      <c r="DV47" s="172"/>
      <c r="DW47" s="172"/>
      <c r="DX47" s="172"/>
      <c r="DY47" s="172"/>
      <c r="DZ47" s="172"/>
      <c r="EA47" s="172"/>
      <c r="EB47" s="172"/>
      <c r="EC47" s="172"/>
      <c r="ED47" s="172"/>
      <c r="EE47" s="172"/>
      <c r="EF47" s="214" t="s">
        <v>75</v>
      </c>
      <c r="EG47" s="214" t="s">
        <v>75</v>
      </c>
      <c r="EH47" s="174"/>
      <c r="EI47" s="82"/>
      <c r="EJ47" s="82"/>
      <c r="EK47" s="82"/>
      <c r="EL47" s="965">
        <f t="shared" si="6"/>
        <v>0</v>
      </c>
    </row>
    <row r="48" spans="1:146" s="185" customFormat="1" ht="15" customHeight="1">
      <c r="A48" s="239" t="s">
        <v>150</v>
      </c>
      <c r="B48" s="187">
        <v>-3435</v>
      </c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>
        <v>-5717.7969999999996</v>
      </c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>
        <v>-3085.01</v>
      </c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72">
        <v>-5238.92</v>
      </c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>
        <v>-5391.2</v>
      </c>
      <c r="BC48" s="187"/>
      <c r="BD48" s="187"/>
      <c r="BE48" s="192"/>
      <c r="BF48" s="187"/>
      <c r="BG48" s="187"/>
      <c r="BH48" s="240"/>
      <c r="BI48" s="187"/>
      <c r="BJ48" s="187"/>
      <c r="BK48" s="187"/>
      <c r="BL48" s="187"/>
      <c r="BM48" s="187"/>
      <c r="BN48" s="187"/>
      <c r="BO48" s="187"/>
      <c r="BP48" s="187">
        <v>-5191</v>
      </c>
      <c r="BQ48" s="187">
        <v>-5206</v>
      </c>
      <c r="BR48" s="187"/>
      <c r="BS48" s="187"/>
      <c r="BT48" s="187"/>
      <c r="BU48" s="240"/>
      <c r="BV48" s="240"/>
      <c r="BW48" s="240"/>
      <c r="BX48" s="240"/>
      <c r="BY48" s="240"/>
      <c r="BZ48" s="187"/>
      <c r="CA48" s="187"/>
      <c r="CB48" s="187"/>
      <c r="CC48" s="182"/>
      <c r="CD48" s="189">
        <v>-6697.5006999999996</v>
      </c>
      <c r="CE48" s="18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89">
        <v>-5779.0099980000005</v>
      </c>
      <c r="CR48" s="189">
        <v>-5779.0099980000005</v>
      </c>
      <c r="CS48" s="189"/>
      <c r="CT48" s="172"/>
      <c r="CU48" s="172"/>
      <c r="CV48" s="187"/>
      <c r="CW48" s="172"/>
      <c r="CX48" s="172"/>
      <c r="CY48" s="172"/>
      <c r="CZ48" s="172"/>
      <c r="DA48" s="172"/>
      <c r="DB48" s="172"/>
      <c r="DC48" s="172"/>
      <c r="DD48" s="172"/>
      <c r="DE48" s="172">
        <v>-7064.2539420000003</v>
      </c>
      <c r="DF48" s="188">
        <v>-6919.2539420000003</v>
      </c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>
        <f>+-7584253001/1000000</f>
        <v>-7584.253001</v>
      </c>
      <c r="DT48" s="172">
        <v>-7584.253001</v>
      </c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214" t="s">
        <v>75</v>
      </c>
      <c r="EG48" s="214" t="s">
        <v>75</v>
      </c>
      <c r="EH48" s="174"/>
      <c r="EI48" s="82"/>
      <c r="EJ48" s="82"/>
      <c r="EK48" s="82"/>
      <c r="EL48" s="965">
        <f t="shared" si="6"/>
        <v>0</v>
      </c>
    </row>
    <row r="49" spans="1:154 16331:16331" s="185" customFormat="1" ht="15" hidden="1" customHeight="1">
      <c r="A49" s="241" t="s">
        <v>151</v>
      </c>
      <c r="B49" s="187"/>
      <c r="C49" s="187"/>
      <c r="D49" s="187"/>
      <c r="E49" s="187"/>
      <c r="F49" s="187"/>
      <c r="G49" s="187"/>
      <c r="H49" s="187">
        <v>-405.01153499999998</v>
      </c>
      <c r="I49" s="187">
        <v>-405.01153499999998</v>
      </c>
      <c r="J49" s="187">
        <v>-405.01153499999998</v>
      </c>
      <c r="K49" s="187">
        <v>-573.22116700000004</v>
      </c>
      <c r="L49" s="187">
        <v>-573.22116700000004</v>
      </c>
      <c r="M49" s="187">
        <v>-573.22116700000004</v>
      </c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240"/>
      <c r="AD49" s="187"/>
      <c r="AE49" s="240"/>
      <c r="AF49" s="240"/>
      <c r="AG49" s="187"/>
      <c r="AH49" s="187"/>
      <c r="AI49" s="187"/>
      <c r="AJ49" s="187"/>
      <c r="AK49" s="187"/>
      <c r="AL49" s="187"/>
      <c r="AM49" s="187"/>
      <c r="AN49" s="187"/>
      <c r="AO49" s="172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92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7"/>
      <c r="BQ49" s="187">
        <v>-876.27099999999996</v>
      </c>
      <c r="BR49" s="187"/>
      <c r="BS49" s="187"/>
      <c r="BT49" s="187"/>
      <c r="BU49" s="187"/>
      <c r="BV49" s="187">
        <v>0</v>
      </c>
      <c r="BW49" s="187"/>
      <c r="BX49" s="187"/>
      <c r="BY49" s="187"/>
      <c r="BZ49" s="187"/>
      <c r="CA49" s="187"/>
      <c r="CB49" s="187"/>
      <c r="CC49" s="182"/>
      <c r="CD49" s="189"/>
      <c r="CE49" s="182"/>
      <c r="CF49" s="172"/>
      <c r="CG49" s="172">
        <v>-17.985800999999999</v>
      </c>
      <c r="CH49" s="172"/>
      <c r="CI49" s="172"/>
      <c r="CJ49" s="172"/>
      <c r="CK49" s="172"/>
      <c r="CL49" s="172"/>
      <c r="CM49" s="172"/>
      <c r="CN49" s="172"/>
      <c r="CO49" s="172"/>
      <c r="CP49" s="172"/>
      <c r="CQ49" s="189"/>
      <c r="CR49" s="189"/>
      <c r="CS49" s="189"/>
      <c r="CT49" s="172"/>
      <c r="CU49" s="172"/>
      <c r="CV49" s="187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214" t="s">
        <v>75</v>
      </c>
      <c r="EG49" s="174"/>
      <c r="EH49" s="174"/>
      <c r="EI49" s="82"/>
      <c r="EJ49" s="82"/>
      <c r="EK49" s="82"/>
      <c r="EL49" s="965">
        <f t="shared" si="6"/>
        <v>0</v>
      </c>
    </row>
    <row r="50" spans="1:154 16331:16331" s="185" customFormat="1" ht="15" customHeight="1">
      <c r="A50" s="238" t="s">
        <v>152</v>
      </c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240"/>
      <c r="AD50" s="187"/>
      <c r="AE50" s="240"/>
      <c r="AF50" s="240"/>
      <c r="AG50" s="187"/>
      <c r="AH50" s="187"/>
      <c r="AI50" s="187"/>
      <c r="AJ50" s="187"/>
      <c r="AK50" s="187"/>
      <c r="AL50" s="187"/>
      <c r="AM50" s="187"/>
      <c r="AN50" s="187"/>
      <c r="AO50" s="172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>
        <v>-2.727992</v>
      </c>
      <c r="BB50" s="187"/>
      <c r="BC50" s="187"/>
      <c r="BD50" s="187"/>
      <c r="BE50" s="192"/>
      <c r="BF50" s="187">
        <v>-2.340805</v>
      </c>
      <c r="BG50" s="187"/>
      <c r="BH50" s="187"/>
      <c r="BI50" s="187"/>
      <c r="BJ50" s="187"/>
      <c r="BK50" s="187"/>
      <c r="BL50" s="187">
        <v>-11.413650000000001</v>
      </c>
      <c r="BM50" s="187">
        <v>-11.413650000000001</v>
      </c>
      <c r="BN50" s="187">
        <v>11.413650000000001</v>
      </c>
      <c r="BO50" s="187">
        <v>-19.342258000000001</v>
      </c>
      <c r="BP50" s="187"/>
      <c r="BQ50" s="187"/>
      <c r="BR50" s="187"/>
      <c r="BS50" s="187">
        <v>-3.959854</v>
      </c>
      <c r="BT50" s="187">
        <v>-7.2776339999999999</v>
      </c>
      <c r="BU50" s="187">
        <v>-9.5191110000000005</v>
      </c>
      <c r="BV50" s="187">
        <v>-12.235669</v>
      </c>
      <c r="BW50" s="187">
        <v>-14.032361999999999</v>
      </c>
      <c r="BX50" s="187">
        <v>-16.655933999999998</v>
      </c>
      <c r="BY50" s="187">
        <v>-19.259505999999998</v>
      </c>
      <c r="BZ50" s="187">
        <v>-21.863077000000001</v>
      </c>
      <c r="CA50" s="187">
        <v>-28.219571999999999</v>
      </c>
      <c r="CB50" s="187">
        <v>-35.416727000000002</v>
      </c>
      <c r="CC50" s="189">
        <v>-41.379612000000002</v>
      </c>
      <c r="CD50" s="189">
        <v>-145</v>
      </c>
      <c r="CE50" s="189">
        <v>-4.8875830000000002</v>
      </c>
      <c r="CF50" s="172">
        <v>-10.691326</v>
      </c>
      <c r="CG50" s="172">
        <v>0</v>
      </c>
      <c r="CH50" s="172">
        <v>-22.77685</v>
      </c>
      <c r="CI50" s="172">
        <v>-28.525980000000001</v>
      </c>
      <c r="CJ50" s="172">
        <v>-35.264678000000004</v>
      </c>
      <c r="CK50" s="172">
        <v>-41.963375999999997</v>
      </c>
      <c r="CL50" s="172">
        <v>-48.655872000000002</v>
      </c>
      <c r="CM50" s="172">
        <v>-56.168850999999997</v>
      </c>
      <c r="CN50" s="172">
        <v>-65.224750999999998</v>
      </c>
      <c r="CO50" s="172">
        <v>-74.579211000000001</v>
      </c>
      <c r="CP50" s="172">
        <v>-83.690408000000005</v>
      </c>
      <c r="CQ50" s="189"/>
      <c r="CR50" s="189"/>
      <c r="CS50" s="189">
        <v>-9.6556660000000001</v>
      </c>
      <c r="CT50" s="172">
        <v>-19.521066000000001</v>
      </c>
      <c r="CU50" s="172">
        <v>-29.302164999999999</v>
      </c>
      <c r="CV50" s="187">
        <v>-39.083264</v>
      </c>
      <c r="CW50" s="172">
        <v>-49.011468999999998</v>
      </c>
      <c r="CX50" s="172">
        <v>-57.833672999999997</v>
      </c>
      <c r="CY50" s="172">
        <v>-60.499755999999998</v>
      </c>
      <c r="CZ50" s="172">
        <v>-79.061862000000005</v>
      </c>
      <c r="DA50" s="172">
        <v>-90.047274000000002</v>
      </c>
      <c r="DB50" s="172">
        <v>-100.408252</v>
      </c>
      <c r="DC50" s="172">
        <v>-104.554529</v>
      </c>
      <c r="DD50" s="172">
        <v>-124.993408</v>
      </c>
      <c r="DE50" s="201"/>
      <c r="DF50" s="172">
        <v>-145</v>
      </c>
      <c r="DG50" s="172">
        <v>-8.5872390000000003</v>
      </c>
      <c r="DH50" s="172">
        <v>-22.408550999999999</v>
      </c>
      <c r="DI50" s="172">
        <v>-34.686301999999998</v>
      </c>
      <c r="DJ50" s="172">
        <v>-41.315931999999997</v>
      </c>
      <c r="DK50" s="172">
        <v>-56.269495999999997</v>
      </c>
      <c r="DL50" s="172">
        <v>-67.725738000000007</v>
      </c>
      <c r="DM50" s="172">
        <v>-79.780112000000003</v>
      </c>
      <c r="DN50" s="172">
        <v>-94.606178</v>
      </c>
      <c r="DO50" s="172">
        <v>-101.057647</v>
      </c>
      <c r="DP50" s="172">
        <v>-121.38355</v>
      </c>
      <c r="DQ50" s="172">
        <v>-134.242482</v>
      </c>
      <c r="DR50" s="172">
        <v>-147.16119599999999</v>
      </c>
      <c r="DS50" s="172">
        <f>+-185000000/1000000</f>
        <v>-185</v>
      </c>
      <c r="DT50" s="172">
        <v>-185</v>
      </c>
      <c r="DU50" s="172">
        <v>-5.6728860000000001</v>
      </c>
      <c r="DV50" s="172">
        <v>-25.436487</v>
      </c>
      <c r="DW50" s="172">
        <v>-37.744283000000003</v>
      </c>
      <c r="DX50" s="172">
        <v>-50.052078999999999</v>
      </c>
      <c r="DY50" s="172">
        <v>-62.107188000000001</v>
      </c>
      <c r="DZ50" s="172">
        <v>-73.776787999999996</v>
      </c>
      <c r="EA50" s="172">
        <f>-'AI_ Abaixo da linha '!G18/1000000</f>
        <v>-85.130300000000005</v>
      </c>
      <c r="EB50" s="172"/>
      <c r="EC50" s="172"/>
      <c r="ED50" s="172"/>
      <c r="EE50" s="172"/>
      <c r="EF50" s="214" t="s">
        <v>75</v>
      </c>
      <c r="EG50" s="174" t="s">
        <v>75</v>
      </c>
      <c r="EH50" s="174"/>
      <c r="EI50" s="82"/>
      <c r="EJ50" s="82"/>
      <c r="EK50" s="82"/>
      <c r="EL50" s="965">
        <f t="shared" si="6"/>
        <v>-5.3501880000000028</v>
      </c>
    </row>
    <row r="51" spans="1:154 16331:16331" s="185" customFormat="1" ht="15" hidden="1" customHeight="1">
      <c r="A51" s="241" t="s">
        <v>153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240"/>
      <c r="AD51" s="187"/>
      <c r="AE51" s="187">
        <v>-309.12171999999998</v>
      </c>
      <c r="AF51" s="240"/>
      <c r="AG51" s="187"/>
      <c r="AH51" s="187">
        <v>-627.11144999999999</v>
      </c>
      <c r="AI51" s="187"/>
      <c r="AJ51" s="187"/>
      <c r="AK51" s="187"/>
      <c r="AL51" s="187"/>
      <c r="AM51" s="187"/>
      <c r="AN51" s="187"/>
      <c r="AO51" s="172"/>
      <c r="AP51" s="187"/>
      <c r="AQ51" s="187"/>
      <c r="AR51" s="187">
        <v>667.53989100000001</v>
      </c>
      <c r="AS51" s="187"/>
      <c r="AT51" s="187"/>
      <c r="AU51" s="187">
        <v>414.53380299999998</v>
      </c>
      <c r="AV51" s="187"/>
      <c r="AW51" s="187"/>
      <c r="AX51" s="187">
        <v>121.519323</v>
      </c>
      <c r="AY51" s="187"/>
      <c r="AZ51" s="187"/>
      <c r="BA51" s="187"/>
      <c r="BB51" s="187"/>
      <c r="BC51" s="187">
        <v>-101.112568</v>
      </c>
      <c r="BD51" s="187"/>
      <c r="BE51" s="192"/>
      <c r="BF51" s="187">
        <v>-633.25743499999999</v>
      </c>
      <c r="BG51" s="187"/>
      <c r="BH51" s="187"/>
      <c r="BI51" s="187">
        <v>-878.49456299999997</v>
      </c>
      <c r="BJ51" s="187"/>
      <c r="BK51" s="187"/>
      <c r="BL51" s="187">
        <v>-1631.29529</v>
      </c>
      <c r="BM51" s="187"/>
      <c r="BN51" s="187"/>
      <c r="BO51" s="187">
        <v>-1752.694688</v>
      </c>
      <c r="BP51" s="187">
        <v>-70</v>
      </c>
      <c r="BQ51" s="187">
        <v>-70</v>
      </c>
      <c r="BR51" s="187"/>
      <c r="BS51" s="187"/>
      <c r="BT51" s="187">
        <v>-892.31149395</v>
      </c>
      <c r="BU51" s="187"/>
      <c r="BV51" s="187"/>
      <c r="BW51" s="187">
        <v>-1314.2327110000001</v>
      </c>
      <c r="BX51" s="187"/>
      <c r="BY51" s="187"/>
      <c r="BZ51" s="187">
        <v>-827.58448976799991</v>
      </c>
      <c r="CA51" s="187">
        <v>-827.58448976799991</v>
      </c>
      <c r="CB51" s="187">
        <v>-827.58448976799991</v>
      </c>
      <c r="CC51" s="189">
        <v>-2312.9537133284007</v>
      </c>
      <c r="CD51" s="189"/>
      <c r="CE51" s="189"/>
      <c r="CF51" s="172"/>
      <c r="CG51" s="172">
        <v>0</v>
      </c>
      <c r="CH51" s="172"/>
      <c r="CI51" s="172"/>
      <c r="CJ51" s="172">
        <v>-328.16605600000003</v>
      </c>
      <c r="CK51" s="172"/>
      <c r="CL51" s="172"/>
      <c r="CM51" s="172">
        <v>-1323.2616350000001</v>
      </c>
      <c r="CN51" s="172">
        <v>-1323.2616350000001</v>
      </c>
      <c r="CO51" s="172">
        <v>-1322.2616350000001</v>
      </c>
      <c r="CP51" s="172">
        <v>-614.00951799999996</v>
      </c>
      <c r="CQ51" s="189"/>
      <c r="CR51" s="189"/>
      <c r="CS51" s="189"/>
      <c r="CT51" s="172"/>
      <c r="CU51" s="172">
        <v>-172.10799900000001</v>
      </c>
      <c r="CV51" s="187"/>
      <c r="CW51" s="172"/>
      <c r="CX51" s="172">
        <v>-427.28924066000008</v>
      </c>
      <c r="CY51" s="172"/>
      <c r="CZ51" s="172"/>
      <c r="DA51" s="172">
        <v>-218.67968099999999</v>
      </c>
      <c r="DB51" s="172"/>
      <c r="DC51" s="172"/>
      <c r="DD51" s="172">
        <v>-295.32498584199999</v>
      </c>
      <c r="DE51" s="172"/>
      <c r="DF51" s="172"/>
      <c r="DG51" s="172"/>
      <c r="DH51" s="172"/>
      <c r="DI51" s="187">
        <v>-293.32545800000003</v>
      </c>
      <c r="DJ51" s="187">
        <v>0</v>
      </c>
      <c r="DK51" s="187">
        <v>0</v>
      </c>
      <c r="DL51" s="187">
        <v>-51.999768000000003</v>
      </c>
      <c r="DM51" s="187"/>
      <c r="DN51" s="172"/>
      <c r="DO51" s="172">
        <v>-273.50256899999999</v>
      </c>
      <c r="DP51" s="172"/>
      <c r="DQ51" s="172"/>
      <c r="DR51" s="172">
        <v>-287.56007518399952</v>
      </c>
      <c r="DS51" s="172"/>
      <c r="DT51" s="172"/>
      <c r="DU51" s="172"/>
      <c r="DV51" s="172"/>
      <c r="DW51" s="172"/>
      <c r="DX51" s="172"/>
      <c r="DY51" s="172"/>
      <c r="DZ51" s="172"/>
      <c r="EA51" s="172"/>
      <c r="EB51" s="172"/>
      <c r="EC51" s="172"/>
      <c r="ED51" s="172"/>
      <c r="EE51" s="172"/>
      <c r="EF51" s="214" t="s">
        <v>75</v>
      </c>
      <c r="EG51" s="174" t="s">
        <v>75</v>
      </c>
      <c r="EH51" s="174"/>
      <c r="EI51" s="82"/>
      <c r="EJ51" s="82"/>
      <c r="EK51" s="82"/>
      <c r="EL51" s="965">
        <f t="shared" si="6"/>
        <v>0</v>
      </c>
    </row>
    <row r="52" spans="1:154 16331:16331" s="185" customFormat="1" ht="15" hidden="1" customHeight="1">
      <c r="A52" s="242" t="s">
        <v>154</v>
      </c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>
        <v>-1443.100373275</v>
      </c>
      <c r="O52" s="187">
        <v>1300</v>
      </c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>
        <v>-1570.4909640000001</v>
      </c>
      <c r="AB52" s="187">
        <v>946.496375397777</v>
      </c>
      <c r="AC52" s="187"/>
      <c r="AD52" s="187"/>
      <c r="AE52" s="187"/>
      <c r="AF52" s="187"/>
      <c r="AG52" s="187"/>
      <c r="AH52" s="187"/>
      <c r="AI52" s="187"/>
      <c r="AJ52" s="187"/>
      <c r="AK52" s="187">
        <v>-1095.8858046800001</v>
      </c>
      <c r="AL52" s="187"/>
      <c r="AM52" s="187"/>
      <c r="AN52" s="187">
        <v>-2267.7784726800005</v>
      </c>
      <c r="AO52" s="172">
        <v>1058.7036230000001</v>
      </c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>
        <v>-177.68385268000031</v>
      </c>
      <c r="BB52" s="187"/>
      <c r="BC52" s="187"/>
      <c r="BD52" s="187"/>
      <c r="BE52" s="192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7"/>
      <c r="BQ52" s="187"/>
      <c r="BR52" s="187"/>
      <c r="BS52" s="187"/>
      <c r="BT52" s="187"/>
      <c r="BU52" s="187"/>
      <c r="BV52" s="187"/>
      <c r="BW52" s="187"/>
      <c r="BX52" s="187"/>
      <c r="BY52" s="187"/>
      <c r="BZ52" s="187"/>
      <c r="CA52" s="187"/>
      <c r="CB52" s="187"/>
      <c r="CC52" s="189"/>
      <c r="CD52" s="189"/>
      <c r="CE52" s="189"/>
      <c r="CF52" s="172"/>
      <c r="CG52" s="172">
        <v>-498.24648200000001</v>
      </c>
      <c r="CH52" s="172"/>
      <c r="CI52" s="172"/>
      <c r="CJ52" s="172"/>
      <c r="CK52" s="172"/>
      <c r="CL52" s="172"/>
      <c r="CM52" s="172"/>
      <c r="CN52" s="172"/>
      <c r="CO52" s="172"/>
      <c r="CP52" s="172"/>
      <c r="CQ52" s="189"/>
      <c r="CR52" s="189"/>
      <c r="CS52" s="189"/>
      <c r="CT52" s="172"/>
      <c r="CU52" s="172"/>
      <c r="CV52" s="187"/>
      <c r="CW52" s="172"/>
      <c r="CX52" s="172"/>
      <c r="CY52" s="172"/>
      <c r="CZ52" s="172"/>
      <c r="DA52" s="172"/>
      <c r="DB52" s="172"/>
      <c r="DC52" s="172"/>
      <c r="DD52" s="172"/>
      <c r="DE52" s="172"/>
      <c r="DF52" s="172"/>
      <c r="DG52" s="172"/>
      <c r="DH52" s="172"/>
      <c r="DI52" s="187"/>
      <c r="DJ52" s="172"/>
      <c r="DK52" s="172"/>
      <c r="DL52" s="172">
        <v>3303.6124770000001</v>
      </c>
      <c r="DM52" s="172">
        <v>3303.6124770000001</v>
      </c>
      <c r="DN52" s="172">
        <v>3303.6124770000001</v>
      </c>
      <c r="DO52" s="172">
        <v>3303.6124770000001</v>
      </c>
      <c r="DP52" s="172">
        <v>3303.6124770000001</v>
      </c>
      <c r="DQ52" s="172">
        <v>3303.6124770000001</v>
      </c>
      <c r="DR52" s="172">
        <v>3303.6124770000001</v>
      </c>
      <c r="DS52" s="172"/>
      <c r="DT52" s="172"/>
      <c r="DU52" s="172"/>
      <c r="DV52" s="172"/>
      <c r="DW52" s="172"/>
      <c r="DX52" s="172"/>
      <c r="DY52" s="172"/>
      <c r="DZ52" s="172"/>
      <c r="EA52" s="172"/>
      <c r="EB52" s="172"/>
      <c r="EC52" s="172"/>
      <c r="ED52" s="172"/>
      <c r="EE52" s="172"/>
      <c r="EF52" s="214" t="s">
        <v>75</v>
      </c>
      <c r="EG52" s="174" t="s">
        <v>75</v>
      </c>
      <c r="EH52" s="174"/>
      <c r="EI52" s="82"/>
      <c r="EJ52" s="82"/>
      <c r="EK52" s="82"/>
      <c r="EL52" s="965">
        <f t="shared" si="6"/>
        <v>-3303.6124770000001</v>
      </c>
    </row>
    <row r="53" spans="1:154 16331:16331" s="185" customFormat="1" ht="15" customHeight="1">
      <c r="A53" s="238" t="s">
        <v>155</v>
      </c>
      <c r="B53" s="187"/>
      <c r="C53" s="187"/>
      <c r="D53" s="187"/>
      <c r="E53" s="187">
        <v>40.130837999999997</v>
      </c>
      <c r="F53" s="187"/>
      <c r="G53" s="187"/>
      <c r="H53" s="187">
        <v>26.254750999999999</v>
      </c>
      <c r="I53" s="187">
        <v>26.254750999999999</v>
      </c>
      <c r="J53" s="187">
        <v>26.254750999999999</v>
      </c>
      <c r="K53" s="187">
        <v>26.254750999999999</v>
      </c>
      <c r="L53" s="187">
        <v>26.254750999999999</v>
      </c>
      <c r="M53" s="187">
        <v>26.254750999999999</v>
      </c>
      <c r="N53" s="187">
        <v>1100.4737381240004</v>
      </c>
      <c r="O53" s="187">
        <v>0</v>
      </c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>
        <v>1999.7206530000001</v>
      </c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>
        <v>2866.6485299999999</v>
      </c>
      <c r="AO53" s="172"/>
      <c r="AP53" s="187"/>
      <c r="AQ53" s="187"/>
      <c r="AR53" s="187">
        <v>269.03939700000001</v>
      </c>
      <c r="AS53" s="187"/>
      <c r="AT53" s="187"/>
      <c r="AU53" s="187">
        <v>269.03939700000001</v>
      </c>
      <c r="AV53" s="187"/>
      <c r="AW53" s="187"/>
      <c r="AX53" s="187"/>
      <c r="AY53" s="187"/>
      <c r="AZ53" s="187"/>
      <c r="BA53" s="187">
        <v>2001.4197340000001</v>
      </c>
      <c r="BB53" s="187"/>
      <c r="BC53" s="187">
        <v>647.249009</v>
      </c>
      <c r="BD53" s="187"/>
      <c r="BE53" s="192"/>
      <c r="BF53" s="187">
        <v>368.47499199999999</v>
      </c>
      <c r="BG53" s="187"/>
      <c r="BH53" s="187"/>
      <c r="BI53" s="187">
        <v>129.730716</v>
      </c>
      <c r="BJ53" s="187"/>
      <c r="BK53" s="187"/>
      <c r="BL53" s="187">
        <v>277.78045900000001</v>
      </c>
      <c r="BM53" s="187"/>
      <c r="BN53" s="187"/>
      <c r="BO53" s="187">
        <v>1920.4217490000001</v>
      </c>
      <c r="BP53" s="187"/>
      <c r="BQ53" s="187"/>
      <c r="BR53" s="187"/>
      <c r="BS53" s="187"/>
      <c r="BT53" s="187">
        <v>2101.4841509000003</v>
      </c>
      <c r="BU53" s="187"/>
      <c r="BV53" s="187"/>
      <c r="BW53" s="187">
        <v>859.10261799</v>
      </c>
      <c r="BX53" s="187"/>
      <c r="BY53" s="187"/>
      <c r="BZ53" s="187">
        <v>-2037.173035</v>
      </c>
      <c r="CA53" s="187">
        <v>-1920.188864</v>
      </c>
      <c r="CB53" s="187">
        <v>-1920.188864</v>
      </c>
      <c r="CC53" s="189">
        <v>1506.9473479999999</v>
      </c>
      <c r="CD53" s="189"/>
      <c r="CE53" s="189">
        <v>-1452.9551180000001</v>
      </c>
      <c r="CF53" s="172">
        <v>-1452.2707479999999</v>
      </c>
      <c r="CG53" s="172">
        <v>560.39547500000003</v>
      </c>
      <c r="CH53" s="172">
        <v>-1448.924471</v>
      </c>
      <c r="CI53" s="172">
        <v>-1453.7131899999999</v>
      </c>
      <c r="CJ53" s="172">
        <v>453.48111299999999</v>
      </c>
      <c r="CK53" s="172">
        <v>-1504.4704059999999</v>
      </c>
      <c r="CL53" s="172">
        <v>-1505.9128479999999</v>
      </c>
      <c r="CM53" s="172">
        <v>-1504.4704059999999</v>
      </c>
      <c r="CN53" s="172">
        <v>1114.7197040000001</v>
      </c>
      <c r="CO53" s="172">
        <v>-1505.5049059999999</v>
      </c>
      <c r="CP53" s="172">
        <v>1934.5813450000001</v>
      </c>
      <c r="CQ53" s="189"/>
      <c r="CR53" s="189"/>
      <c r="CS53" s="189">
        <v>-1396.1657310000001</v>
      </c>
      <c r="CT53" s="172">
        <v>-28.709094</v>
      </c>
      <c r="CU53" s="172">
        <v>107.5599</v>
      </c>
      <c r="CV53" s="187">
        <v>244.25246999999999</v>
      </c>
      <c r="CW53" s="172">
        <v>602.59842700000002</v>
      </c>
      <c r="CX53" s="172">
        <v>241.10985600000001</v>
      </c>
      <c r="CY53" s="172">
        <v>200.52265600000001</v>
      </c>
      <c r="CZ53" s="172">
        <v>-200.52265600000001</v>
      </c>
      <c r="DA53" s="172">
        <v>95.037475999999998</v>
      </c>
      <c r="DB53" s="172">
        <v>-95.037475999999998</v>
      </c>
      <c r="DC53" s="172">
        <v>-324.561195</v>
      </c>
      <c r="DD53" s="172">
        <v>-1934.5813450000001</v>
      </c>
      <c r="DE53" s="172"/>
      <c r="DG53" s="172">
        <v>-2066.5047800000002</v>
      </c>
      <c r="DH53" s="172">
        <v>-175.51261700000001</v>
      </c>
      <c r="DI53" s="187">
        <v>943.68482800000004</v>
      </c>
      <c r="DJ53" s="172">
        <v>-1292.3216299999999</v>
      </c>
      <c r="DK53" s="172">
        <v>1292.3216299999999</v>
      </c>
      <c r="DL53" s="172">
        <v>161.83187100000001</v>
      </c>
      <c r="DM53" s="172">
        <v>2006.512866</v>
      </c>
      <c r="DN53" s="172">
        <v>2172.3150879999998</v>
      </c>
      <c r="DO53" s="172">
        <v>3113.9137559999999</v>
      </c>
      <c r="DP53" s="172">
        <v>3117.5026400000002</v>
      </c>
      <c r="DQ53" s="172">
        <v>3627.8671370000002</v>
      </c>
      <c r="DR53" s="172">
        <v>2774.571234</v>
      </c>
      <c r="DS53" s="172"/>
      <c r="DT53" s="172"/>
      <c r="DU53" s="172">
        <v>-2774.571234</v>
      </c>
      <c r="DV53" s="172">
        <v>-1666.8113330000001</v>
      </c>
      <c r="DW53" s="187">
        <v>53.383873000000001</v>
      </c>
      <c r="DX53" s="172">
        <v>53.383873000000001</v>
      </c>
      <c r="DY53" s="172">
        <v>251.56066799999999</v>
      </c>
      <c r="DZ53" s="187">
        <v>184.86802399999999</v>
      </c>
      <c r="EA53" s="187">
        <f>+'AI_ Abaixo da linha '!E77/1000000</f>
        <v>138.585598</v>
      </c>
      <c r="EB53" s="172"/>
      <c r="EC53" s="172"/>
      <c r="ED53" s="172"/>
      <c r="EE53" s="172"/>
      <c r="EF53" s="214" t="s">
        <v>75</v>
      </c>
      <c r="EG53" s="174" t="s">
        <v>75</v>
      </c>
      <c r="EH53" s="174"/>
      <c r="EI53" s="82"/>
      <c r="EJ53" s="243"/>
      <c r="EK53" s="82"/>
      <c r="EL53" s="965">
        <f t="shared" si="6"/>
        <v>-1867.9272679999999</v>
      </c>
    </row>
    <row r="54" spans="1:154 16331:16331" s="285" customFormat="1" ht="15" customHeight="1">
      <c r="A54" s="238" t="s">
        <v>156</v>
      </c>
      <c r="B54" s="187"/>
      <c r="C54" s="187"/>
      <c r="D54" s="187"/>
      <c r="E54" s="187">
        <v>-689.18634999999995</v>
      </c>
      <c r="F54" s="187"/>
      <c r="G54" s="187"/>
      <c r="H54" s="187">
        <v>-689.18634999999995</v>
      </c>
      <c r="I54" s="187">
        <v>-689.18634999999995</v>
      </c>
      <c r="J54" s="187">
        <v>-689.18634999999995</v>
      </c>
      <c r="K54" s="187">
        <v>-689.18634999999995</v>
      </c>
      <c r="L54" s="187">
        <v>-689.18634999999995</v>
      </c>
      <c r="M54" s="187">
        <v>-689.18634999999995</v>
      </c>
      <c r="N54" s="187">
        <v>-756.54853100000003</v>
      </c>
      <c r="O54" s="187">
        <v>0</v>
      </c>
      <c r="P54" s="187"/>
      <c r="Q54" s="187"/>
      <c r="R54" s="187">
        <v>-625.35238400000003</v>
      </c>
      <c r="S54" s="187"/>
      <c r="T54" s="187"/>
      <c r="U54" s="187">
        <v>-625.35238400000003</v>
      </c>
      <c r="V54" s="187"/>
      <c r="W54" s="187"/>
      <c r="X54" s="187">
        <v>-625.35238400000003</v>
      </c>
      <c r="Y54" s="187">
        <v>-625.35238400000003</v>
      </c>
      <c r="Z54" s="187">
        <v>-625.35238400000003</v>
      </c>
      <c r="AA54" s="187">
        <v>-1185.5407941240003</v>
      </c>
      <c r="AB54" s="187"/>
      <c r="AC54" s="187"/>
      <c r="AD54" s="187"/>
      <c r="AE54" s="187">
        <v>-2117.3777829999999</v>
      </c>
      <c r="AF54" s="187"/>
      <c r="AG54" s="187"/>
      <c r="AH54" s="187">
        <v>-1944.8477559999999</v>
      </c>
      <c r="AI54" s="187"/>
      <c r="AJ54" s="187"/>
      <c r="AK54" s="187">
        <v>-1999.7206530000001</v>
      </c>
      <c r="AL54" s="187"/>
      <c r="AM54" s="187"/>
      <c r="AN54" s="187">
        <v>-2301.0907828600002</v>
      </c>
      <c r="AO54" s="187"/>
      <c r="AP54" s="187"/>
      <c r="AQ54" s="187"/>
      <c r="AR54" s="187">
        <v>-792.57704100000001</v>
      </c>
      <c r="AS54" s="187"/>
      <c r="AT54" s="187"/>
      <c r="AU54" s="187">
        <v>-1505.359987</v>
      </c>
      <c r="AV54" s="187"/>
      <c r="AW54" s="187"/>
      <c r="AX54" s="187">
        <v>-2792.082371</v>
      </c>
      <c r="AY54" s="187"/>
      <c r="AZ54" s="187"/>
      <c r="BA54" s="187">
        <v>-2878.284674</v>
      </c>
      <c r="BB54" s="187"/>
      <c r="BC54" s="187">
        <v>-2001.4197340000001</v>
      </c>
      <c r="BD54" s="187"/>
      <c r="BE54" s="192"/>
      <c r="BF54" s="187">
        <v>-1991.027597</v>
      </c>
      <c r="BG54" s="187"/>
      <c r="BH54" s="187"/>
      <c r="BI54" s="187">
        <v>-2000.1477339999999</v>
      </c>
      <c r="BJ54" s="187"/>
      <c r="BK54" s="187"/>
      <c r="BL54" s="187">
        <v>-2000.1477339999999</v>
      </c>
      <c r="BM54" s="187"/>
      <c r="BN54" s="187"/>
      <c r="BO54" s="187">
        <v>-2001.4197340000001</v>
      </c>
      <c r="BP54" s="187"/>
      <c r="BQ54" s="187"/>
      <c r="BR54" s="187"/>
      <c r="BS54" s="187"/>
      <c r="BT54" s="187">
        <v>-2080.9358699999998</v>
      </c>
      <c r="BU54" s="187"/>
      <c r="BV54" s="187"/>
      <c r="BW54" s="187">
        <v>-1908.7399989999999</v>
      </c>
      <c r="BX54" s="187"/>
      <c r="BY54" s="187"/>
      <c r="BZ54" s="187">
        <v>228.691428</v>
      </c>
      <c r="CA54" s="187">
        <v>68.663073999999995</v>
      </c>
      <c r="CB54" s="187">
        <v>220.14745500000001</v>
      </c>
      <c r="CC54" s="805">
        <v>-1936.0214900000001</v>
      </c>
      <c r="CD54" s="805"/>
      <c r="CE54" s="805">
        <v>159.118618</v>
      </c>
      <c r="CF54" s="187">
        <v>39.187288000000002</v>
      </c>
      <c r="CG54" s="187">
        <v>-1858.0692899999999</v>
      </c>
      <c r="CH54" s="187">
        <v>242.24106900000001</v>
      </c>
      <c r="CI54" s="187">
        <v>322.87239799999998</v>
      </c>
      <c r="CJ54" s="187">
        <v>-1505.9128479999999</v>
      </c>
      <c r="CK54" s="187">
        <v>418.689684</v>
      </c>
      <c r="CL54" s="187">
        <v>223.981639</v>
      </c>
      <c r="CM54" s="187">
        <v>760.54594999999995</v>
      </c>
      <c r="CN54" s="187">
        <v>1114.7197040000001</v>
      </c>
      <c r="CO54" s="187">
        <v>1442.4137390000001</v>
      </c>
      <c r="CP54" s="187">
        <v>-1506.9473479999999</v>
      </c>
      <c r="CQ54" s="805"/>
      <c r="CR54" s="805"/>
      <c r="CS54" s="805">
        <v>28.709094</v>
      </c>
      <c r="CT54" s="187">
        <v>182.44358</v>
      </c>
      <c r="CU54" s="187">
        <v>-1934.8490489999999</v>
      </c>
      <c r="CV54" s="187">
        <v>244.25246999999999</v>
      </c>
      <c r="CW54" s="187">
        <v>602.59842700000002</v>
      </c>
      <c r="CX54" s="187">
        <v>-1394.8361090000001</v>
      </c>
      <c r="CY54" s="187">
        <v>-241.10985600000001</v>
      </c>
      <c r="CZ54" s="187">
        <v>398.498088</v>
      </c>
      <c r="DA54" s="187">
        <v>-1934.8490489999999</v>
      </c>
      <c r="DB54" s="187">
        <v>324.561195</v>
      </c>
      <c r="DC54" s="187">
        <v>698.75038199999995</v>
      </c>
      <c r="DD54" s="187">
        <v>2067.3454449999999</v>
      </c>
      <c r="DE54" s="187"/>
      <c r="DG54" s="187">
        <v>175.51261700000001</v>
      </c>
      <c r="DH54" s="187">
        <v>541.33331099999998</v>
      </c>
      <c r="DI54" s="187">
        <v>-2066.5047800000002</v>
      </c>
      <c r="DJ54" s="187">
        <v>946.06816800000001</v>
      </c>
      <c r="DK54" s="187">
        <v>-1859.305151</v>
      </c>
      <c r="DL54" s="187">
        <v>-2066.5047800000002</v>
      </c>
      <c r="DM54" s="187">
        <v>-2172.3150879999998</v>
      </c>
      <c r="DN54" s="187">
        <v>-2450.5676400000002</v>
      </c>
      <c r="DO54" s="187">
        <v>-2066.5047800000002</v>
      </c>
      <c r="DP54" s="187">
        <v>-3627.8671370000002</v>
      </c>
      <c r="DQ54" s="187">
        <v>-2650.9756499999999</v>
      </c>
      <c r="DR54" s="187">
        <v>-2017.7452029999999</v>
      </c>
      <c r="DS54" s="187"/>
      <c r="DT54" s="187"/>
      <c r="DU54" s="187">
        <v>181.85525100000001</v>
      </c>
      <c r="DV54" s="187">
        <v>68.039878999999999</v>
      </c>
      <c r="DW54" s="187">
        <v>-1885.379651</v>
      </c>
      <c r="DX54" s="187">
        <v>-465.903235</v>
      </c>
      <c r="DY54" s="187">
        <v>-602.20802300000003</v>
      </c>
      <c r="DZ54" s="187">
        <v>-2184.0621289999999</v>
      </c>
      <c r="EA54" s="187">
        <v>-2184.0621289999999</v>
      </c>
      <c r="EB54" s="187">
        <f>+'AI_ Abaixo da linha '!J77/1000000</f>
        <v>0</v>
      </c>
      <c r="EC54" s="187">
        <f>+'AI_ Abaixo da linha '!K77/1000000</f>
        <v>0</v>
      </c>
      <c r="ED54" s="187">
        <f>+'AI_ Abaixo da linha '!L77/1000000</f>
        <v>0</v>
      </c>
      <c r="EE54" s="187">
        <f>+'AI_ Abaixo da linha '!M77/1000000</f>
        <v>0</v>
      </c>
      <c r="EF54" s="817" t="s">
        <v>75</v>
      </c>
      <c r="EG54" s="818" t="s">
        <v>75</v>
      </c>
      <c r="EH54" s="818"/>
      <c r="EI54" s="819"/>
      <c r="EJ54" s="819"/>
      <c r="EK54" s="819"/>
      <c r="EL54" s="965">
        <f t="shared" si="6"/>
        <v>-11.747041000000081</v>
      </c>
      <c r="ER54" s="238"/>
      <c r="EX54" s="187">
        <v>-2184.0621289999999</v>
      </c>
    </row>
    <row r="55" spans="1:154 16331:16331" s="185" customFormat="1" ht="15" customHeight="1">
      <c r="A55" s="238" t="s">
        <v>157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92"/>
      <c r="BF55" s="187"/>
      <c r="BG55" s="187"/>
      <c r="BH55" s="187"/>
      <c r="BI55" s="187"/>
      <c r="BJ55" s="187"/>
      <c r="BK55" s="187"/>
      <c r="BL55" s="187"/>
      <c r="BM55" s="187"/>
      <c r="BN55" s="187"/>
      <c r="BO55" s="187"/>
      <c r="BP55" s="187"/>
      <c r="BQ55" s="187"/>
      <c r="BR55" s="187"/>
      <c r="BS55" s="187"/>
      <c r="BT55" s="187"/>
      <c r="BU55" s="187"/>
      <c r="BV55" s="187"/>
      <c r="BW55" s="187"/>
      <c r="BX55" s="187"/>
      <c r="BY55" s="187"/>
      <c r="BZ55" s="187"/>
      <c r="CA55" s="187"/>
      <c r="CB55" s="187"/>
      <c r="CC55" s="805"/>
      <c r="CD55" s="805"/>
      <c r="CE55" s="805"/>
      <c r="CF55" s="187"/>
      <c r="CG55" s="187"/>
      <c r="CH55" s="187"/>
      <c r="CI55" s="187"/>
      <c r="CJ55" s="187"/>
      <c r="CK55" s="187"/>
      <c r="CL55" s="187"/>
      <c r="CM55" s="187"/>
      <c r="CN55" s="187"/>
      <c r="CO55" s="187"/>
      <c r="CP55" s="187"/>
      <c r="CQ55" s="805"/>
      <c r="CR55" s="805"/>
      <c r="CS55" s="805"/>
      <c r="CT55" s="187"/>
      <c r="CU55" s="187"/>
      <c r="CV55" s="187"/>
      <c r="CW55" s="187"/>
      <c r="CX55" s="187"/>
      <c r="CY55" s="187"/>
      <c r="CZ55" s="187"/>
      <c r="DA55" s="187"/>
      <c r="DB55" s="187"/>
      <c r="DC55" s="187"/>
      <c r="DD55" s="187"/>
      <c r="DE55" s="187"/>
      <c r="DF55" s="187"/>
      <c r="DG55" s="187"/>
      <c r="DH55" s="187"/>
      <c r="DI55" s="187"/>
      <c r="DJ55" s="819"/>
      <c r="DK55" s="187"/>
      <c r="DL55" s="187"/>
      <c r="DM55" s="187"/>
      <c r="DN55" s="187"/>
      <c r="DO55" s="187"/>
      <c r="DP55" s="187"/>
      <c r="DQ55" s="187"/>
      <c r="DR55" s="187"/>
      <c r="DS55" s="187"/>
      <c r="DT55" s="187"/>
      <c r="DU55" s="187"/>
      <c r="DV55" s="187">
        <v>-137.49309400000001</v>
      </c>
      <c r="DW55" s="187">
        <v>88.724543999999995</v>
      </c>
      <c r="DX55" s="187">
        <v>-553.23241299999995</v>
      </c>
      <c r="DY55" s="187">
        <v>-624.18265699999995</v>
      </c>
      <c r="DZ55" s="187">
        <v>-186.59230500000001</v>
      </c>
      <c r="EA55" s="187">
        <f>+'AI_ Abaixo da linha '!$K$71</f>
        <v>-243.528469</v>
      </c>
      <c r="EB55" s="187"/>
      <c r="EC55" s="187"/>
      <c r="ED55" s="187"/>
      <c r="EE55" s="187"/>
      <c r="EF55" s="817" t="s">
        <v>75</v>
      </c>
      <c r="EG55" s="174" t="s">
        <v>75</v>
      </c>
      <c r="EH55" s="174"/>
      <c r="EI55" s="83"/>
      <c r="EL55" s="965">
        <f t="shared" si="6"/>
        <v>-243.528469</v>
      </c>
    </row>
    <row r="56" spans="1:154 16331:16331" s="185" customFormat="1" ht="15" customHeight="1">
      <c r="A56" s="193" t="s">
        <v>158</v>
      </c>
      <c r="B56" s="172"/>
      <c r="C56" s="172">
        <v>0</v>
      </c>
      <c r="D56" s="172">
        <v>-197.99462600000001</v>
      </c>
      <c r="E56" s="172">
        <v>-309.71006399999999</v>
      </c>
      <c r="F56" s="172">
        <v>291.35848800000002</v>
      </c>
      <c r="G56" s="172">
        <v>1189.2029660000001</v>
      </c>
      <c r="H56" s="172">
        <v>1785.0525640000001</v>
      </c>
      <c r="I56" s="172">
        <v>2038.014803</v>
      </c>
      <c r="J56" s="172">
        <v>2038.014803</v>
      </c>
      <c r="K56" s="172">
        <v>2781.0399659999998</v>
      </c>
      <c r="L56" s="172">
        <v>2583.9840119999999</v>
      </c>
      <c r="M56" s="172">
        <v>2590.139788</v>
      </c>
      <c r="N56" s="187">
        <v>2939.3207269999998</v>
      </c>
      <c r="O56" s="187"/>
      <c r="P56" s="172">
        <v>222.73</v>
      </c>
      <c r="Q56" s="187">
        <v>222.73</v>
      </c>
      <c r="R56" s="187">
        <v>-489.52978400000001</v>
      </c>
      <c r="S56" s="187">
        <v>-42.762196000000003</v>
      </c>
      <c r="T56" s="187">
        <v>889.60294599999997</v>
      </c>
      <c r="U56" s="187">
        <v>1144.7389459999999</v>
      </c>
      <c r="V56" s="187">
        <v>1519.016946</v>
      </c>
      <c r="W56" s="172">
        <v>1519.016946</v>
      </c>
      <c r="X56" s="187">
        <v>1154.016946</v>
      </c>
      <c r="Y56" s="187">
        <v>267.53014899999999</v>
      </c>
      <c r="Z56" s="187">
        <v>-18.473993</v>
      </c>
      <c r="AA56" s="172">
        <v>-688.47399299999995</v>
      </c>
      <c r="AB56" s="172"/>
      <c r="AC56" s="172">
        <v>0</v>
      </c>
      <c r="AD56" s="187">
        <v>-155</v>
      </c>
      <c r="AE56" s="187">
        <v>-505</v>
      </c>
      <c r="AF56" s="187">
        <v>-743.3</v>
      </c>
      <c r="AG56" s="187">
        <v>-743.3</v>
      </c>
      <c r="AH56" s="187">
        <v>-1043.3</v>
      </c>
      <c r="AI56" s="187">
        <v>-1043.3</v>
      </c>
      <c r="AJ56" s="187">
        <v>-1043.3</v>
      </c>
      <c r="AK56" s="187">
        <v>-346.495</v>
      </c>
      <c r="AL56" s="187"/>
      <c r="AM56" s="187"/>
      <c r="AN56" s="187">
        <v>-600.71900000000005</v>
      </c>
      <c r="AO56" s="172"/>
      <c r="AP56" s="187">
        <v>430.68748837209301</v>
      </c>
      <c r="AQ56" s="187">
        <v>456.31330283067194</v>
      </c>
      <c r="AR56" s="187">
        <v>702.712302830672</v>
      </c>
      <c r="AS56" s="187">
        <v>615.21330283067198</v>
      </c>
      <c r="AT56" s="187">
        <v>661.33616057934682</v>
      </c>
      <c r="AU56" s="187">
        <v>1230.4908073520317</v>
      </c>
      <c r="AV56" s="187">
        <v>907.08931897993875</v>
      </c>
      <c r="AW56" s="187">
        <v>734.0369995213598</v>
      </c>
      <c r="AX56" s="187">
        <v>1323.4759995213599</v>
      </c>
      <c r="AY56" s="187">
        <v>967.56357963072162</v>
      </c>
      <c r="AZ56" s="187">
        <v>2789.1089995213601</v>
      </c>
      <c r="BA56" s="187">
        <v>3303.1089995213601</v>
      </c>
      <c r="BB56" s="187">
        <v>1708.7540777653121</v>
      </c>
      <c r="BC56" s="187">
        <v>2237.1369992892646</v>
      </c>
      <c r="BD56" s="187">
        <v>197.5</v>
      </c>
      <c r="BE56" s="192">
        <v>677.62558361881042</v>
      </c>
      <c r="BF56" s="187">
        <v>1563.7454403612585</v>
      </c>
      <c r="BG56" s="187">
        <v>1263.7454403612585</v>
      </c>
      <c r="BH56" s="187">
        <v>1211.3274403612586</v>
      </c>
      <c r="BI56" s="187">
        <v>909.99444036125851</v>
      </c>
      <c r="BJ56" s="187">
        <v>1533.1194403612585</v>
      </c>
      <c r="BK56" s="187">
        <v>1847.8498192892646</v>
      </c>
      <c r="BL56" s="187">
        <v>1742.7079622892647</v>
      </c>
      <c r="BM56" s="187">
        <v>2144.4019622892647</v>
      </c>
      <c r="BN56" s="187">
        <v>2294.4019622892647</v>
      </c>
      <c r="BO56" s="187">
        <v>2237.1369992892646</v>
      </c>
      <c r="BP56" s="187"/>
      <c r="BQ56" s="187"/>
      <c r="BR56" s="187">
        <v>146.35015869190943</v>
      </c>
      <c r="BS56" s="187">
        <v>-53.204252779412272</v>
      </c>
      <c r="BT56" s="187">
        <v>128.42374722058773</v>
      </c>
      <c r="BU56" s="187">
        <v>159.7710648379053</v>
      </c>
      <c r="BV56" s="187">
        <v>-43.322935162094716</v>
      </c>
      <c r="BW56" s="187">
        <v>196.39706483790528</v>
      </c>
      <c r="BX56" s="187">
        <v>559.27152413286387</v>
      </c>
      <c r="BY56" s="187">
        <v>1101.1498281528138</v>
      </c>
      <c r="BZ56" s="187">
        <v>851.14982815281394</v>
      </c>
      <c r="CA56" s="187">
        <v>474.33236422574737</v>
      </c>
      <c r="CB56" s="187">
        <v>468.21092280186878</v>
      </c>
      <c r="CC56" s="189">
        <v>291.70364468044744</v>
      </c>
      <c r="CD56" s="189"/>
      <c r="CE56" s="189">
        <v>512.42582693266831</v>
      </c>
      <c r="CF56" s="172">
        <v>728.72603173178811</v>
      </c>
      <c r="CG56" s="172"/>
      <c r="CH56" s="172">
        <v>1524.6917275996257</v>
      </c>
      <c r="CI56" s="172">
        <v>1614.2912350623121</v>
      </c>
      <c r="CJ56" s="172">
        <v>1275.5042350623121</v>
      </c>
      <c r="CK56" s="172">
        <v>908.66923506231217</v>
      </c>
      <c r="CL56" s="172">
        <v>1413.4015733707699</v>
      </c>
      <c r="CM56" s="172">
        <v>1413.4015733707699</v>
      </c>
      <c r="CN56" s="172">
        <v>953.10482430958632</v>
      </c>
      <c r="CO56" s="172">
        <v>330.83553358967492</v>
      </c>
      <c r="CP56" s="172">
        <v>684.47908728053721</v>
      </c>
      <c r="CQ56" s="189"/>
      <c r="CR56" s="189"/>
      <c r="CS56" s="189">
        <v>1626.3630000000001</v>
      </c>
      <c r="CT56" s="172">
        <v>2248.5467994929468</v>
      </c>
      <c r="CU56" s="172">
        <v>3461.7948553935676</v>
      </c>
      <c r="CV56" s="187">
        <v>3781.0041618081186</v>
      </c>
      <c r="CW56" s="172">
        <v>3975.9651618081189</v>
      </c>
      <c r="CX56" s="172">
        <v>3753.1278398944974</v>
      </c>
      <c r="CY56" s="172">
        <v>4135.6338398944972</v>
      </c>
      <c r="CZ56" s="172">
        <v>4201.9691632775821</v>
      </c>
      <c r="DA56" s="172">
        <v>3871.4891073769613</v>
      </c>
      <c r="DB56" s="172">
        <v>3674.6783332905825</v>
      </c>
      <c r="DC56" s="172">
        <v>3241.2055606011572</v>
      </c>
      <c r="DD56" s="172">
        <v>2501.9483332905825</v>
      </c>
      <c r="DE56" s="172"/>
      <c r="DF56" s="172"/>
      <c r="DG56" s="172">
        <v>123.51900000000001</v>
      </c>
      <c r="DH56" s="172">
        <v>203.36577591296631</v>
      </c>
      <c r="DI56" s="172">
        <v>485.18377591296633</v>
      </c>
      <c r="DJ56" s="172">
        <v>406.82582562299115</v>
      </c>
      <c r="DK56" s="172">
        <v>1035.3978256229911</v>
      </c>
      <c r="DL56" s="172">
        <v>2435.3978256229911</v>
      </c>
      <c r="DM56" s="172">
        <v>2082.2861243781781</v>
      </c>
      <c r="DN56" s="172">
        <v>1632.2861243781779</v>
      </c>
      <c r="DO56" s="172">
        <v>1142.2861243781779</v>
      </c>
      <c r="DP56" s="172">
        <v>1418.2231243781778</v>
      </c>
      <c r="DQ56" s="172">
        <v>1252.5090746681531</v>
      </c>
      <c r="DR56" s="172">
        <v>2058.5560248756219</v>
      </c>
      <c r="DS56" s="172"/>
      <c r="DT56" s="172"/>
      <c r="DU56" s="172">
        <v>1008.0758566966655</v>
      </c>
      <c r="DV56" s="172">
        <v>2156.4732568011409</v>
      </c>
      <c r="DW56" s="172">
        <v>2779.6432661017097</v>
      </c>
      <c r="DX56" s="172">
        <v>3149.6432661017107</v>
      </c>
      <c r="DY56" s="172">
        <v>3897.1680185769583</v>
      </c>
      <c r="DZ56" s="172">
        <v>3877.8176440000002</v>
      </c>
      <c r="EA56" s="172">
        <f>+'Movi Janeiro a Julho - 2021'!P768/1000000</f>
        <v>5014.7806318329467</v>
      </c>
      <c r="EB56" s="172"/>
      <c r="EC56" s="172"/>
      <c r="ED56" s="172"/>
      <c r="EE56" s="172"/>
      <c r="EF56" s="214" t="s">
        <v>75</v>
      </c>
      <c r="EG56" s="174" t="s">
        <v>75</v>
      </c>
      <c r="EH56" s="174"/>
      <c r="EI56" s="82"/>
      <c r="EJ56" s="82"/>
      <c r="EK56" s="82"/>
      <c r="EL56" s="965">
        <f t="shared" si="6"/>
        <v>2932.4945074547686</v>
      </c>
      <c r="XDC56" s="244">
        <f>SUM(CQ56:XDB56)</f>
        <v>79565.659229445911</v>
      </c>
    </row>
    <row r="57" spans="1:154 16331:16331" ht="15" hidden="1" customHeight="1">
      <c r="A57" s="245" t="s">
        <v>159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>
        <v>957.28917999999999</v>
      </c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234"/>
      <c r="AM57" s="234"/>
      <c r="AN57" s="169"/>
      <c r="AO57" s="169"/>
      <c r="AP57" s="169"/>
      <c r="AQ57" s="169"/>
      <c r="AR57" s="169"/>
      <c r="AS57" s="169"/>
      <c r="AT57" s="167"/>
      <c r="AU57" s="167"/>
      <c r="AV57" s="169"/>
      <c r="AW57" s="169"/>
      <c r="AX57" s="169"/>
      <c r="AY57" s="169"/>
      <c r="AZ57" s="169"/>
      <c r="BA57" s="169"/>
      <c r="BB57" s="169"/>
      <c r="BC57" s="169">
        <v>-1303.9802239999999</v>
      </c>
      <c r="BD57" s="169"/>
      <c r="BE57" s="178"/>
      <c r="BF57" s="167"/>
      <c r="BG57" s="167"/>
      <c r="BH57" s="167"/>
      <c r="BI57" s="167"/>
      <c r="BJ57" s="167"/>
      <c r="BK57" s="169"/>
      <c r="BL57" s="169"/>
      <c r="BM57" s="169"/>
      <c r="BN57" s="169"/>
      <c r="BO57" s="169"/>
      <c r="BP57" s="169"/>
      <c r="BQ57" s="169"/>
      <c r="BR57" s="169"/>
      <c r="BS57" s="169"/>
      <c r="BT57" s="167"/>
      <c r="BU57" s="167"/>
      <c r="BV57" s="167"/>
      <c r="BW57" s="167"/>
      <c r="BX57" s="167"/>
      <c r="BY57" s="167"/>
      <c r="BZ57" s="169"/>
      <c r="CA57" s="169"/>
      <c r="CB57" s="169"/>
      <c r="CC57" s="164"/>
      <c r="CD57" s="164"/>
      <c r="CE57" s="164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>
        <v>3943.0390000000002</v>
      </c>
      <c r="CQ57" s="170"/>
      <c r="CR57" s="170"/>
      <c r="CS57" s="170"/>
      <c r="CT57" s="169"/>
      <c r="CU57" s="169"/>
      <c r="CV57" s="167"/>
      <c r="CW57" s="169"/>
      <c r="CX57" s="169"/>
      <c r="CY57" s="169">
        <v>-1499.3187760000001</v>
      </c>
      <c r="CZ57" s="169">
        <v>-1499.3187760000001</v>
      </c>
      <c r="DA57" s="169"/>
      <c r="DB57" s="169">
        <v>0</v>
      </c>
      <c r="DC57" s="169">
        <v>-2207.9458420000001</v>
      </c>
      <c r="DD57" s="169"/>
      <c r="DE57" s="169"/>
      <c r="DF57" s="169"/>
      <c r="DG57" s="169"/>
      <c r="DH57" s="169"/>
      <c r="DI57" s="169"/>
      <c r="DJ57" s="169"/>
      <c r="DK57" s="169"/>
      <c r="DL57" s="169"/>
      <c r="DM57" s="169"/>
      <c r="DN57" s="169"/>
      <c r="DO57" s="169"/>
      <c r="DP57" s="169"/>
      <c r="DQ57" s="169"/>
      <c r="DR57" s="169"/>
      <c r="DS57" s="172"/>
      <c r="DT57" s="172"/>
      <c r="DU57" s="172"/>
      <c r="DV57" s="172"/>
      <c r="DW57" s="172"/>
      <c r="DX57" s="172"/>
      <c r="DY57" s="172"/>
      <c r="DZ57" s="172"/>
      <c r="EA57" s="172"/>
      <c r="EB57" s="172"/>
      <c r="EC57" s="172"/>
      <c r="ED57" s="172"/>
      <c r="EE57" s="172"/>
      <c r="EF57" s="214" t="s">
        <v>75</v>
      </c>
      <c r="EG57" s="174" t="s">
        <v>75</v>
      </c>
      <c r="EH57" s="174"/>
      <c r="EI57" s="106"/>
      <c r="EJ57" s="106"/>
      <c r="EK57" s="106"/>
      <c r="EL57" s="965">
        <f t="shared" si="6"/>
        <v>0</v>
      </c>
    </row>
    <row r="58" spans="1:154 16331:16331" ht="15" customHeight="1">
      <c r="A58" s="237" t="s">
        <v>160</v>
      </c>
      <c r="B58" s="169">
        <v>15283.474267999998</v>
      </c>
      <c r="C58" s="169">
        <v>1423.7434704004438</v>
      </c>
      <c r="D58" s="169">
        <v>2619.8136389128135</v>
      </c>
      <c r="E58" s="169">
        <v>3910.6826826839042</v>
      </c>
      <c r="F58" s="169">
        <v>4605.6185897537034</v>
      </c>
      <c r="G58" s="169">
        <v>6579.6997641588796</v>
      </c>
      <c r="H58" s="169">
        <v>8416.530562298045</v>
      </c>
      <c r="I58" s="169">
        <v>8591.1102986001406</v>
      </c>
      <c r="J58" s="169">
        <v>10764.355817081507</v>
      </c>
      <c r="K58" s="169">
        <v>12132.9590328415</v>
      </c>
      <c r="L58" s="169">
        <v>13031.205255886845</v>
      </c>
      <c r="M58" s="169">
        <v>14790.656485263291</v>
      </c>
      <c r="N58" s="169">
        <v>17750.560264</v>
      </c>
      <c r="O58" s="169">
        <v>24488.047000000002</v>
      </c>
      <c r="P58" s="169">
        <v>683.39182604512018</v>
      </c>
      <c r="Q58" s="167">
        <v>795.12661328818854</v>
      </c>
      <c r="R58" s="167">
        <v>2780.1600511122115</v>
      </c>
      <c r="S58" s="167">
        <v>4472.6769881755927</v>
      </c>
      <c r="T58" s="169">
        <v>5817.7416924874778</v>
      </c>
      <c r="U58" s="169">
        <v>6902.215533980343</v>
      </c>
      <c r="V58" s="169">
        <v>7471.4787972310114</v>
      </c>
      <c r="W58" s="169">
        <v>8118.7769939034833</v>
      </c>
      <c r="X58" s="169">
        <v>9877.5236277807762</v>
      </c>
      <c r="Y58" s="167">
        <v>10008.163721492907</v>
      </c>
      <c r="Z58" s="167">
        <v>11484.874815952251</v>
      </c>
      <c r="AA58" s="169">
        <v>19707.946506074764</v>
      </c>
      <c r="AB58" s="169">
        <v>17256.633653333069</v>
      </c>
      <c r="AC58" s="169">
        <v>219.9371311873</v>
      </c>
      <c r="AD58" s="167">
        <v>841.85966777699991</v>
      </c>
      <c r="AE58" s="167">
        <v>2317.3401621083835</v>
      </c>
      <c r="AF58" s="167">
        <v>3162.982470974559</v>
      </c>
      <c r="AG58" s="167">
        <v>3427.0508389968631</v>
      </c>
      <c r="AH58" s="169">
        <v>4682.9651823830936</v>
      </c>
      <c r="AI58" s="169">
        <v>6465.7569708532692</v>
      </c>
      <c r="AJ58" s="169">
        <v>6866.3561799931877</v>
      </c>
      <c r="AK58" s="169">
        <v>9821.3053393985883</v>
      </c>
      <c r="AL58" s="234"/>
      <c r="AM58" s="234"/>
      <c r="AN58" s="167">
        <v>15604.939069529029</v>
      </c>
      <c r="AO58" s="169">
        <v>14647.035247000002</v>
      </c>
      <c r="AP58" s="167">
        <v>105.7670521103999</v>
      </c>
      <c r="AQ58" s="167">
        <v>2.5178956009498847</v>
      </c>
      <c r="AR58" s="167">
        <v>1642.8966047872104</v>
      </c>
      <c r="AS58" s="167">
        <v>1509.8067546177599</v>
      </c>
      <c r="AT58" s="167">
        <v>2117.1244313589591</v>
      </c>
      <c r="AU58" s="167">
        <v>2510.1491955409083</v>
      </c>
      <c r="AV58" s="167">
        <v>2555.1041189246198</v>
      </c>
      <c r="AW58" s="167">
        <v>3299.352254824631</v>
      </c>
      <c r="AX58" s="167">
        <v>4977.4057761179301</v>
      </c>
      <c r="AY58" s="167">
        <v>4863.4886599672354</v>
      </c>
      <c r="AZ58" s="167">
        <v>4794.9997712339054</v>
      </c>
      <c r="BA58" s="167">
        <v>10578.888027700152</v>
      </c>
      <c r="BB58" s="169">
        <v>11272.970056</v>
      </c>
      <c r="BC58" s="169">
        <v>3204.4538783968583</v>
      </c>
      <c r="BD58" s="167">
        <v>-188.47722475</v>
      </c>
      <c r="BE58" s="168">
        <v>-268.88285807506293</v>
      </c>
      <c r="BF58" s="167">
        <v>-291.39331536643294</v>
      </c>
      <c r="BG58" s="167">
        <v>-346.76517012496197</v>
      </c>
      <c r="BH58" s="167">
        <v>-818.07355591655187</v>
      </c>
      <c r="BI58" s="154">
        <v>108.59459240815795</v>
      </c>
      <c r="BJ58" s="154">
        <v>525.46568196134399</v>
      </c>
      <c r="BK58" s="154">
        <v>1137.590697293783</v>
      </c>
      <c r="BL58" s="154">
        <v>2492.7527161902658</v>
      </c>
      <c r="BM58" s="154">
        <v>2539.1522775587196</v>
      </c>
      <c r="BN58" s="154">
        <v>2739.3535127404884</v>
      </c>
      <c r="BO58" s="154">
        <v>4454.3632924132689</v>
      </c>
      <c r="BP58" s="155">
        <v>8198.3831919999993</v>
      </c>
      <c r="BQ58" s="155">
        <v>9043.4989966559278</v>
      </c>
      <c r="BR58" s="154">
        <v>-18.454961151165037</v>
      </c>
      <c r="BS58" s="154">
        <v>-340.14465381133505</v>
      </c>
      <c r="BT58" s="154">
        <v>-618.18680540109085</v>
      </c>
      <c r="BU58" s="154">
        <v>-432.33427580846808</v>
      </c>
      <c r="BV58" s="154">
        <v>-271.2408689389481</v>
      </c>
      <c r="BW58" s="154">
        <v>-228.12423608069844</v>
      </c>
      <c r="BX58" s="154">
        <v>-151.20214060639864</v>
      </c>
      <c r="BY58" s="154">
        <v>-199.63534251419833</v>
      </c>
      <c r="BZ58" s="154">
        <v>1322.2057267378086</v>
      </c>
      <c r="CA58" s="154">
        <v>1186.931331988726</v>
      </c>
      <c r="CB58" s="154">
        <v>1060.738728102097</v>
      </c>
      <c r="CC58" s="164">
        <v>6924.0372396053717</v>
      </c>
      <c r="CD58" s="164">
        <v>11795.291007</v>
      </c>
      <c r="CE58" s="164">
        <v>-143.20037839509999</v>
      </c>
      <c r="CF58" s="155">
        <v>-401.13679075013198</v>
      </c>
      <c r="CG58" s="155">
        <v>-567.32357958592979</v>
      </c>
      <c r="CH58" s="155">
        <v>-1076.3607685149593</v>
      </c>
      <c r="CI58" s="155">
        <v>-763.3450927769295</v>
      </c>
      <c r="CJ58" s="155">
        <v>-414.80782063274501</v>
      </c>
      <c r="CK58" s="155">
        <v>-246.46474631639489</v>
      </c>
      <c r="CL58" s="155">
        <v>-578.77680606831518</v>
      </c>
      <c r="CM58" s="155">
        <v>-1151.596247114315</v>
      </c>
      <c r="CN58" s="155">
        <v>-1535.3080817473653</v>
      </c>
      <c r="CO58" s="155">
        <v>-1003.131730180864</v>
      </c>
      <c r="CP58" s="155">
        <v>3477.8658476281194</v>
      </c>
      <c r="CQ58" s="164">
        <v>9889.946777000001</v>
      </c>
      <c r="CR58" s="164">
        <v>10804.457249982599</v>
      </c>
      <c r="CS58" s="164">
        <v>-71.561370714660001</v>
      </c>
      <c r="CT58" s="155">
        <v>-537.38180279042001</v>
      </c>
      <c r="CU58" s="155">
        <v>-848.0389316064701</v>
      </c>
      <c r="CV58" s="154">
        <v>-1251.2002551477601</v>
      </c>
      <c r="CW58" s="155">
        <v>-347.88939935677058</v>
      </c>
      <c r="CX58" s="155">
        <v>976.91855734475985</v>
      </c>
      <c r="CY58" s="155">
        <v>946.95362487631792</v>
      </c>
      <c r="CZ58" s="155">
        <v>4993.006576476997</v>
      </c>
      <c r="DA58" s="155">
        <v>4437.0070622465209</v>
      </c>
      <c r="DB58" s="155">
        <v>4320.0821881107177</v>
      </c>
      <c r="DC58" s="155">
        <v>4263.2488533875776</v>
      </c>
      <c r="DD58" s="155">
        <v>7537.2494404662839</v>
      </c>
      <c r="DE58" s="155">
        <v>7491.1608539999997</v>
      </c>
      <c r="DF58" s="155">
        <v>20037.220717999997</v>
      </c>
      <c r="DG58" s="155">
        <v>-187.13429246959004</v>
      </c>
      <c r="DH58" s="155">
        <v>-63.446699509589962</v>
      </c>
      <c r="DI58" s="155">
        <v>-347.38748943992471</v>
      </c>
      <c r="DJ58" s="155">
        <v>182.29247567082507</v>
      </c>
      <c r="DK58" s="155">
        <v>568.84149114311322</v>
      </c>
      <c r="DL58" s="155">
        <v>624.64187235012196</v>
      </c>
      <c r="DM58" s="155">
        <v>4065.8323548327594</v>
      </c>
      <c r="DN58" s="155">
        <v>4209.8172791520246</v>
      </c>
      <c r="DO58" s="155">
        <v>6603.2974691858535</v>
      </c>
      <c r="DP58" s="155">
        <v>6688.0350328700142</v>
      </c>
      <c r="DQ58" s="155">
        <v>10050.75848130068</v>
      </c>
      <c r="DR58" s="155">
        <v>10397.719923540988</v>
      </c>
      <c r="DS58" s="158">
        <f>+DS59+DS60</f>
        <v>11025.120039000001</v>
      </c>
      <c r="DT58" s="158">
        <f t="shared" ref="DT58" si="24">+DT59+DT60</f>
        <v>14480.847981000003</v>
      </c>
      <c r="DU58" s="158">
        <v>404.65330670084347</v>
      </c>
      <c r="DV58" s="158">
        <v>300.40860105096033</v>
      </c>
      <c r="DW58" s="158">
        <v>582.21454317188989</v>
      </c>
      <c r="DX58" s="158">
        <v>757.78243896600748</v>
      </c>
      <c r="DY58" s="158">
        <v>1080.0257914112385</v>
      </c>
      <c r="DZ58" s="158">
        <f t="shared" ref="DZ58:EE58" si="25">+DZ59+DZ60</f>
        <v>1473.2806540000001</v>
      </c>
      <c r="EA58" s="158">
        <f t="shared" si="25"/>
        <v>1613.0811508560682</v>
      </c>
      <c r="EB58" s="158">
        <f t="shared" si="25"/>
        <v>1613.0811508560682</v>
      </c>
      <c r="EC58" s="158">
        <f t="shared" si="25"/>
        <v>1613.0811508560682</v>
      </c>
      <c r="ED58" s="158">
        <f t="shared" si="25"/>
        <v>1613.0811508560682</v>
      </c>
      <c r="EE58" s="158">
        <f t="shared" si="25"/>
        <v>1613.0811508560682</v>
      </c>
      <c r="EF58" s="214" t="s">
        <v>75</v>
      </c>
      <c r="EG58" s="174" t="s">
        <v>75</v>
      </c>
      <c r="EH58" s="174"/>
      <c r="EI58" s="106"/>
      <c r="EJ58" s="106"/>
      <c r="EK58" s="106"/>
      <c r="EL58" s="965">
        <f t="shared" si="6"/>
        <v>-2452.7512039766912</v>
      </c>
    </row>
    <row r="59" spans="1:154 16331:16331" ht="15" customHeight="1">
      <c r="A59" s="193" t="s">
        <v>161</v>
      </c>
      <c r="B59" s="169">
        <v>16865.578280999998</v>
      </c>
      <c r="C59" s="167">
        <v>1659.5714194004438</v>
      </c>
      <c r="D59" s="169">
        <v>2968.6524429128135</v>
      </c>
      <c r="E59" s="169">
        <v>4429.701960683904</v>
      </c>
      <c r="F59" s="169">
        <v>5191.2989327537034</v>
      </c>
      <c r="G59" s="169">
        <v>7319.11500715888</v>
      </c>
      <c r="H59" s="169">
        <v>9338.7732382980448</v>
      </c>
      <c r="I59" s="169">
        <v>9666.2628956001408</v>
      </c>
      <c r="J59" s="169">
        <v>11890.211782081507</v>
      </c>
      <c r="K59" s="169">
        <v>13410.2396598415</v>
      </c>
      <c r="L59" s="169">
        <v>14518.935558886846</v>
      </c>
      <c r="M59" s="169">
        <v>16441.163362263291</v>
      </c>
      <c r="N59" s="167">
        <v>19473.782035</v>
      </c>
      <c r="O59" s="169">
        <v>26488.2</v>
      </c>
      <c r="P59" s="169">
        <v>944.96829404512016</v>
      </c>
      <c r="Q59" s="167">
        <v>1167.2719302881885</v>
      </c>
      <c r="R59" s="167">
        <v>3403.4729181122116</v>
      </c>
      <c r="S59" s="167">
        <v>4472.7755121755927</v>
      </c>
      <c r="T59" s="169">
        <v>6640.6471164874774</v>
      </c>
      <c r="U59" s="169">
        <v>7777.6070979803426</v>
      </c>
      <c r="V59" s="169">
        <v>8566.8582232310109</v>
      </c>
      <c r="W59" s="169">
        <v>9346.0397959034835</v>
      </c>
      <c r="X59" s="167">
        <v>11225.486768780776</v>
      </c>
      <c r="Y59" s="169">
        <v>11594.006924492907</v>
      </c>
      <c r="Z59" s="169">
        <v>13155.73370995225</v>
      </c>
      <c r="AA59" s="169">
        <v>21531.331496074763</v>
      </c>
      <c r="AB59" s="169">
        <v>19319.07067373344</v>
      </c>
      <c r="AC59" s="169">
        <v>481.9255121873</v>
      </c>
      <c r="AD59" s="167">
        <v>1202.9674837769999</v>
      </c>
      <c r="AE59" s="167">
        <v>2928.5755931083836</v>
      </c>
      <c r="AF59" s="167">
        <v>3977.842909974559</v>
      </c>
      <c r="AG59" s="167">
        <v>4330.8846719968633</v>
      </c>
      <c r="AH59" s="169">
        <v>5625.4760743830939</v>
      </c>
      <c r="AI59" s="169">
        <v>7630.174358853269</v>
      </c>
      <c r="AJ59" s="167">
        <v>8198.4949529931873</v>
      </c>
      <c r="AK59" s="167">
        <v>11458.528506398588</v>
      </c>
      <c r="AL59" s="236"/>
      <c r="AM59" s="236"/>
      <c r="AN59" s="169">
        <v>17640.999844529029</v>
      </c>
      <c r="AO59" s="169">
        <v>17045.545106000001</v>
      </c>
      <c r="AP59" s="169">
        <v>386.07209711039991</v>
      </c>
      <c r="AQ59" s="169">
        <v>430.4322436009499</v>
      </c>
      <c r="AR59" s="169">
        <v>2524.9045457872103</v>
      </c>
      <c r="AS59" s="169">
        <v>2668.7850296177598</v>
      </c>
      <c r="AT59" s="167">
        <v>3355.7607953589591</v>
      </c>
      <c r="AU59" s="167">
        <v>3875.1943715409084</v>
      </c>
      <c r="AV59" s="169">
        <v>4435.1041189246198</v>
      </c>
      <c r="AW59" s="167">
        <v>5099.2164298246307</v>
      </c>
      <c r="AX59" s="169">
        <v>6988.1469841179296</v>
      </c>
      <c r="AY59" s="169">
        <v>7183.8041629672352</v>
      </c>
      <c r="AZ59" s="169">
        <v>7274.6784162339054</v>
      </c>
      <c r="BA59" s="169">
        <v>13010.518237700151</v>
      </c>
      <c r="BB59" s="169">
        <v>14190.485572</v>
      </c>
      <c r="BC59" s="169">
        <v>5818.5314073968584</v>
      </c>
      <c r="BD59" s="169">
        <v>5.1924442500000003</v>
      </c>
      <c r="BE59" s="168">
        <v>211.53696892493707</v>
      </c>
      <c r="BF59" s="167">
        <v>519.13999063356709</v>
      </c>
      <c r="BG59" s="167">
        <v>688.60831987503798</v>
      </c>
      <c r="BH59" s="167">
        <v>1247.4264440834481</v>
      </c>
      <c r="BI59" s="167">
        <v>1490.657399408158</v>
      </c>
      <c r="BJ59" s="167">
        <v>1915.3749809613439</v>
      </c>
      <c r="BK59" s="169">
        <v>2920.965797293783</v>
      </c>
      <c r="BL59" s="169">
        <v>4682.845568190266</v>
      </c>
      <c r="BM59" s="169">
        <v>4918.1976035587195</v>
      </c>
      <c r="BN59" s="169">
        <v>5198.7058467404886</v>
      </c>
      <c r="BO59" s="167">
        <v>7068.4408214132691</v>
      </c>
      <c r="BP59" s="169">
        <v>11881.889891999999</v>
      </c>
      <c r="BQ59" s="169">
        <v>12727.005696655928</v>
      </c>
      <c r="BR59" s="167">
        <v>223.94066584883495</v>
      </c>
      <c r="BS59" s="167">
        <v>248.43464218866498</v>
      </c>
      <c r="BT59" s="167">
        <v>452.99033459890916</v>
      </c>
      <c r="BU59" s="167">
        <v>863.09571019153202</v>
      </c>
      <c r="BV59" s="167">
        <v>1257.1250220610518</v>
      </c>
      <c r="BW59" s="167">
        <v>1336.4583867855019</v>
      </c>
      <c r="BX59" s="167">
        <v>1666.1200323936014</v>
      </c>
      <c r="BY59" s="167">
        <v>2004.5421834858016</v>
      </c>
      <c r="BZ59" s="167">
        <v>3857.805369858921</v>
      </c>
      <c r="CA59" s="167">
        <v>3976.2852477755746</v>
      </c>
      <c r="CB59" s="167">
        <v>4054.6163188399678</v>
      </c>
      <c r="CC59" s="170">
        <v>10136.822338605372</v>
      </c>
      <c r="CD59" s="170">
        <v>15642.260458000001</v>
      </c>
      <c r="CE59" s="170">
        <v>26.245568604899997</v>
      </c>
      <c r="CF59" s="169">
        <v>100.98790274192</v>
      </c>
      <c r="CG59" s="169">
        <v>210.05066007329324</v>
      </c>
      <c r="CH59" s="169">
        <v>225.23335263475323</v>
      </c>
      <c r="CI59" s="169">
        <v>749.48764515776315</v>
      </c>
      <c r="CJ59" s="169">
        <v>1208.915513367255</v>
      </c>
      <c r="CK59" s="169">
        <v>1574.3383606836051</v>
      </c>
      <c r="CL59" s="169">
        <v>1605.6535849316847</v>
      </c>
      <c r="CM59" s="169">
        <v>1622.085480885685</v>
      </c>
      <c r="CN59" s="169">
        <v>1652.2257782526347</v>
      </c>
      <c r="CO59" s="169">
        <v>2302.9530878191358</v>
      </c>
      <c r="CP59" s="169">
        <v>7039.3589446281194</v>
      </c>
      <c r="CQ59" s="170">
        <v>14220.665867</v>
      </c>
      <c r="CR59" s="170">
        <v>15135.1763399826</v>
      </c>
      <c r="CS59" s="170">
        <v>28.600041285340001</v>
      </c>
      <c r="CT59" s="169">
        <v>32.079552209580001</v>
      </c>
      <c r="CU59" s="169">
        <v>371.43855939353</v>
      </c>
      <c r="CV59" s="167">
        <v>376.35269885223994</v>
      </c>
      <c r="CW59" s="169">
        <v>1439.6439306432294</v>
      </c>
      <c r="CX59" s="169">
        <v>2982.3744683447599</v>
      </c>
      <c r="CY59" s="169">
        <v>3120.4342948763178</v>
      </c>
      <c r="CZ59" s="169">
        <v>7586.1462064769976</v>
      </c>
      <c r="DA59" s="169">
        <v>7785.2691342465205</v>
      </c>
      <c r="DB59" s="169">
        <v>8113.6266561107177</v>
      </c>
      <c r="DC59" s="169">
        <v>8143.0393533875776</v>
      </c>
      <c r="DD59" s="169">
        <v>11744.515362466283</v>
      </c>
      <c r="DE59" s="169">
        <v>12136.557847</v>
      </c>
      <c r="DF59" s="178">
        <v>22677.414110999998</v>
      </c>
      <c r="DG59" s="169">
        <v>77.110229530409995</v>
      </c>
      <c r="DH59" s="169">
        <v>580.32007249040998</v>
      </c>
      <c r="DI59" s="169">
        <v>983.8728595600752</v>
      </c>
      <c r="DJ59" s="169">
        <v>2117.3772706708251</v>
      </c>
      <c r="DK59" s="169">
        <v>2659.6322781431131</v>
      </c>
      <c r="DL59" s="169">
        <v>2980.6404463501221</v>
      </c>
      <c r="DM59" s="169">
        <v>6600.3838948327593</v>
      </c>
      <c r="DN59" s="169">
        <v>7043.3027061520243</v>
      </c>
      <c r="DO59" s="169">
        <v>9992.9884271858537</v>
      </c>
      <c r="DP59" s="169">
        <v>10541.200645870014</v>
      </c>
      <c r="DQ59" s="167">
        <v>13966.77576159753</v>
      </c>
      <c r="DR59" s="167">
        <v>14526.504916054388</v>
      </c>
      <c r="DS59" s="187">
        <f>17440355807/1000000</f>
        <v>17440.355807</v>
      </c>
      <c r="DT59" s="187">
        <v>17391.775559000002</v>
      </c>
      <c r="DU59" s="187">
        <v>523.20834370084344</v>
      </c>
      <c r="DV59" s="187">
        <v>728.73862005096032</v>
      </c>
      <c r="DW59" s="187">
        <v>1547.0751591718899</v>
      </c>
      <c r="DX59" s="187">
        <v>2289.3258259660074</v>
      </c>
      <c r="DY59" s="187">
        <v>2853.1187084112385</v>
      </c>
      <c r="DZ59" s="187">
        <v>3443.2664810000001</v>
      </c>
      <c r="EA59" s="187">
        <f>+'DESEMBOLSO 2021 '!$K$151/1000000</f>
        <v>3681.4623478560684</v>
      </c>
      <c r="EB59" s="187">
        <f>+'DESEMBOLSO 2021 '!$K$151/1000000</f>
        <v>3681.4623478560684</v>
      </c>
      <c r="EC59" s="187">
        <f>+'DESEMBOLSO 2021 '!$K$151/1000000</f>
        <v>3681.4623478560684</v>
      </c>
      <c r="ED59" s="187">
        <f>+'DESEMBOLSO 2021 '!$K$151/1000000</f>
        <v>3681.4623478560684</v>
      </c>
      <c r="EE59" s="187">
        <f>+'DESEMBOLSO 2021 '!$K$151/1000000</f>
        <v>3681.4623478560684</v>
      </c>
      <c r="EF59" s="214" t="s">
        <v>75</v>
      </c>
      <c r="EG59" s="174" t="s">
        <v>75</v>
      </c>
      <c r="EH59" s="174"/>
      <c r="EI59" s="106"/>
      <c r="EJ59" s="106"/>
      <c r="EK59" s="106"/>
      <c r="EL59" s="965">
        <f t="shared" si="6"/>
        <v>-2918.9215469766909</v>
      </c>
    </row>
    <row r="60" spans="1:154 16331:16331" ht="15" customHeight="1">
      <c r="A60" s="193" t="s">
        <v>162</v>
      </c>
      <c r="B60" s="169">
        <v>-1582.1040129999999</v>
      </c>
      <c r="C60" s="169">
        <v>-235.82794899999999</v>
      </c>
      <c r="D60" s="169">
        <v>-348.83880399999998</v>
      </c>
      <c r="E60" s="169">
        <v>-519.01927799999999</v>
      </c>
      <c r="F60" s="169">
        <v>-585.68034299999999</v>
      </c>
      <c r="G60" s="169">
        <v>-739.41524300000003</v>
      </c>
      <c r="H60" s="169">
        <v>-922.24267599999996</v>
      </c>
      <c r="I60" s="169">
        <v>-1075.152597</v>
      </c>
      <c r="J60" s="169">
        <v>-1125.855965</v>
      </c>
      <c r="K60" s="169">
        <v>-1277.2806270000001</v>
      </c>
      <c r="L60" s="169">
        <v>-1487.730303</v>
      </c>
      <c r="M60" s="169">
        <v>-1650.506877</v>
      </c>
      <c r="N60" s="167">
        <v>-1723.221771</v>
      </c>
      <c r="O60" s="169">
        <v>-2000.153</v>
      </c>
      <c r="P60" s="169">
        <v>-261.57646799999998</v>
      </c>
      <c r="Q60" s="167">
        <v>-372.14531699999998</v>
      </c>
      <c r="R60" s="167">
        <v>-623.31286699999998</v>
      </c>
      <c r="S60" s="167">
        <v>-9.8524E-2</v>
      </c>
      <c r="T60" s="169">
        <v>-822.90542400000004</v>
      </c>
      <c r="U60" s="169">
        <v>-875.39156400000002</v>
      </c>
      <c r="V60" s="169">
        <v>-1095.379426</v>
      </c>
      <c r="W60" s="169">
        <v>-1227.262802</v>
      </c>
      <c r="X60" s="169">
        <v>-1347.963141</v>
      </c>
      <c r="Y60" s="169">
        <v>-1585.8432029999999</v>
      </c>
      <c r="Z60" s="169">
        <v>-1670.858894</v>
      </c>
      <c r="AA60" s="169">
        <v>-1823.38499</v>
      </c>
      <c r="AB60" s="169">
        <v>-2062.4370204003712</v>
      </c>
      <c r="AC60" s="169">
        <v>-261.988381</v>
      </c>
      <c r="AD60" s="167">
        <v>-361.10781600000001</v>
      </c>
      <c r="AE60" s="167">
        <v>-611.23543099999995</v>
      </c>
      <c r="AF60" s="167">
        <v>-814.86043900000004</v>
      </c>
      <c r="AG60" s="167">
        <v>-903.83383300000003</v>
      </c>
      <c r="AH60" s="169">
        <v>-942.51089200000001</v>
      </c>
      <c r="AI60" s="169">
        <v>-1164.4173880000001</v>
      </c>
      <c r="AJ60" s="167">
        <v>-1332.1387729999999</v>
      </c>
      <c r="AK60" s="167">
        <v>-1637.2231670000001</v>
      </c>
      <c r="AL60" s="236"/>
      <c r="AM60" s="236"/>
      <c r="AN60" s="169">
        <v>-2036.0607749999999</v>
      </c>
      <c r="AO60" s="169">
        <v>-2398.5098589999998</v>
      </c>
      <c r="AP60" s="167">
        <v>-280.30504500000001</v>
      </c>
      <c r="AQ60" s="169">
        <v>-427.91434800000002</v>
      </c>
      <c r="AR60" s="169">
        <v>-882.00794099999996</v>
      </c>
      <c r="AS60" s="169">
        <v>-1158.9782749999999</v>
      </c>
      <c r="AT60" s="169">
        <v>-1238.636364</v>
      </c>
      <c r="AU60" s="167">
        <v>-1365.0451760000001</v>
      </c>
      <c r="AV60" s="167">
        <v>-1880</v>
      </c>
      <c r="AW60" s="169">
        <v>-1799.8641749999999</v>
      </c>
      <c r="AX60" s="169">
        <v>-2010.7412079999999</v>
      </c>
      <c r="AY60" s="169">
        <v>-2320.3155029999998</v>
      </c>
      <c r="AZ60" s="169">
        <v>-2479.678645</v>
      </c>
      <c r="BA60" s="169">
        <v>-2431.6302099999998</v>
      </c>
      <c r="BB60" s="169">
        <v>-2917.5155159999999</v>
      </c>
      <c r="BC60" s="169">
        <v>-2614.0775290000001</v>
      </c>
      <c r="BD60" s="169">
        <v>-193.669669</v>
      </c>
      <c r="BE60" s="178">
        <v>-480.419827</v>
      </c>
      <c r="BF60" s="167">
        <v>-810.53330600000004</v>
      </c>
      <c r="BG60" s="167">
        <v>-1035.3734899999999</v>
      </c>
      <c r="BH60" s="167">
        <v>-2065.5</v>
      </c>
      <c r="BI60" s="167">
        <v>-1382.062807</v>
      </c>
      <c r="BJ60" s="167">
        <v>-1389.9092989999999</v>
      </c>
      <c r="BK60" s="169">
        <v>-1783.3751</v>
      </c>
      <c r="BL60" s="169">
        <v>-2190.0928520000002</v>
      </c>
      <c r="BM60" s="169">
        <v>-2379.0453259999999</v>
      </c>
      <c r="BN60" s="169">
        <v>-2459.3523340000002</v>
      </c>
      <c r="BO60" s="169">
        <v>-2614.0775290000001</v>
      </c>
      <c r="BP60" s="169">
        <v>-3683.5066999999999</v>
      </c>
      <c r="BQ60" s="169">
        <v>-3683.5066999999999</v>
      </c>
      <c r="BR60" s="169">
        <v>-242.39562699999999</v>
      </c>
      <c r="BS60" s="169">
        <v>-588.579296</v>
      </c>
      <c r="BT60" s="167">
        <v>-1071.17714</v>
      </c>
      <c r="BU60" s="167">
        <v>-1295.4299860000001</v>
      </c>
      <c r="BV60" s="167">
        <v>-1528.3658909999999</v>
      </c>
      <c r="BW60" s="167">
        <v>-1564.5826228662004</v>
      </c>
      <c r="BX60" s="167">
        <v>-1817.322173</v>
      </c>
      <c r="BY60" s="167">
        <v>-2204.1775259999999</v>
      </c>
      <c r="BZ60" s="169">
        <v>-2535.5996431211124</v>
      </c>
      <c r="CA60" s="169">
        <v>-2789.3539157868486</v>
      </c>
      <c r="CB60" s="169">
        <v>-2993.8775907378708</v>
      </c>
      <c r="CC60" s="170">
        <v>-3212.7850990000002</v>
      </c>
      <c r="CD60" s="170">
        <v>-3846.9694509999999</v>
      </c>
      <c r="CE60" s="170">
        <v>-169.44594699999999</v>
      </c>
      <c r="CF60" s="169">
        <v>-502.12469349205196</v>
      </c>
      <c r="CG60" s="169">
        <v>-777.37423965922301</v>
      </c>
      <c r="CH60" s="169">
        <v>-1301.5941211497125</v>
      </c>
      <c r="CI60" s="169">
        <v>-1512.8327379346927</v>
      </c>
      <c r="CJ60" s="169">
        <v>-1623.723334</v>
      </c>
      <c r="CK60" s="169">
        <v>-1820.803107</v>
      </c>
      <c r="CL60" s="169">
        <v>-2184.4303909999999</v>
      </c>
      <c r="CM60" s="169">
        <v>-2773.681728</v>
      </c>
      <c r="CN60" s="169">
        <v>-3187.53386</v>
      </c>
      <c r="CO60" s="169">
        <v>-3306.0848179999998</v>
      </c>
      <c r="CP60" s="169">
        <v>-3561.493097</v>
      </c>
      <c r="CQ60" s="170">
        <v>-4330.7190899999996</v>
      </c>
      <c r="CR60" s="170">
        <v>-4330.7190899999996</v>
      </c>
      <c r="CS60" s="170">
        <v>-100.161412</v>
      </c>
      <c r="CT60" s="169">
        <v>-569.46135500000003</v>
      </c>
      <c r="CU60" s="169">
        <v>-1219.4774910000001</v>
      </c>
      <c r="CV60" s="167">
        <v>-1627.552954</v>
      </c>
      <c r="CW60" s="169">
        <v>-1787.53333</v>
      </c>
      <c r="CX60" s="169">
        <v>-2005.455911</v>
      </c>
      <c r="CY60" s="169">
        <v>-2173.4806699999999</v>
      </c>
      <c r="CZ60" s="169">
        <v>-2593.1396300000001</v>
      </c>
      <c r="DA60" s="169">
        <v>-3348.262072</v>
      </c>
      <c r="DB60" s="169">
        <v>-3793.5444680000001</v>
      </c>
      <c r="DC60" s="169">
        <v>-3879.7905000000001</v>
      </c>
      <c r="DD60" s="169">
        <v>-4207.2659219999996</v>
      </c>
      <c r="DE60" s="169">
        <v>-4645.3969930000003</v>
      </c>
      <c r="DF60" s="178">
        <v>-2640.193393</v>
      </c>
      <c r="DG60" s="169">
        <v>-264.24452200000002</v>
      </c>
      <c r="DH60" s="169">
        <v>-643.76677199999995</v>
      </c>
      <c r="DI60" s="169">
        <v>-1331.2603489999999</v>
      </c>
      <c r="DJ60" s="169">
        <v>-1935.084795</v>
      </c>
      <c r="DK60" s="169">
        <v>-2090.7907869999999</v>
      </c>
      <c r="DL60" s="169">
        <v>-2355.9985740000002</v>
      </c>
      <c r="DM60" s="169">
        <v>-2534.5515399999999</v>
      </c>
      <c r="DN60" s="169">
        <v>-2833.4854270000001</v>
      </c>
      <c r="DO60" s="169">
        <v>-3389.6909580000001</v>
      </c>
      <c r="DP60" s="169">
        <v>-3853.1656130000001</v>
      </c>
      <c r="DQ60" s="169">
        <v>-3916.01728029685</v>
      </c>
      <c r="DR60" s="169">
        <v>-4128.7849925133996</v>
      </c>
      <c r="DS60" s="172">
        <f>+-6415235768/1000000</f>
        <v>-6415.2357679999996</v>
      </c>
      <c r="DT60" s="172">
        <v>-2910.9275779999998</v>
      </c>
      <c r="DU60" s="172">
        <v>-118.555037</v>
      </c>
      <c r="DV60" s="172">
        <v>-428.33001899999999</v>
      </c>
      <c r="DW60" s="172">
        <v>-964.86061600000005</v>
      </c>
      <c r="DX60" s="172">
        <v>-1531.5433869999999</v>
      </c>
      <c r="DY60" s="172">
        <v>-1773.0929169999999</v>
      </c>
      <c r="DZ60" s="172">
        <v>-1969.985827</v>
      </c>
      <c r="EA60" s="172">
        <f xml:space="preserve"> -(+'AI_ Abaixo da linha '!H20/1000000)</f>
        <v>-2068.3811970000002</v>
      </c>
      <c r="EB60" s="172">
        <f>-+'AI_ Abaixo da linha '!$G$20/1000000</f>
        <v>-2068.3811970000002</v>
      </c>
      <c r="EC60" s="172">
        <f>-+'AI_ Abaixo da linha '!$G$20/1000000</f>
        <v>-2068.3811970000002</v>
      </c>
      <c r="ED60" s="172">
        <f>-+'AI_ Abaixo da linha '!$G$20/1000000</f>
        <v>-2068.3811970000002</v>
      </c>
      <c r="EE60" s="172">
        <f>-+'AI_ Abaixo da linha '!$G$20/1000000</f>
        <v>-2068.3811970000002</v>
      </c>
      <c r="EF60" s="214" t="s">
        <v>75</v>
      </c>
      <c r="EG60" s="174" t="s">
        <v>75</v>
      </c>
      <c r="EH60" s="174"/>
      <c r="EI60" s="106"/>
      <c r="EJ60" s="106"/>
      <c r="EK60" s="106"/>
      <c r="EL60" s="965">
        <f t="shared" si="6"/>
        <v>466.17034299999978</v>
      </c>
    </row>
    <row r="61" spans="1:154 16331:16331" ht="15" customHeight="1" thickBot="1">
      <c r="A61" s="246" t="s">
        <v>163</v>
      </c>
      <c r="B61" s="247">
        <v>3.2457059205626138E-5</v>
      </c>
      <c r="C61" s="247">
        <v>305.54154640810498</v>
      </c>
      <c r="D61" s="247">
        <v>-23723.38342752503</v>
      </c>
      <c r="E61" s="247">
        <v>-219.79970312472824</v>
      </c>
      <c r="F61" s="247">
        <v>-253.55858643742613</v>
      </c>
      <c r="G61" s="247">
        <v>929.7053279478987</v>
      </c>
      <c r="H61" s="247">
        <v>496.87020055358516</v>
      </c>
      <c r="I61" s="247">
        <v>1113.6332562382377</v>
      </c>
      <c r="J61" s="247">
        <v>792.83440407917442</v>
      </c>
      <c r="K61" s="247">
        <v>848</v>
      </c>
      <c r="L61" s="247">
        <v>-136.00332014964624</v>
      </c>
      <c r="M61" s="247">
        <v>910.23487704461331</v>
      </c>
      <c r="N61" s="247">
        <v>507.41301441434189</v>
      </c>
      <c r="O61" s="247">
        <v>0.3650382497053215</v>
      </c>
      <c r="P61" s="247">
        <v>1814.3607771880902</v>
      </c>
      <c r="Q61" s="247">
        <v>1300.0270877628118</v>
      </c>
      <c r="R61" s="247">
        <v>285</v>
      </c>
      <c r="S61" s="247">
        <v>1583.1402599229764</v>
      </c>
      <c r="T61" s="247">
        <v>655.4265664729719</v>
      </c>
      <c r="U61" s="247">
        <v>743.26252576218394</v>
      </c>
      <c r="V61" s="247">
        <v>731.15231445560039</v>
      </c>
      <c r="W61" s="247">
        <v>107.94629549068304</v>
      </c>
      <c r="X61" s="247">
        <v>445.73989799999617</v>
      </c>
      <c r="Y61" s="247">
        <v>-1163.1120980253199</v>
      </c>
      <c r="Z61" s="247">
        <v>-1753.5821361835951</v>
      </c>
      <c r="AA61" s="247">
        <v>-218.74468261603761</v>
      </c>
      <c r="AB61" s="247">
        <v>-0.1000035965553252</v>
      </c>
      <c r="AC61" s="247">
        <v>1563.4722997802328</v>
      </c>
      <c r="AD61" s="247">
        <v>1818.7106020568874</v>
      </c>
      <c r="AE61" s="247">
        <v>-497.74249631758562</v>
      </c>
      <c r="AF61" s="247">
        <v>1076.853470112525</v>
      </c>
      <c r="AG61" s="247">
        <v>1264.7694891748633</v>
      </c>
      <c r="AH61" s="247">
        <v>282.37286845963717</v>
      </c>
      <c r="AI61" s="247">
        <v>1942.7048395560041</v>
      </c>
      <c r="AJ61" s="247">
        <v>-181.47683116346798</v>
      </c>
      <c r="AK61" s="247">
        <v>-189.3068423941786</v>
      </c>
      <c r="AL61" s="247"/>
      <c r="AM61" s="247"/>
      <c r="AN61" s="247">
        <v>-149.47793232527874</v>
      </c>
      <c r="AO61" s="247">
        <v>0.24861400000372669</v>
      </c>
      <c r="AP61" s="247">
        <v>626</v>
      </c>
      <c r="AQ61" s="247">
        <v>782.61724019555959</v>
      </c>
      <c r="AR61" s="247">
        <v>151.39688070751379</v>
      </c>
      <c r="AS61" s="247">
        <v>760.00022896530754</v>
      </c>
      <c r="AT61" s="247">
        <v>557.3469770989484</v>
      </c>
      <c r="AU61" s="247">
        <v>-96.268700284973875</v>
      </c>
      <c r="AV61" s="247">
        <v>431</v>
      </c>
      <c r="AW61" s="247">
        <v>-146.98643548017026</v>
      </c>
      <c r="AX61" s="247">
        <v>-209.78491267714162</v>
      </c>
      <c r="AY61" s="247">
        <v>399.29684746341809</v>
      </c>
      <c r="AZ61" s="247">
        <v>321.5031560317866</v>
      </c>
      <c r="BA61" s="247">
        <v>130.17599532550139</v>
      </c>
      <c r="BB61" s="247">
        <v>-2.1827872842550278E-11</v>
      </c>
      <c r="BC61" s="247">
        <v>-2203.8875642854346</v>
      </c>
      <c r="BD61" s="247">
        <v>-40.790265160045465</v>
      </c>
      <c r="BE61" s="247">
        <v>-726.58780721392691</v>
      </c>
      <c r="BF61" s="247">
        <v>-677.64452214982634</v>
      </c>
      <c r="BG61" s="247">
        <v>-3360.8101644174103</v>
      </c>
      <c r="BH61" s="247">
        <v>211.75445145672529</v>
      </c>
      <c r="BI61" s="247">
        <v>-409.87983367809602</v>
      </c>
      <c r="BJ61" s="247">
        <v>1377.7446963709299</v>
      </c>
      <c r="BK61" s="247">
        <v>3027.3799130825059</v>
      </c>
      <c r="BL61" s="247">
        <v>-435.3</v>
      </c>
      <c r="BM61" s="247">
        <v>754.03138142437001</v>
      </c>
      <c r="BN61" s="247">
        <v>384.63957843885282</v>
      </c>
      <c r="BO61" s="247">
        <v>-1500.9462033059772</v>
      </c>
      <c r="BP61" s="247">
        <v>1.3985006262373645E-5</v>
      </c>
      <c r="BQ61" s="247">
        <v>112.06709764347579</v>
      </c>
      <c r="BR61" s="247">
        <v>1319.3442543637771</v>
      </c>
      <c r="BS61" s="247">
        <v>2895.8405193806593</v>
      </c>
      <c r="BT61" s="247">
        <v>1116.4405558938281</v>
      </c>
      <c r="BU61" s="247">
        <v>1040.2650514407414</v>
      </c>
      <c r="BV61" s="247">
        <v>2059.0832777799765</v>
      </c>
      <c r="BW61" s="247">
        <v>-894.95508004902445</v>
      </c>
      <c r="BX61" s="247">
        <v>1873.6969122884852</v>
      </c>
      <c r="BY61" s="247">
        <v>1698.4375523427625</v>
      </c>
      <c r="BZ61" s="247">
        <v>463.73557300655716</v>
      </c>
      <c r="CA61" s="247">
        <v>2265.7889713044829</v>
      </c>
      <c r="CB61" s="247">
        <v>2000.032223357799</v>
      </c>
      <c r="CC61" s="247">
        <v>1437.1246323394553</v>
      </c>
      <c r="CD61" s="247">
        <v>8.3044996245007496E-5</v>
      </c>
      <c r="CE61" s="247">
        <v>882.72050714304396</v>
      </c>
      <c r="CF61" s="247">
        <v>303.40404702818802</v>
      </c>
      <c r="CG61" s="247">
        <v>1164.6440558570787</v>
      </c>
      <c r="CH61" s="247">
        <v>-1387.6493257319134</v>
      </c>
      <c r="CI61" s="247">
        <v>-828.18851088100894</v>
      </c>
      <c r="CJ61" s="247">
        <v>-1285.2298832189854</v>
      </c>
      <c r="CK61" s="247">
        <v>-900.87801406103108</v>
      </c>
      <c r="CL61" s="247">
        <v>-944.93415192322118</v>
      </c>
      <c r="CM61" s="247">
        <v>-519.69710820648015</v>
      </c>
      <c r="CN61" s="247">
        <v>-2065.4193527164125</v>
      </c>
      <c r="CO61" s="247">
        <v>-193.91443624690032</v>
      </c>
      <c r="CP61" s="247">
        <v>-389.2065420429235</v>
      </c>
      <c r="CQ61" s="247">
        <v>1.6100002540042624E-6</v>
      </c>
      <c r="CR61" s="247">
        <v>-7.2759576141834259E-12</v>
      </c>
      <c r="CS61" s="247">
        <v>193.43634158358839</v>
      </c>
      <c r="CT61" s="247">
        <v>815.84011721281365</v>
      </c>
      <c r="CU61" s="247">
        <v>-765.91083919657945</v>
      </c>
      <c r="CV61" s="247">
        <v>-662.55553936661784</v>
      </c>
      <c r="CW61" s="247">
        <v>302.10041199262309</v>
      </c>
      <c r="CX61" s="247">
        <v>989.02451421399337</v>
      </c>
      <c r="CY61" s="247">
        <v>831.55127212977186</v>
      </c>
      <c r="CZ61" s="247">
        <v>2023.5652104518722</v>
      </c>
      <c r="DA61" s="247">
        <v>-523.9828846796695</v>
      </c>
      <c r="DB61" s="247">
        <v>1422.0473330529194</v>
      </c>
      <c r="DC61" s="247">
        <v>573.53465497934894</v>
      </c>
      <c r="DD61" s="247">
        <v>-499.61325469744315</v>
      </c>
      <c r="DE61" s="248">
        <v>1.30000080389436E-6</v>
      </c>
      <c r="DF61" s="246">
        <v>0</v>
      </c>
      <c r="DG61" s="249">
        <v>-1390.5953484220399</v>
      </c>
      <c r="DH61" s="250">
        <v>879.54775884798005</v>
      </c>
      <c r="DI61" s="250">
        <v>-876.91079533040192</v>
      </c>
      <c r="DJ61" s="249">
        <v>1127.8323729915273</v>
      </c>
      <c r="DK61" s="249">
        <v>1974.0318686360902</v>
      </c>
      <c r="DL61" s="250">
        <v>-507.03946132019519</v>
      </c>
      <c r="DM61" s="250">
        <v>546.42744144005974</v>
      </c>
      <c r="DN61" s="251">
        <v>768.66877773141368</v>
      </c>
      <c r="DO61" s="251">
        <v>546.86654595574691</v>
      </c>
      <c r="DP61" s="251">
        <v>1704.3835520557859</v>
      </c>
      <c r="DQ61" s="251">
        <v>2717.2657668742304</v>
      </c>
      <c r="DR61" s="251">
        <v>-978.30059795810848</v>
      </c>
      <c r="DS61" s="249">
        <f>+DS25+DS34</f>
        <v>0</v>
      </c>
      <c r="DT61" s="249">
        <f>+DT25+DT34</f>
        <v>0.22108600000137812</v>
      </c>
      <c r="DU61" s="249">
        <v>-596.85411312347878</v>
      </c>
      <c r="DV61" s="249">
        <v>-297.2932744910986</v>
      </c>
      <c r="DW61" s="249">
        <v>-547.33836177961803</v>
      </c>
      <c r="DX61" s="249">
        <v>-745.53548395550024</v>
      </c>
      <c r="DY61" s="249">
        <v>1535.2291774402274</v>
      </c>
      <c r="DZ61" s="890">
        <f>+DZ25+DZ34</f>
        <v>-467.50478599999678</v>
      </c>
      <c r="EA61" s="890">
        <f>+EA25+EA34</f>
        <v>-924.97488736297601</v>
      </c>
      <c r="EB61" s="246"/>
      <c r="EC61" s="246"/>
      <c r="ED61" s="246"/>
      <c r="EE61" s="246"/>
      <c r="EF61" s="252" t="s">
        <v>75</v>
      </c>
      <c r="EG61" s="252" t="s">
        <v>75</v>
      </c>
      <c r="EH61" s="883"/>
      <c r="EI61" s="890"/>
      <c r="EJ61" s="246"/>
      <c r="EK61" s="246"/>
      <c r="EL61" s="965">
        <f t="shared" si="6"/>
        <v>-1471.4023288030357</v>
      </c>
    </row>
    <row r="62" spans="1:154 16331:16331" ht="15" customHeight="1">
      <c r="A62" s="968" t="s">
        <v>1107</v>
      </c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253"/>
      <c r="AL62" s="253"/>
      <c r="AM62" s="253"/>
      <c r="AN62" s="253"/>
      <c r="AO62" s="253"/>
      <c r="AP62" s="253"/>
      <c r="AQ62" s="253"/>
      <c r="AR62" s="253"/>
      <c r="AS62" s="253"/>
      <c r="AT62" s="253"/>
      <c r="AU62" s="253"/>
      <c r="AV62" s="253"/>
      <c r="AW62" s="253"/>
      <c r="AX62" s="253"/>
      <c r="AY62" s="253"/>
      <c r="AZ62" s="253"/>
      <c r="BA62" s="253"/>
      <c r="BB62" s="253"/>
      <c r="BC62" s="253"/>
      <c r="BD62" s="253"/>
      <c r="BE62" s="253"/>
      <c r="BF62" s="253"/>
      <c r="BG62" s="253"/>
      <c r="BH62" s="253"/>
      <c r="BI62" s="253"/>
      <c r="BJ62" s="253"/>
      <c r="BK62" s="253"/>
      <c r="BL62" s="253"/>
      <c r="BM62" s="253"/>
      <c r="BN62" s="253"/>
      <c r="BO62" s="253"/>
      <c r="BP62" s="253"/>
      <c r="BQ62" s="253"/>
      <c r="BR62" s="253"/>
      <c r="BS62" s="253"/>
      <c r="BT62" s="253"/>
      <c r="BU62" s="253"/>
      <c r="BV62" s="253"/>
      <c r="BW62" s="253"/>
      <c r="BX62" s="253"/>
      <c r="BY62" s="253"/>
      <c r="BZ62" s="253"/>
      <c r="CA62" s="253"/>
      <c r="CB62" s="253"/>
      <c r="CC62" s="253"/>
      <c r="CD62" s="253"/>
      <c r="CE62" s="253"/>
      <c r="CF62" s="253"/>
      <c r="CG62" s="253"/>
      <c r="CH62" s="253"/>
      <c r="CI62" s="253"/>
      <c r="CJ62" s="253"/>
      <c r="CK62" s="253"/>
      <c r="CL62" s="253"/>
      <c r="CM62" s="253"/>
      <c r="CN62" s="253"/>
      <c r="CO62" s="253"/>
      <c r="CP62" s="253"/>
      <c r="CQ62" s="253"/>
      <c r="CR62" s="253"/>
      <c r="CS62" s="253"/>
      <c r="CT62" s="253"/>
      <c r="CU62" s="253"/>
      <c r="CV62" s="253"/>
      <c r="CW62" s="253"/>
      <c r="CX62" s="253"/>
      <c r="CY62" s="253"/>
      <c r="CZ62" s="253"/>
      <c r="DA62" s="253"/>
      <c r="DB62" s="253"/>
      <c r="DC62" s="253"/>
      <c r="DD62" s="253"/>
      <c r="DE62" s="253"/>
      <c r="DF62" s="253"/>
      <c r="DG62" s="253"/>
      <c r="DH62" s="253"/>
      <c r="DI62" s="253"/>
      <c r="DJ62" s="253"/>
      <c r="DK62" s="253"/>
      <c r="DL62" s="253"/>
      <c r="DM62" s="253"/>
      <c r="DN62" s="253"/>
      <c r="DO62" s="253"/>
      <c r="DP62" s="253"/>
      <c r="DQ62" s="253"/>
      <c r="DR62" s="253"/>
      <c r="DS62" s="253"/>
      <c r="DT62" s="253"/>
      <c r="DU62" s="253"/>
      <c r="DV62" s="253"/>
      <c r="DW62" s="253"/>
      <c r="DX62" s="253"/>
      <c r="DY62" s="253"/>
      <c r="DZ62" s="253"/>
      <c r="EA62" s="253"/>
      <c r="EB62" s="253"/>
      <c r="EC62" s="253"/>
      <c r="ED62" s="253"/>
      <c r="EE62" s="253"/>
      <c r="EF62" s="253"/>
      <c r="EG62" s="253"/>
      <c r="EH62" s="253"/>
      <c r="EI62" s="253"/>
      <c r="EJ62" s="253"/>
      <c r="EK62" s="253"/>
    </row>
    <row r="63" spans="1:154 16331:16331" ht="15" customHeight="1">
      <c r="A63" s="254"/>
      <c r="AN63" s="255"/>
    </row>
    <row r="64" spans="1:154 16331:16331" ht="15" customHeight="1">
      <c r="A64" s="148" t="s">
        <v>164</v>
      </c>
      <c r="B64" s="177">
        <v>150351.280922534</v>
      </c>
      <c r="C64" s="177">
        <v>150351.280922534</v>
      </c>
      <c r="D64" s="177">
        <v>150351.280922534</v>
      </c>
      <c r="E64" s="177">
        <v>150351.280922534</v>
      </c>
      <c r="F64" s="177">
        <v>150351.280922534</v>
      </c>
      <c r="G64" s="177">
        <v>150351.280922534</v>
      </c>
      <c r="H64" s="177">
        <v>150351.280922534</v>
      </c>
      <c r="I64" s="177">
        <v>150351.280922534</v>
      </c>
      <c r="J64" s="177">
        <v>150351.280922534</v>
      </c>
      <c r="K64" s="177">
        <v>150351.280922534</v>
      </c>
      <c r="L64" s="177">
        <v>150351.280922534</v>
      </c>
      <c r="M64" s="177">
        <v>150351.280922534</v>
      </c>
      <c r="N64" s="177">
        <v>150351.280922534</v>
      </c>
      <c r="O64" s="177">
        <v>153723</v>
      </c>
      <c r="P64" s="177">
        <v>153723</v>
      </c>
      <c r="Q64" s="177">
        <v>153723</v>
      </c>
      <c r="R64" s="177">
        <v>153723</v>
      </c>
      <c r="S64" s="177">
        <v>153723</v>
      </c>
      <c r="T64" s="177">
        <v>153723</v>
      </c>
      <c r="U64" s="177">
        <v>153723</v>
      </c>
      <c r="V64" s="177">
        <v>153723</v>
      </c>
      <c r="W64" s="177">
        <v>153723</v>
      </c>
      <c r="X64" s="177">
        <v>153723</v>
      </c>
      <c r="Y64" s="177">
        <v>153723</v>
      </c>
      <c r="Z64" s="177">
        <v>153723</v>
      </c>
      <c r="AA64" s="177">
        <v>153723</v>
      </c>
      <c r="AB64" s="255">
        <v>154436</v>
      </c>
      <c r="AC64" s="255">
        <v>154436</v>
      </c>
      <c r="AD64" s="255">
        <v>154436</v>
      </c>
      <c r="AE64" s="255">
        <v>154436</v>
      </c>
      <c r="AF64" s="255">
        <v>154436</v>
      </c>
      <c r="AG64" s="255">
        <v>154436</v>
      </c>
      <c r="AH64" s="255">
        <v>154436</v>
      </c>
      <c r="AI64" s="255">
        <v>154436</v>
      </c>
      <c r="AJ64" s="255">
        <v>154436</v>
      </c>
      <c r="AK64" s="255">
        <v>154436</v>
      </c>
      <c r="AL64" s="255">
        <v>154436</v>
      </c>
      <c r="AM64" s="255">
        <v>154436</v>
      </c>
      <c r="AN64" s="255">
        <v>154436</v>
      </c>
      <c r="AO64" s="255">
        <v>156525</v>
      </c>
      <c r="AP64" s="255">
        <v>156525</v>
      </c>
      <c r="AQ64" s="255">
        <v>156525</v>
      </c>
      <c r="AR64" s="255">
        <v>156525</v>
      </c>
      <c r="AS64" s="255">
        <v>156525</v>
      </c>
      <c r="AT64" s="255">
        <v>156525</v>
      </c>
      <c r="AU64" s="255">
        <v>156525</v>
      </c>
      <c r="AV64" s="255">
        <v>156525</v>
      </c>
      <c r="AW64" s="255">
        <v>156525</v>
      </c>
      <c r="AX64" s="255">
        <v>156525</v>
      </c>
      <c r="AY64" s="255">
        <v>156525</v>
      </c>
      <c r="AZ64" s="255">
        <v>156525</v>
      </c>
      <c r="BA64" s="255">
        <v>156525</v>
      </c>
      <c r="BB64" s="177">
        <v>161242</v>
      </c>
      <c r="BC64" s="177">
        <v>161242</v>
      </c>
      <c r="BD64" s="177">
        <v>161242</v>
      </c>
      <c r="BE64" s="177">
        <v>161242</v>
      </c>
      <c r="BF64" s="177">
        <v>161242</v>
      </c>
      <c r="BG64" s="177">
        <v>161242</v>
      </c>
      <c r="BH64" s="177">
        <v>163905.04832381511</v>
      </c>
      <c r="BI64" s="177">
        <v>163905.04832381511</v>
      </c>
      <c r="BJ64" s="177">
        <v>163905.04832381511</v>
      </c>
      <c r="BK64" s="177">
        <v>163905.04832381511</v>
      </c>
      <c r="BL64" s="177">
        <v>163905.04832381511</v>
      </c>
      <c r="BM64" s="177">
        <v>163905.04832381511</v>
      </c>
      <c r="BN64" s="177">
        <v>163905.04832381511</v>
      </c>
      <c r="BO64" s="177">
        <v>163905.04832381511</v>
      </c>
      <c r="BP64" s="255">
        <v>176908.95661341932</v>
      </c>
      <c r="BQ64" s="255">
        <v>176908.95661341932</v>
      </c>
      <c r="BR64" s="255">
        <v>170052.7</v>
      </c>
      <c r="BS64" s="255">
        <v>170052.7</v>
      </c>
      <c r="BT64" s="255">
        <v>170052.7</v>
      </c>
      <c r="BU64" s="257">
        <v>170052.7</v>
      </c>
      <c r="BV64" s="258">
        <v>170052.7</v>
      </c>
      <c r="BW64" s="258">
        <v>170052.7</v>
      </c>
      <c r="BX64" s="258">
        <v>170052.7</v>
      </c>
      <c r="BY64" s="258">
        <v>170052.7</v>
      </c>
      <c r="BZ64" s="258">
        <v>170052.7</v>
      </c>
      <c r="CA64" s="258">
        <v>170052.7</v>
      </c>
      <c r="CB64" s="258">
        <v>170052.7</v>
      </c>
      <c r="CC64" s="255">
        <v>170052.7</v>
      </c>
      <c r="CD64" s="259">
        <v>181695</v>
      </c>
      <c r="CE64" s="259">
        <v>181695</v>
      </c>
      <c r="CF64" s="259">
        <v>181695</v>
      </c>
      <c r="CG64" s="259"/>
      <c r="CH64" s="259"/>
      <c r="CI64" s="259"/>
      <c r="CJ64" s="259"/>
      <c r="CK64" s="259"/>
      <c r="CL64" s="259">
        <v>182310</v>
      </c>
      <c r="CM64" s="259"/>
      <c r="CN64" s="259">
        <v>182322</v>
      </c>
      <c r="CO64" s="259">
        <v>182310</v>
      </c>
      <c r="CP64" s="259">
        <v>182310</v>
      </c>
      <c r="CQ64" s="259">
        <v>197814</v>
      </c>
      <c r="CR64" s="259">
        <v>197814</v>
      </c>
      <c r="CS64" s="259">
        <v>197814</v>
      </c>
      <c r="CT64" s="259">
        <v>195929.07874685782</v>
      </c>
      <c r="CU64" s="259">
        <v>197814</v>
      </c>
      <c r="CV64" s="259">
        <v>197814</v>
      </c>
      <c r="CW64" s="259">
        <v>197814</v>
      </c>
      <c r="CX64" s="259">
        <v>195202</v>
      </c>
      <c r="CY64" s="259">
        <v>195202</v>
      </c>
      <c r="CZ64" s="259">
        <v>197814</v>
      </c>
      <c r="DA64" s="259">
        <v>197814</v>
      </c>
      <c r="DB64" s="259">
        <v>197814</v>
      </c>
      <c r="DC64" s="259">
        <v>197814</v>
      </c>
      <c r="DD64" s="259">
        <v>197814</v>
      </c>
      <c r="DE64" s="259">
        <v>211094.52619597601</v>
      </c>
      <c r="DF64" s="259">
        <v>164910.7060323162</v>
      </c>
      <c r="DG64" s="259">
        <v>164910.7060323162</v>
      </c>
      <c r="DH64" s="259">
        <v>164910.7060323162</v>
      </c>
      <c r="DI64" s="259">
        <v>164910.7060323162</v>
      </c>
      <c r="DJ64" s="259">
        <v>164910.7060323162</v>
      </c>
      <c r="DK64" s="259">
        <v>164910.7060323162</v>
      </c>
      <c r="DL64" s="259">
        <v>164910.7060323162</v>
      </c>
      <c r="DM64" s="259"/>
      <c r="DN64" s="259"/>
      <c r="DO64" s="259"/>
      <c r="DP64" s="259"/>
      <c r="DQ64" s="259"/>
      <c r="DR64" s="259"/>
      <c r="DS64" s="259">
        <v>194320.380473</v>
      </c>
      <c r="DT64" s="259">
        <v>175615.93974199999</v>
      </c>
      <c r="DU64" s="259">
        <v>183747.54664000002</v>
      </c>
      <c r="DV64" s="259">
        <v>180715</v>
      </c>
      <c r="DW64" s="259">
        <v>180715</v>
      </c>
      <c r="DX64" s="259">
        <v>175615.93974199999</v>
      </c>
      <c r="DY64" s="259">
        <v>175615.93974199999</v>
      </c>
      <c r="DZ64" s="259">
        <v>175615.93974199999</v>
      </c>
      <c r="EA64" s="259">
        <v>175615.93974199999</v>
      </c>
      <c r="EB64" s="259">
        <v>180715</v>
      </c>
      <c r="EC64" s="259">
        <v>180715</v>
      </c>
      <c r="ED64" s="259">
        <v>180715</v>
      </c>
      <c r="EE64" s="259">
        <v>180715</v>
      </c>
      <c r="EF64" s="259"/>
      <c r="EG64" s="260"/>
      <c r="EH64" s="260"/>
      <c r="EI64" s="259">
        <v>175615.93974199999</v>
      </c>
    </row>
    <row r="65" spans="1:138" ht="15" customHeight="1"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  <c r="BJ65" s="255"/>
      <c r="BK65" s="255"/>
      <c r="BL65" s="255"/>
      <c r="BM65" s="255"/>
      <c r="BN65" s="255"/>
      <c r="BO65" s="255"/>
      <c r="BP65" s="255"/>
      <c r="BQ65" s="255"/>
      <c r="BR65" s="255"/>
      <c r="BS65" s="255"/>
      <c r="BT65" s="255"/>
      <c r="BU65" s="255"/>
      <c r="BV65" s="255"/>
      <c r="BW65" s="255"/>
      <c r="BX65" s="255"/>
      <c r="BY65" s="255"/>
      <c r="BZ65" s="255"/>
      <c r="CA65" s="255"/>
      <c r="CB65" s="255"/>
      <c r="CD65" s="261"/>
      <c r="CE65" s="261"/>
      <c r="CQ65" s="261"/>
      <c r="CR65" s="261"/>
      <c r="CS65" s="261"/>
    </row>
    <row r="66" spans="1:138" ht="15" customHeight="1"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BA66" s="177"/>
      <c r="DF66" s="262"/>
      <c r="DG66" s="262"/>
      <c r="DH66" s="262"/>
      <c r="DI66" s="262"/>
      <c r="DJ66" s="262"/>
      <c r="DK66" s="262"/>
      <c r="DL66" s="262"/>
      <c r="DM66" s="262"/>
      <c r="DN66" s="262"/>
      <c r="DO66" s="262"/>
      <c r="DP66" s="262"/>
      <c r="DQ66" s="262"/>
      <c r="DR66" s="262"/>
      <c r="DS66" s="262"/>
      <c r="DT66" s="262"/>
      <c r="DU66" s="262"/>
      <c r="DV66" s="262"/>
      <c r="DW66" s="262"/>
      <c r="DX66" s="262"/>
      <c r="DY66" s="262"/>
      <c r="DZ66" s="262"/>
      <c r="EA66" s="262"/>
      <c r="EB66" s="262"/>
      <c r="EC66" s="262"/>
      <c r="ED66" s="262"/>
      <c r="EE66" s="262"/>
      <c r="EF66" s="262"/>
      <c r="EG66" s="263"/>
      <c r="EH66" s="263"/>
    </row>
    <row r="67" spans="1:138" ht="15" customHeight="1">
      <c r="A67" s="264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177"/>
      <c r="BT67" s="177"/>
      <c r="BU67" s="177"/>
      <c r="BV67" s="177"/>
      <c r="BW67" s="177"/>
      <c r="BX67" s="177"/>
      <c r="BY67" s="177"/>
      <c r="BZ67" s="177"/>
      <c r="CA67" s="177"/>
      <c r="CB67" s="177"/>
    </row>
    <row r="68" spans="1:138" ht="15" customHeight="1">
      <c r="A68" s="264"/>
      <c r="DF68" s="177"/>
      <c r="DG68" s="262"/>
      <c r="DH68" s="262"/>
      <c r="DI68" s="262"/>
      <c r="DJ68" s="262"/>
      <c r="DK68" s="262"/>
      <c r="DL68" s="262"/>
      <c r="DM68" s="262"/>
      <c r="DN68" s="262"/>
      <c r="DO68" s="262"/>
      <c r="DP68" s="262"/>
      <c r="DQ68" s="262"/>
      <c r="DR68" s="262"/>
      <c r="DS68" s="262"/>
      <c r="DT68" s="262"/>
      <c r="DU68" s="262"/>
    </row>
    <row r="69" spans="1:138" ht="15" customHeight="1">
      <c r="A69" s="264"/>
    </row>
    <row r="70" spans="1:138" ht="15" customHeight="1">
      <c r="A70" s="264"/>
    </row>
    <row r="71" spans="1:138" ht="15" customHeight="1">
      <c r="A71" s="264"/>
    </row>
    <row r="72" spans="1:138" ht="15" customHeight="1">
      <c r="A72" s="264"/>
    </row>
    <row r="73" spans="1:138" ht="15" customHeight="1">
      <c r="A73" s="264"/>
    </row>
    <row r="85" spans="2:2" ht="15" customHeight="1">
      <c r="B85" s="177">
        <v>4472526</v>
      </c>
    </row>
  </sheetData>
  <mergeCells count="125">
    <mergeCell ref="A1:A3"/>
    <mergeCell ref="BB1:BO1"/>
    <mergeCell ref="BP1:CC1"/>
    <mergeCell ref="CD1:CP1"/>
    <mergeCell ref="CQ1:DD1"/>
    <mergeCell ref="DE1:DR1"/>
    <mergeCell ref="M2:M3"/>
    <mergeCell ref="N2:N3"/>
    <mergeCell ref="O2:O3"/>
    <mergeCell ref="P2:P3"/>
    <mergeCell ref="Q2:Q3"/>
    <mergeCell ref="S2:S3"/>
    <mergeCell ref="T2:T3"/>
    <mergeCell ref="V2:V3"/>
    <mergeCell ref="W2:W3"/>
    <mergeCell ref="Y2:Y3"/>
    <mergeCell ref="AZ2:AZ3"/>
    <mergeCell ref="BA2:BA3"/>
    <mergeCell ref="BB2:BB3"/>
    <mergeCell ref="BC2:BC3"/>
    <mergeCell ref="AO2:AO3"/>
    <mergeCell ref="AP2:AP3"/>
    <mergeCell ref="AQ2:AQ3"/>
    <mergeCell ref="AS2:AS3"/>
    <mergeCell ref="DS1:EG1"/>
    <mergeCell ref="EI1:EK1"/>
    <mergeCell ref="B2:B3"/>
    <mergeCell ref="C2:C3"/>
    <mergeCell ref="D2:D3"/>
    <mergeCell ref="F2:F3"/>
    <mergeCell ref="G2:G3"/>
    <mergeCell ref="I2:I3"/>
    <mergeCell ref="J2:J3"/>
    <mergeCell ref="L2:L3"/>
    <mergeCell ref="AG2:AG3"/>
    <mergeCell ref="AI2:AI3"/>
    <mergeCell ref="AJ2:AJ3"/>
    <mergeCell ref="AL2:AL3"/>
    <mergeCell ref="AM2:AM3"/>
    <mergeCell ref="AN2:AN3"/>
    <mergeCell ref="Z2:Z3"/>
    <mergeCell ref="AA2:AA3"/>
    <mergeCell ref="AB2:AB3"/>
    <mergeCell ref="AC2:AC3"/>
    <mergeCell ref="AD2:AD3"/>
    <mergeCell ref="AF2:AF3"/>
    <mergeCell ref="AW2:AW3"/>
    <mergeCell ref="AY2:AY3"/>
    <mergeCell ref="AT2:AT3"/>
    <mergeCell ref="AV2:AV3"/>
    <mergeCell ref="BM2:BM3"/>
    <mergeCell ref="BN2:BN3"/>
    <mergeCell ref="BO2:BO3"/>
    <mergeCell ref="BP2:BP3"/>
    <mergeCell ref="BQ2:BQ3"/>
    <mergeCell ref="BR2:BR3"/>
    <mergeCell ref="BD2:BD3"/>
    <mergeCell ref="BE2:BE3"/>
    <mergeCell ref="BG2:BG3"/>
    <mergeCell ref="BH2:BH3"/>
    <mergeCell ref="BJ2:BJ3"/>
    <mergeCell ref="BK2:BK3"/>
    <mergeCell ref="CB2:CB3"/>
    <mergeCell ref="CC2:CC3"/>
    <mergeCell ref="CD2:CD3"/>
    <mergeCell ref="CE2:CE3"/>
    <mergeCell ref="CF2:CF3"/>
    <mergeCell ref="CG2:CG3"/>
    <mergeCell ref="BS2:BS3"/>
    <mergeCell ref="BU2:BU3"/>
    <mergeCell ref="BV2:BV3"/>
    <mergeCell ref="BX2:BX3"/>
    <mergeCell ref="BY2:BY3"/>
    <mergeCell ref="CA2:CA3"/>
    <mergeCell ref="CN2:CN3"/>
    <mergeCell ref="CO2:CO3"/>
    <mergeCell ref="CP2:CP3"/>
    <mergeCell ref="CQ2:CQ3"/>
    <mergeCell ref="CR2:CR3"/>
    <mergeCell ref="CS2:CS3"/>
    <mergeCell ref="CH2:CH3"/>
    <mergeCell ref="CI2:CI3"/>
    <mergeCell ref="CJ2:CJ3"/>
    <mergeCell ref="CK2:CK3"/>
    <mergeCell ref="CL2:CL3"/>
    <mergeCell ref="CM2:CM3"/>
    <mergeCell ref="CZ2:CZ3"/>
    <mergeCell ref="DB2:DB3"/>
    <mergeCell ref="DC2:DC3"/>
    <mergeCell ref="DD2:DD3"/>
    <mergeCell ref="DE2:DE3"/>
    <mergeCell ref="DG2:DG3"/>
    <mergeCell ref="CT2:CT3"/>
    <mergeCell ref="CU2:CU3"/>
    <mergeCell ref="CV2:CV3"/>
    <mergeCell ref="CW2:CW3"/>
    <mergeCell ref="CX2:CX3"/>
    <mergeCell ref="CY2:CY3"/>
    <mergeCell ref="DN2:DN3"/>
    <mergeCell ref="DP2:DP3"/>
    <mergeCell ref="DQ2:DQ3"/>
    <mergeCell ref="DR2:DR3"/>
    <mergeCell ref="DS2:DS3"/>
    <mergeCell ref="DU2:DU3"/>
    <mergeCell ref="DH2:DH3"/>
    <mergeCell ref="DI2:DI3"/>
    <mergeCell ref="DJ2:DJ3"/>
    <mergeCell ref="DK2:DK3"/>
    <mergeCell ref="DL2:DL3"/>
    <mergeCell ref="DM2:DM3"/>
    <mergeCell ref="DT2:DT3"/>
    <mergeCell ref="EI2:EI3"/>
    <mergeCell ref="EJ2:EK2"/>
    <mergeCell ref="EB2:EB3"/>
    <mergeCell ref="EC2:EC3"/>
    <mergeCell ref="ED2:ED3"/>
    <mergeCell ref="EE2:EE3"/>
    <mergeCell ref="EF2:EF3"/>
    <mergeCell ref="EG2:EG3"/>
    <mergeCell ref="DV2:DV3"/>
    <mergeCell ref="DW2:DW3"/>
    <mergeCell ref="DX2:DX3"/>
    <mergeCell ref="DY2:DY3"/>
    <mergeCell ref="DZ2:DZ3"/>
    <mergeCell ref="EA2:EA3"/>
  </mergeCells>
  <pageMargins left="0.23622047244094491" right="0.23622047244094491" top="0.74803149606299213" bottom="0.74803149606299213" header="0.31496062992125984" footer="0.31496062992125984"/>
  <pageSetup paperSize="9" scale="1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BZ199"/>
  <sheetViews>
    <sheetView zoomScale="98" zoomScaleNormal="98" workbookViewId="0">
      <pane xSplit="2" ySplit="3" topLeftCell="C154" activePane="bottomRight" state="frozen"/>
      <selection activeCell="DY16" sqref="DY16"/>
      <selection pane="topRight" activeCell="DY16" sqref="DY16"/>
      <selection pane="bottomLeft" activeCell="DY16" sqref="DY16"/>
      <selection pane="bottomRight" activeCell="B172" sqref="B172"/>
    </sheetView>
  </sheetViews>
  <sheetFormatPr defaultColWidth="8.7265625" defaultRowHeight="14.5"/>
  <cols>
    <col min="1" max="1" width="19.1796875" style="786" bestFit="1" customWidth="1"/>
    <col min="2" max="2" width="33.1796875" style="374" customWidth="1"/>
    <col min="3" max="3" width="17.54296875" style="267" customWidth="1"/>
    <col min="4" max="4" width="16.7265625" style="267" bestFit="1" customWidth="1"/>
    <col min="5" max="5" width="16.453125" style="267" customWidth="1"/>
    <col min="6" max="6" width="16.7265625" style="267" bestFit="1" customWidth="1"/>
    <col min="7" max="8" width="17" style="267" bestFit="1" customWidth="1"/>
    <col min="9" max="9" width="14.54296875" style="267" bestFit="1" customWidth="1"/>
    <col min="10" max="10" width="11.7265625" style="267" hidden="1" customWidth="1"/>
    <col min="11" max="11" width="13.1796875" style="267" hidden="1" customWidth="1"/>
    <col min="12" max="12" width="11.81640625" style="267" hidden="1" customWidth="1"/>
    <col min="13" max="13" width="13.1796875" style="267" hidden="1" customWidth="1"/>
    <col min="14" max="14" width="10.26953125" style="267" hidden="1" customWidth="1"/>
    <col min="15" max="15" width="16.26953125" style="267" bestFit="1" customWidth="1"/>
    <col min="16" max="16" width="18.81640625" customWidth="1"/>
    <col min="17" max="17" width="17.81640625" customWidth="1"/>
    <col min="18" max="18" width="21.453125" customWidth="1"/>
    <col min="19" max="19" width="16.7265625" customWidth="1"/>
    <col min="20" max="20" width="13.26953125" customWidth="1"/>
    <col min="21" max="21" width="12.1796875" customWidth="1"/>
    <col min="22" max="22" width="8.7265625" customWidth="1"/>
    <col min="23" max="23" width="12.1796875" customWidth="1"/>
    <col min="24" max="24" width="12" bestFit="1" customWidth="1"/>
    <col min="25" max="25" width="12.453125" bestFit="1" customWidth="1"/>
    <col min="94" max="94" width="11.453125" bestFit="1" customWidth="1"/>
    <col min="118" max="122" width="0" hidden="1" customWidth="1"/>
    <col min="129" max="129" width="17" bestFit="1" customWidth="1"/>
    <col min="130" max="130" width="8" customWidth="1"/>
    <col min="131" max="133" width="0" hidden="1" customWidth="1"/>
    <col min="134" max="134" width="13.453125" hidden="1" customWidth="1"/>
  </cols>
  <sheetData>
    <row r="1" spans="1:137">
      <c r="B1" s="266"/>
      <c r="O1" s="268"/>
    </row>
    <row r="2" spans="1:137" s="269" customFormat="1">
      <c r="A2" s="787"/>
      <c r="B2" s="270"/>
      <c r="C2" s="271"/>
      <c r="D2" s="271"/>
      <c r="E2" s="271"/>
      <c r="F2" s="271"/>
      <c r="G2" s="271"/>
      <c r="H2" s="271"/>
      <c r="I2" s="271"/>
      <c r="J2" s="271"/>
      <c r="K2" s="272"/>
      <c r="L2" s="271"/>
      <c r="M2" s="271"/>
      <c r="N2" s="271"/>
      <c r="O2" s="271"/>
      <c r="Q2" s="271"/>
    </row>
    <row r="3" spans="1:137" s="269" customFormat="1">
      <c r="A3" s="787"/>
      <c r="B3" s="270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3"/>
      <c r="O3" s="271"/>
    </row>
    <row r="4" spans="1:137" s="269" customFormat="1" ht="31.5" customHeight="1" thickBot="1">
      <c r="A4" s="274" t="s">
        <v>165</v>
      </c>
      <c r="B4" s="274" t="s">
        <v>166</v>
      </c>
      <c r="C4" s="274" t="s">
        <v>167</v>
      </c>
      <c r="D4" s="275" t="s">
        <v>168</v>
      </c>
      <c r="E4" s="275" t="s">
        <v>169</v>
      </c>
      <c r="F4" s="275" t="s">
        <v>170</v>
      </c>
      <c r="G4" s="275" t="s">
        <v>21</v>
      </c>
      <c r="H4" s="275" t="s">
        <v>171</v>
      </c>
      <c r="I4" s="275" t="s">
        <v>172</v>
      </c>
      <c r="J4" s="275" t="s">
        <v>173</v>
      </c>
      <c r="K4" s="275" t="s">
        <v>174</v>
      </c>
      <c r="L4" s="275" t="s">
        <v>175</v>
      </c>
      <c r="M4" s="275" t="s">
        <v>176</v>
      </c>
      <c r="N4" s="275" t="s">
        <v>177</v>
      </c>
      <c r="O4" s="275" t="s">
        <v>178</v>
      </c>
      <c r="EF4" s="269" t="e">
        <f>+DZ4/DS4*100</f>
        <v>#DIV/0!</v>
      </c>
      <c r="EG4" s="269" t="e">
        <f>+(DZ4/DM4-1)*100</f>
        <v>#DIV/0!</v>
      </c>
    </row>
    <row r="5" spans="1:137" s="269" customFormat="1" ht="20.149999999999999" customHeight="1" thickBot="1">
      <c r="A5" s="276" t="s">
        <v>179</v>
      </c>
      <c r="B5" s="277" t="s">
        <v>180</v>
      </c>
      <c r="C5" s="278">
        <f>+C7+C10+C12+C19+C37+C41</f>
        <v>2080972258</v>
      </c>
      <c r="D5" s="278">
        <f t="shared" ref="D5:N5" si="0">+D7+D10+D12+D19+D37+D41</f>
        <v>2234765744</v>
      </c>
      <c r="E5" s="278">
        <f t="shared" si="0"/>
        <v>2862481918</v>
      </c>
      <c r="F5" s="278">
        <f>+F7+F10+F12+F19+F37+F41</f>
        <v>2371889520</v>
      </c>
      <c r="G5" s="278">
        <f t="shared" si="0"/>
        <v>3002726234</v>
      </c>
      <c r="H5" s="278">
        <f>+H7+H10+H12+H19+H37+H41</f>
        <v>2406658168</v>
      </c>
      <c r="I5" s="278">
        <f t="shared" si="0"/>
        <v>2835625848</v>
      </c>
      <c r="J5" s="278">
        <f t="shared" si="0"/>
        <v>0</v>
      </c>
      <c r="K5" s="278">
        <f t="shared" si="0"/>
        <v>0</v>
      </c>
      <c r="L5" s="278">
        <f t="shared" si="0"/>
        <v>0</v>
      </c>
      <c r="M5" s="278">
        <f t="shared" si="0"/>
        <v>0</v>
      </c>
      <c r="N5" s="278">
        <f t="shared" si="0"/>
        <v>0</v>
      </c>
      <c r="O5" s="279">
        <f>SUM(C5:N5)</f>
        <v>17795119690</v>
      </c>
      <c r="P5" s="271"/>
      <c r="Q5" s="280"/>
      <c r="R5" s="271"/>
      <c r="EF5" s="269" t="e">
        <f t="shared" ref="EF5:EF23" si="1">+DZ5/DS5*100</f>
        <v>#DIV/0!</v>
      </c>
      <c r="EG5" s="269" t="e">
        <f t="shared" ref="EG5:EG23" si="2">+(DZ5/DM5-1)*100</f>
        <v>#DIV/0!</v>
      </c>
    </row>
    <row r="6" spans="1:137" s="269" customFormat="1" ht="15" customHeight="1">
      <c r="A6" s="788"/>
      <c r="B6" s="281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71"/>
      <c r="EF6" s="269" t="e">
        <f t="shared" si="1"/>
        <v>#DIV/0!</v>
      </c>
      <c r="EG6" s="269" t="e">
        <f t="shared" si="2"/>
        <v>#DIV/0!</v>
      </c>
    </row>
    <row r="7" spans="1:137" s="285" customFormat="1" ht="15" customHeight="1">
      <c r="A7" s="789" t="s">
        <v>181</v>
      </c>
      <c r="B7" s="283" t="s">
        <v>182</v>
      </c>
      <c r="C7" s="284">
        <f>SUM(C8:C9)</f>
        <v>363422723.99999994</v>
      </c>
      <c r="D7" s="284">
        <f t="shared" ref="D7:N7" si="3">SUM(D8:D9)</f>
        <v>538105786</v>
      </c>
      <c r="E7" s="284">
        <f t="shared" si="3"/>
        <v>872441059</v>
      </c>
      <c r="F7" s="284">
        <f t="shared" si="3"/>
        <v>687121261</v>
      </c>
      <c r="G7" s="284">
        <f t="shared" si="3"/>
        <v>1196612772</v>
      </c>
      <c r="H7" s="284">
        <f t="shared" si="3"/>
        <v>565699902</v>
      </c>
      <c r="I7" s="284">
        <f t="shared" si="3"/>
        <v>569726928</v>
      </c>
      <c r="J7" s="284">
        <f t="shared" si="3"/>
        <v>0</v>
      </c>
      <c r="K7" s="284">
        <f t="shared" si="3"/>
        <v>0</v>
      </c>
      <c r="L7" s="284">
        <f t="shared" si="3"/>
        <v>0</v>
      </c>
      <c r="M7" s="284">
        <f t="shared" si="3"/>
        <v>0</v>
      </c>
      <c r="N7" s="284">
        <f t="shared" si="3"/>
        <v>0</v>
      </c>
      <c r="O7" s="284">
        <f>SUM(C7:N7)</f>
        <v>4793130432</v>
      </c>
      <c r="EF7" s="285" t="e">
        <f t="shared" si="1"/>
        <v>#DIV/0!</v>
      </c>
      <c r="EG7" s="285" t="e">
        <f t="shared" si="2"/>
        <v>#DIV/0!</v>
      </c>
    </row>
    <row r="8" spans="1:137" s="285" customFormat="1" ht="15" customHeight="1">
      <c r="A8" s="790" t="s">
        <v>183</v>
      </c>
      <c r="B8" s="286" t="s">
        <v>184</v>
      </c>
      <c r="C8" s="287">
        <f>370255773-C11</f>
        <v>323613016.99999994</v>
      </c>
      <c r="D8" s="287">
        <f>517520179-D11</f>
        <v>487785714.00000006</v>
      </c>
      <c r="E8" s="287">
        <f>531643253-E11</f>
        <v>508873396</v>
      </c>
      <c r="F8" s="287">
        <f>494005667-F11</f>
        <v>455187198</v>
      </c>
      <c r="G8" s="287">
        <f>575078007-G11</f>
        <v>546091576</v>
      </c>
      <c r="H8" s="910">
        <f>388277612-H11</f>
        <v>374343602</v>
      </c>
      <c r="I8" s="910">
        <f>469953172-I11</f>
        <v>429875391</v>
      </c>
      <c r="J8" s="910"/>
      <c r="K8" s="910"/>
      <c r="L8" s="910"/>
      <c r="M8" s="910"/>
      <c r="N8" s="910"/>
      <c r="O8" s="911">
        <f t="shared" ref="O8:O70" si="4">SUM(C8:N8)</f>
        <v>3125769894</v>
      </c>
      <c r="P8" s="290">
        <f>+'[1]DGCI_RF cobradas_até Jul'!$E$21</f>
        <v>3125769894</v>
      </c>
      <c r="Q8" s="739">
        <f>+P8-O8</f>
        <v>0</v>
      </c>
      <c r="EF8" s="285" t="e">
        <f t="shared" si="1"/>
        <v>#DIV/0!</v>
      </c>
      <c r="EG8" s="285" t="e">
        <f t="shared" si="2"/>
        <v>#DIV/0!</v>
      </c>
    </row>
    <row r="9" spans="1:137" s="269" customFormat="1" ht="15" customHeight="1">
      <c r="A9" s="790" t="s">
        <v>185</v>
      </c>
      <c r="B9" s="286" t="s">
        <v>186</v>
      </c>
      <c r="C9" s="288">
        <v>39809707</v>
      </c>
      <c r="D9" s="288">
        <v>50320072</v>
      </c>
      <c r="E9" s="288">
        <v>363567663</v>
      </c>
      <c r="F9" s="288">
        <v>231934063</v>
      </c>
      <c r="G9" s="288">
        <v>650521196</v>
      </c>
      <c r="H9" s="288">
        <v>191356300</v>
      </c>
      <c r="I9" s="288">
        <v>139851537</v>
      </c>
      <c r="J9" s="288"/>
      <c r="K9" s="288"/>
      <c r="L9" s="288"/>
      <c r="M9" s="288"/>
      <c r="N9" s="288"/>
      <c r="O9" s="289">
        <f t="shared" si="4"/>
        <v>1667360538</v>
      </c>
      <c r="P9" s="290"/>
      <c r="EF9" s="269" t="e">
        <f t="shared" si="1"/>
        <v>#DIV/0!</v>
      </c>
      <c r="EG9" s="269" t="e">
        <f t="shared" si="2"/>
        <v>#DIV/0!</v>
      </c>
    </row>
    <row r="10" spans="1:137" s="269" customFormat="1">
      <c r="A10" s="791" t="s">
        <v>187</v>
      </c>
      <c r="B10" s="291" t="s">
        <v>42</v>
      </c>
      <c r="C10" s="292">
        <f>+C11</f>
        <v>46642756.00000006</v>
      </c>
      <c r="D10" s="292">
        <f t="shared" ref="D10:N10" si="5">+D11</f>
        <v>29734464.99999994</v>
      </c>
      <c r="E10" s="292">
        <f t="shared" si="5"/>
        <v>22769857</v>
      </c>
      <c r="F10" s="292">
        <f t="shared" si="5"/>
        <v>38818469</v>
      </c>
      <c r="G10" s="292">
        <f t="shared" si="5"/>
        <v>28986431</v>
      </c>
      <c r="H10" s="292">
        <f t="shared" si="5"/>
        <v>13934010</v>
      </c>
      <c r="I10" s="292">
        <f t="shared" si="5"/>
        <v>40077781</v>
      </c>
      <c r="J10" s="292">
        <f t="shared" si="5"/>
        <v>0</v>
      </c>
      <c r="K10" s="292">
        <f t="shared" si="5"/>
        <v>0</v>
      </c>
      <c r="L10" s="292">
        <f t="shared" si="5"/>
        <v>0</v>
      </c>
      <c r="M10" s="292">
        <f t="shared" si="5"/>
        <v>0</v>
      </c>
      <c r="N10" s="292">
        <f t="shared" si="5"/>
        <v>0</v>
      </c>
      <c r="O10" s="292">
        <f t="shared" si="4"/>
        <v>220963769</v>
      </c>
      <c r="P10" s="290"/>
      <c r="EF10" s="269" t="e">
        <f t="shared" si="1"/>
        <v>#DIV/0!</v>
      </c>
      <c r="EG10" s="269" t="e">
        <f t="shared" si="2"/>
        <v>#DIV/0!</v>
      </c>
    </row>
    <row r="11" spans="1:137" s="269" customFormat="1">
      <c r="A11" s="790"/>
      <c r="B11" s="745" t="s">
        <v>43</v>
      </c>
      <c r="C11" s="287">
        <v>46642756.00000006</v>
      </c>
      <c r="D11" s="287">
        <v>29734464.99999994</v>
      </c>
      <c r="E11" s="287">
        <v>22769857</v>
      </c>
      <c r="F11" s="287">
        <v>38818469</v>
      </c>
      <c r="G11" s="287">
        <v>28986431</v>
      </c>
      <c r="H11" s="288">
        <v>13934010</v>
      </c>
      <c r="I11" s="910">
        <v>40077781</v>
      </c>
      <c r="J11" s="289"/>
      <c r="K11" s="289"/>
      <c r="L11" s="289"/>
      <c r="M11" s="289"/>
      <c r="N11" s="289"/>
      <c r="O11" s="289">
        <f t="shared" si="4"/>
        <v>220963769</v>
      </c>
      <c r="P11" s="290">
        <v>220963769</v>
      </c>
      <c r="Q11" s="739">
        <f>+P11-O11</f>
        <v>0</v>
      </c>
      <c r="EF11" s="269" t="e">
        <f t="shared" si="1"/>
        <v>#DIV/0!</v>
      </c>
      <c r="EG11" s="269" t="e">
        <f t="shared" si="2"/>
        <v>#DIV/0!</v>
      </c>
    </row>
    <row r="12" spans="1:137" s="295" customFormat="1">
      <c r="A12" s="792" t="s">
        <v>188</v>
      </c>
      <c r="B12" s="742" t="s">
        <v>189</v>
      </c>
      <c r="C12" s="743">
        <f t="shared" ref="C12:N12" si="6">SUM(C13,C16)</f>
        <v>0</v>
      </c>
      <c r="D12" s="743">
        <f t="shared" si="6"/>
        <v>0</v>
      </c>
      <c r="E12" s="743">
        <f t="shared" si="6"/>
        <v>0</v>
      </c>
      <c r="F12" s="743">
        <f t="shared" si="6"/>
        <v>0</v>
      </c>
      <c r="G12" s="743">
        <f t="shared" si="6"/>
        <v>0</v>
      </c>
      <c r="H12" s="743">
        <f>SUM(H13,H16)</f>
        <v>80000</v>
      </c>
      <c r="I12" s="743">
        <f t="shared" si="6"/>
        <v>0</v>
      </c>
      <c r="J12" s="743">
        <f t="shared" si="6"/>
        <v>0</v>
      </c>
      <c r="K12" s="743">
        <f t="shared" si="6"/>
        <v>0</v>
      </c>
      <c r="L12" s="743">
        <f t="shared" si="6"/>
        <v>0</v>
      </c>
      <c r="M12" s="743">
        <f t="shared" si="6"/>
        <v>0</v>
      </c>
      <c r="N12" s="743">
        <f t="shared" si="6"/>
        <v>0</v>
      </c>
      <c r="O12" s="743">
        <f t="shared" si="4"/>
        <v>80000</v>
      </c>
      <c r="P12" s="294"/>
      <c r="EF12" s="295" t="e">
        <f t="shared" si="1"/>
        <v>#DIV/0!</v>
      </c>
      <c r="EG12" s="295" t="e">
        <f t="shared" si="2"/>
        <v>#DIV/0!</v>
      </c>
    </row>
    <row r="13" spans="1:137" s="295" customFormat="1" hidden="1">
      <c r="A13" s="792" t="s">
        <v>190</v>
      </c>
      <c r="B13" s="742" t="s">
        <v>191</v>
      </c>
      <c r="C13" s="743">
        <v>0</v>
      </c>
      <c r="D13" s="743"/>
      <c r="E13" s="743"/>
      <c r="F13" s="743"/>
      <c r="G13" s="743"/>
      <c r="H13" s="743"/>
      <c r="I13" s="743"/>
      <c r="J13" s="743"/>
      <c r="K13" s="743"/>
      <c r="L13" s="743"/>
      <c r="M13" s="743"/>
      <c r="N13" s="743"/>
      <c r="O13" s="743">
        <f t="shared" si="4"/>
        <v>0</v>
      </c>
      <c r="P13" s="294"/>
      <c r="Q13" s="268"/>
      <c r="EF13" s="295" t="e">
        <f t="shared" si="1"/>
        <v>#DIV/0!</v>
      </c>
      <c r="EG13" s="295" t="e">
        <f t="shared" si="2"/>
        <v>#DIV/0!</v>
      </c>
    </row>
    <row r="14" spans="1:137" s="295" customFormat="1" hidden="1">
      <c r="A14" s="792" t="s">
        <v>192</v>
      </c>
      <c r="B14" s="742" t="s">
        <v>184</v>
      </c>
      <c r="C14" s="743"/>
      <c r="D14" s="743"/>
      <c r="E14" s="743"/>
      <c r="F14" s="743"/>
      <c r="G14" s="743"/>
      <c r="H14" s="743"/>
      <c r="I14" s="743"/>
      <c r="J14" s="743"/>
      <c r="K14" s="743"/>
      <c r="L14" s="743"/>
      <c r="M14" s="743"/>
      <c r="N14" s="743"/>
      <c r="O14" s="743">
        <f t="shared" si="4"/>
        <v>0</v>
      </c>
      <c r="P14" s="294"/>
      <c r="EF14" s="295" t="e">
        <f t="shared" si="1"/>
        <v>#DIV/0!</v>
      </c>
      <c r="EG14" s="295" t="e">
        <f t="shared" si="2"/>
        <v>#DIV/0!</v>
      </c>
    </row>
    <row r="15" spans="1:137" s="295" customFormat="1" hidden="1">
      <c r="A15" s="792" t="s">
        <v>193</v>
      </c>
      <c r="B15" s="742" t="s">
        <v>186</v>
      </c>
      <c r="C15" s="743"/>
      <c r="D15" s="743"/>
      <c r="E15" s="743"/>
      <c r="F15" s="743"/>
      <c r="G15" s="743"/>
      <c r="H15" s="743"/>
      <c r="I15" s="743"/>
      <c r="J15" s="743"/>
      <c r="K15" s="743"/>
      <c r="L15" s="743"/>
      <c r="M15" s="743"/>
      <c r="N15" s="743"/>
      <c r="O15" s="743">
        <f t="shared" si="4"/>
        <v>0</v>
      </c>
      <c r="EF15" s="295" t="e">
        <f t="shared" si="1"/>
        <v>#DIV/0!</v>
      </c>
      <c r="EG15" s="295" t="e">
        <f t="shared" si="2"/>
        <v>#DIV/0!</v>
      </c>
    </row>
    <row r="16" spans="1:137" s="296" customFormat="1" ht="29" hidden="1">
      <c r="A16" s="792" t="s">
        <v>194</v>
      </c>
      <c r="B16" s="744" t="s">
        <v>195</v>
      </c>
      <c r="C16" s="743">
        <f t="shared" ref="C16:N16" si="7">SUM(C17:C18)</f>
        <v>0</v>
      </c>
      <c r="D16" s="743">
        <f t="shared" si="7"/>
        <v>0</v>
      </c>
      <c r="E16" s="743">
        <f t="shared" si="7"/>
        <v>0</v>
      </c>
      <c r="F16" s="743">
        <f t="shared" si="7"/>
        <v>0</v>
      </c>
      <c r="G16" s="743">
        <f t="shared" si="7"/>
        <v>0</v>
      </c>
      <c r="H16" s="743">
        <f t="shared" si="7"/>
        <v>80000</v>
      </c>
      <c r="I16" s="743">
        <f t="shared" si="7"/>
        <v>0</v>
      </c>
      <c r="J16" s="743">
        <f t="shared" si="7"/>
        <v>0</v>
      </c>
      <c r="K16" s="743">
        <f t="shared" si="7"/>
        <v>0</v>
      </c>
      <c r="L16" s="743">
        <f t="shared" si="7"/>
        <v>0</v>
      </c>
      <c r="M16" s="743">
        <f t="shared" si="7"/>
        <v>0</v>
      </c>
      <c r="N16" s="743">
        <f t="shared" si="7"/>
        <v>0</v>
      </c>
      <c r="O16" s="743">
        <f t="shared" si="4"/>
        <v>80000</v>
      </c>
      <c r="EF16" s="296" t="e">
        <f t="shared" si="1"/>
        <v>#DIV/0!</v>
      </c>
      <c r="EG16" s="296" t="e">
        <f t="shared" si="2"/>
        <v>#DIV/0!</v>
      </c>
    </row>
    <row r="17" spans="1:137" s="295" customFormat="1" hidden="1">
      <c r="A17" s="792" t="s">
        <v>196</v>
      </c>
      <c r="B17" s="742" t="s">
        <v>184</v>
      </c>
      <c r="C17" s="743"/>
      <c r="D17" s="743"/>
      <c r="E17" s="743"/>
      <c r="F17" s="743"/>
      <c r="G17" s="743"/>
      <c r="H17" s="743"/>
      <c r="I17" s="743"/>
      <c r="J17" s="743"/>
      <c r="K17" s="743"/>
      <c r="L17" s="743"/>
      <c r="M17" s="743"/>
      <c r="N17" s="743"/>
      <c r="O17" s="743">
        <f t="shared" si="4"/>
        <v>0</v>
      </c>
      <c r="EF17" s="295" t="e">
        <f t="shared" si="1"/>
        <v>#DIV/0!</v>
      </c>
      <c r="EG17" s="295" t="e">
        <f t="shared" si="2"/>
        <v>#DIV/0!</v>
      </c>
    </row>
    <row r="18" spans="1:137" s="295" customFormat="1" ht="16.5" customHeight="1">
      <c r="A18" s="895" t="s">
        <v>197</v>
      </c>
      <c r="B18" s="892" t="s">
        <v>198</v>
      </c>
      <c r="C18" s="893"/>
      <c r="D18" s="893"/>
      <c r="E18" s="893"/>
      <c r="F18" s="893"/>
      <c r="G18" s="893"/>
      <c r="H18" s="893">
        <v>80000</v>
      </c>
      <c r="I18" s="894"/>
      <c r="J18" s="894"/>
      <c r="K18" s="894"/>
      <c r="L18" s="894"/>
      <c r="M18" s="894"/>
      <c r="N18" s="894"/>
      <c r="O18" s="894">
        <f t="shared" si="4"/>
        <v>80000</v>
      </c>
      <c r="EF18" s="295" t="e">
        <f t="shared" si="1"/>
        <v>#DIV/0!</v>
      </c>
      <c r="EG18" s="295" t="e">
        <f t="shared" si="2"/>
        <v>#DIV/0!</v>
      </c>
    </row>
    <row r="19" spans="1:137" s="295" customFormat="1">
      <c r="A19" s="789" t="s">
        <v>199</v>
      </c>
      <c r="B19" s="283" t="s">
        <v>200</v>
      </c>
      <c r="C19" s="741">
        <f>+C20+C24+C26+C28+C29+C33+C36</f>
        <v>1066393241</v>
      </c>
      <c r="D19" s="741">
        <f t="shared" ref="D19:N19" si="8">+D20+D24+D26+D28+D29+D33+D36</f>
        <v>1109657400</v>
      </c>
      <c r="E19" s="741">
        <f t="shared" si="8"/>
        <v>1295060086</v>
      </c>
      <c r="F19" s="741">
        <f t="shared" si="8"/>
        <v>1058768014</v>
      </c>
      <c r="G19" s="741">
        <f t="shared" si="8"/>
        <v>1164782998</v>
      </c>
      <c r="H19" s="741">
        <f t="shared" si="8"/>
        <v>1172074897</v>
      </c>
      <c r="I19" s="741">
        <f t="shared" si="8"/>
        <v>1434418165</v>
      </c>
      <c r="J19" s="741">
        <f t="shared" si="8"/>
        <v>0</v>
      </c>
      <c r="K19" s="741">
        <f t="shared" si="8"/>
        <v>0</v>
      </c>
      <c r="L19" s="741">
        <f t="shared" si="8"/>
        <v>0</v>
      </c>
      <c r="M19" s="741">
        <f t="shared" si="8"/>
        <v>0</v>
      </c>
      <c r="N19" s="741">
        <f t="shared" si="8"/>
        <v>0</v>
      </c>
      <c r="O19" s="741">
        <f t="shared" si="4"/>
        <v>8301154801</v>
      </c>
      <c r="P19" s="268"/>
      <c r="EF19" s="295" t="e">
        <f t="shared" si="1"/>
        <v>#DIV/0!</v>
      </c>
      <c r="EG19" s="295" t="e">
        <f t="shared" si="2"/>
        <v>#DIV/0!</v>
      </c>
    </row>
    <row r="20" spans="1:137" s="295" customFormat="1">
      <c r="A20" s="300" t="s">
        <v>201</v>
      </c>
      <c r="B20" s="297" t="s">
        <v>202</v>
      </c>
      <c r="C20" s="292">
        <f>+C21</f>
        <v>917552101</v>
      </c>
      <c r="D20" s="292">
        <f t="shared" ref="D20:N20" si="9">+D21</f>
        <v>943758579</v>
      </c>
      <c r="E20" s="292">
        <f t="shared" si="9"/>
        <v>1065356940</v>
      </c>
      <c r="F20" s="292">
        <f t="shared" si="9"/>
        <v>897507767</v>
      </c>
      <c r="G20" s="292">
        <f t="shared" si="9"/>
        <v>1005106422</v>
      </c>
      <c r="H20" s="292">
        <f t="shared" si="9"/>
        <v>949409434</v>
      </c>
      <c r="I20" s="292">
        <f t="shared" si="9"/>
        <v>1194286177</v>
      </c>
      <c r="J20" s="292">
        <f t="shared" si="9"/>
        <v>0</v>
      </c>
      <c r="K20" s="292">
        <f t="shared" si="9"/>
        <v>0</v>
      </c>
      <c r="L20" s="292">
        <f t="shared" si="9"/>
        <v>0</v>
      </c>
      <c r="M20" s="292">
        <f t="shared" si="9"/>
        <v>0</v>
      </c>
      <c r="N20" s="292">
        <f t="shared" si="9"/>
        <v>0</v>
      </c>
      <c r="O20" s="292">
        <f t="shared" si="4"/>
        <v>6972977420</v>
      </c>
      <c r="EF20" s="295" t="e">
        <f t="shared" si="1"/>
        <v>#DIV/0!</v>
      </c>
      <c r="EG20" s="295" t="e">
        <f t="shared" si="2"/>
        <v>#DIV/0!</v>
      </c>
    </row>
    <row r="21" spans="1:137" s="295" customFormat="1" ht="15" customHeight="1">
      <c r="A21" s="791" t="s">
        <v>203</v>
      </c>
      <c r="B21" s="291" t="s">
        <v>204</v>
      </c>
      <c r="C21" s="292">
        <f>SUM(C22:C23)</f>
        <v>917552101</v>
      </c>
      <c r="D21" s="292">
        <f t="shared" ref="D21:N21" si="10">SUM(D22:D23)</f>
        <v>943758579</v>
      </c>
      <c r="E21" s="292">
        <f t="shared" si="10"/>
        <v>1065356940</v>
      </c>
      <c r="F21" s="292">
        <f t="shared" si="10"/>
        <v>897507767</v>
      </c>
      <c r="G21" s="292">
        <f t="shared" si="10"/>
        <v>1005106422</v>
      </c>
      <c r="H21" s="292">
        <f t="shared" si="10"/>
        <v>949409434</v>
      </c>
      <c r="I21" s="292">
        <f t="shared" si="10"/>
        <v>1194286177</v>
      </c>
      <c r="J21" s="292">
        <f t="shared" si="10"/>
        <v>0</v>
      </c>
      <c r="K21" s="292">
        <f t="shared" si="10"/>
        <v>0</v>
      </c>
      <c r="L21" s="292">
        <f t="shared" si="10"/>
        <v>0</v>
      </c>
      <c r="M21" s="292">
        <f t="shared" si="10"/>
        <v>0</v>
      </c>
      <c r="N21" s="292">
        <f t="shared" si="10"/>
        <v>0</v>
      </c>
      <c r="O21" s="292">
        <f t="shared" si="4"/>
        <v>6972977420</v>
      </c>
      <c r="P21" s="268"/>
      <c r="EF21" s="295" t="e">
        <f t="shared" si="1"/>
        <v>#DIV/0!</v>
      </c>
      <c r="EG21" s="295" t="e">
        <f t="shared" si="2"/>
        <v>#DIV/0!</v>
      </c>
    </row>
    <row r="22" spans="1:137" s="269" customFormat="1" ht="15" customHeight="1">
      <c r="A22" s="793"/>
      <c r="B22" s="298" t="s">
        <v>205</v>
      </c>
      <c r="C22" s="299">
        <f>+' AI_Receita DGA jul'!C7</f>
        <v>540911846</v>
      </c>
      <c r="D22" s="299">
        <f>+' AI_Receita DGA jul'!D7</f>
        <v>532600284</v>
      </c>
      <c r="E22" s="299">
        <f>+' AI_Receita DGA jul'!E7</f>
        <v>667468732</v>
      </c>
      <c r="F22" s="299">
        <f>+' AI_Receita DGA jul'!F7</f>
        <v>577001536</v>
      </c>
      <c r="G22" s="299">
        <f>+' AI_Receita DGA jul'!G7</f>
        <v>636987689</v>
      </c>
      <c r="H22" s="299">
        <f>+' AI_Receita DGA jul'!H7</f>
        <v>638063153</v>
      </c>
      <c r="I22" s="299">
        <f>+' AI_Receita DGA jul'!I7</f>
        <v>832209897</v>
      </c>
      <c r="J22" s="299">
        <f>+' AI_Receita DGA jul'!J7</f>
        <v>0</v>
      </c>
      <c r="K22" s="299">
        <f>+' AI_Receita DGA jul'!K7</f>
        <v>0</v>
      </c>
      <c r="L22" s="299">
        <f>+' AI_Receita DGA jul'!L7</f>
        <v>0</v>
      </c>
      <c r="M22" s="299">
        <f>+' AI_Receita DGA jul'!M7</f>
        <v>0</v>
      </c>
      <c r="N22" s="299">
        <f>+' AI_Receita DGA jul'!N7</f>
        <v>0</v>
      </c>
      <c r="O22" s="299">
        <f t="shared" si="4"/>
        <v>4425243137</v>
      </c>
      <c r="EF22" s="269" t="e">
        <f t="shared" si="1"/>
        <v>#DIV/0!</v>
      </c>
      <c r="EG22" s="269" t="e">
        <f t="shared" si="2"/>
        <v>#DIV/0!</v>
      </c>
    </row>
    <row r="23" spans="1:137" s="269" customFormat="1" ht="15" customHeight="1">
      <c r="A23" s="794" t="s">
        <v>203</v>
      </c>
      <c r="B23" s="286" t="s">
        <v>206</v>
      </c>
      <c r="C23" s="288">
        <v>376640255</v>
      </c>
      <c r="D23" s="288">
        <v>411158295</v>
      </c>
      <c r="E23" s="288">
        <v>397888208</v>
      </c>
      <c r="F23" s="288">
        <v>320506231</v>
      </c>
      <c r="G23" s="288">
        <v>368118733</v>
      </c>
      <c r="H23" s="288">
        <v>311346281</v>
      </c>
      <c r="I23" s="289">
        <v>362076280</v>
      </c>
      <c r="J23" s="289"/>
      <c r="K23" s="289"/>
      <c r="L23" s="289"/>
      <c r="M23" s="289"/>
      <c r="N23" s="289"/>
      <c r="O23" s="289">
        <f t="shared" si="4"/>
        <v>2547734283</v>
      </c>
      <c r="EF23" s="269" t="e">
        <f t="shared" si="1"/>
        <v>#DIV/0!</v>
      </c>
      <c r="EG23" s="269" t="e">
        <f t="shared" si="2"/>
        <v>#DIV/0!</v>
      </c>
    </row>
    <row r="24" spans="1:137" s="269" customFormat="1">
      <c r="A24" s="300" t="s">
        <v>207</v>
      </c>
      <c r="B24" s="301" t="s">
        <v>208</v>
      </c>
      <c r="C24" s="302">
        <f t="shared" ref="C24:N24" si="11">+C25</f>
        <v>95038</v>
      </c>
      <c r="D24" s="302">
        <f t="shared" si="11"/>
        <v>6360</v>
      </c>
      <c r="E24" s="303">
        <f t="shared" si="11"/>
        <v>91311</v>
      </c>
      <c r="F24" s="302">
        <f t="shared" si="11"/>
        <v>24004</v>
      </c>
      <c r="G24" s="302">
        <f t="shared" si="11"/>
        <v>10366</v>
      </c>
      <c r="H24" s="303">
        <f t="shared" si="11"/>
        <v>36797</v>
      </c>
      <c r="I24" s="302">
        <f t="shared" si="11"/>
        <v>71310</v>
      </c>
      <c r="J24" s="302">
        <f t="shared" si="11"/>
        <v>0</v>
      </c>
      <c r="K24" s="303">
        <f t="shared" si="11"/>
        <v>0</v>
      </c>
      <c r="L24" s="302">
        <f t="shared" si="11"/>
        <v>0</v>
      </c>
      <c r="M24" s="302">
        <f t="shared" si="11"/>
        <v>0</v>
      </c>
      <c r="N24" s="303">
        <f t="shared" si="11"/>
        <v>0</v>
      </c>
      <c r="O24" s="302">
        <f t="shared" si="4"/>
        <v>335186</v>
      </c>
    </row>
    <row r="25" spans="1:137" s="269" customFormat="1" ht="15" customHeight="1">
      <c r="A25" s="794" t="s">
        <v>209</v>
      </c>
      <c r="B25" s="304" t="s">
        <v>210</v>
      </c>
      <c r="C25" s="305">
        <v>95038</v>
      </c>
      <c r="D25" s="305">
        <v>6360</v>
      </c>
      <c r="E25" s="305">
        <v>91311</v>
      </c>
      <c r="F25" s="305">
        <v>24004</v>
      </c>
      <c r="G25" s="305">
        <v>10366</v>
      </c>
      <c r="H25" s="305">
        <v>36797</v>
      </c>
      <c r="I25" s="305">
        <v>71310</v>
      </c>
      <c r="J25" s="305"/>
      <c r="K25" s="305"/>
      <c r="L25" s="305"/>
      <c r="M25" s="305"/>
      <c r="N25" s="305"/>
      <c r="O25" s="305">
        <f t="shared" si="4"/>
        <v>335186</v>
      </c>
    </row>
    <row r="26" spans="1:137" s="269" customFormat="1" ht="15" customHeight="1">
      <c r="A26" s="300" t="s">
        <v>211</v>
      </c>
      <c r="B26" s="301" t="s">
        <v>212</v>
      </c>
      <c r="C26" s="302">
        <f>+C27</f>
        <v>106039361</v>
      </c>
      <c r="D26" s="302">
        <f t="shared" ref="D26:N26" si="12">+D27</f>
        <v>115955464</v>
      </c>
      <c r="E26" s="303">
        <f>+E27</f>
        <v>165664497</v>
      </c>
      <c r="F26" s="302">
        <f t="shared" si="12"/>
        <v>113362639</v>
      </c>
      <c r="G26" s="302">
        <f t="shared" si="12"/>
        <v>107034597</v>
      </c>
      <c r="H26" s="303">
        <f t="shared" si="12"/>
        <v>168276296</v>
      </c>
      <c r="I26" s="302">
        <f t="shared" si="12"/>
        <v>180392153</v>
      </c>
      <c r="J26" s="302">
        <f t="shared" si="12"/>
        <v>0</v>
      </c>
      <c r="K26" s="303">
        <f t="shared" si="12"/>
        <v>0</v>
      </c>
      <c r="L26" s="302">
        <f t="shared" si="12"/>
        <v>0</v>
      </c>
      <c r="M26" s="302">
        <f t="shared" si="12"/>
        <v>0</v>
      </c>
      <c r="N26" s="303">
        <f t="shared" si="12"/>
        <v>0</v>
      </c>
      <c r="O26" s="302">
        <f t="shared" si="4"/>
        <v>956725007</v>
      </c>
      <c r="P26" s="271"/>
    </row>
    <row r="27" spans="1:137" s="269" customFormat="1" ht="15" customHeight="1">
      <c r="A27" s="793" t="s">
        <v>213</v>
      </c>
      <c r="B27" s="298" t="s">
        <v>214</v>
      </c>
      <c r="C27" s="306">
        <f>+' AI_Receita DGA jul'!C8</f>
        <v>106039361</v>
      </c>
      <c r="D27" s="306">
        <f>+' AI_Receita DGA jul'!D8</f>
        <v>115955464</v>
      </c>
      <c r="E27" s="306">
        <f>+' AI_Receita DGA jul'!E8</f>
        <v>165664497</v>
      </c>
      <c r="F27" s="306">
        <f>+' AI_Receita DGA jul'!F8</f>
        <v>113362639</v>
      </c>
      <c r="G27" s="306">
        <f>+' AI_Receita DGA jul'!G8</f>
        <v>107034597</v>
      </c>
      <c r="H27" s="306">
        <f>+' AI_Receita DGA jul'!H8</f>
        <v>168276296</v>
      </c>
      <c r="I27" s="306">
        <f>+' AI_Receita DGA jul'!I8</f>
        <v>180392153</v>
      </c>
      <c r="J27" s="306">
        <f>+' AI_Receita DGA jul'!J8</f>
        <v>0</v>
      </c>
      <c r="K27" s="306">
        <f>+' AI_Receita DGA jul'!K8</f>
        <v>0</v>
      </c>
      <c r="L27" s="306">
        <f>+' AI_Receita DGA jul'!L8</f>
        <v>0</v>
      </c>
      <c r="M27" s="306">
        <f>+' AI_Receita DGA jul'!M8</f>
        <v>0</v>
      </c>
      <c r="N27" s="306">
        <f>+' AI_Receita DGA jul'!N8</f>
        <v>0</v>
      </c>
      <c r="O27" s="306">
        <f t="shared" si="4"/>
        <v>956725007</v>
      </c>
    </row>
    <row r="28" spans="1:137" s="295" customFormat="1" ht="15" hidden="1" customHeight="1">
      <c r="A28" s="795" t="s">
        <v>215</v>
      </c>
      <c r="B28" s="293" t="s">
        <v>216</v>
      </c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>
        <f t="shared" si="4"/>
        <v>0</v>
      </c>
    </row>
    <row r="29" spans="1:137" s="269" customFormat="1" ht="15" customHeight="1">
      <c r="A29" s="300" t="s">
        <v>217</v>
      </c>
      <c r="B29" s="297" t="s">
        <v>51</v>
      </c>
      <c r="C29" s="308">
        <f t="shared" ref="C29:N29" si="13">SUM(C30:C32)</f>
        <v>2280361</v>
      </c>
      <c r="D29" s="308">
        <f t="shared" si="13"/>
        <v>3674583</v>
      </c>
      <c r="E29" s="308">
        <f t="shared" si="13"/>
        <v>3418752</v>
      </c>
      <c r="F29" s="308">
        <f t="shared" si="13"/>
        <v>3867129</v>
      </c>
      <c r="G29" s="308">
        <f t="shared" si="13"/>
        <v>5095870</v>
      </c>
      <c r="H29" s="308">
        <f t="shared" si="13"/>
        <v>4760410</v>
      </c>
      <c r="I29" s="308">
        <f t="shared" si="13"/>
        <v>6208471</v>
      </c>
      <c r="J29" s="308">
        <f t="shared" si="13"/>
        <v>0</v>
      </c>
      <c r="K29" s="308">
        <f t="shared" si="13"/>
        <v>0</v>
      </c>
      <c r="L29" s="308">
        <f t="shared" si="13"/>
        <v>0</v>
      </c>
      <c r="M29" s="308">
        <f t="shared" si="13"/>
        <v>0</v>
      </c>
      <c r="N29" s="308">
        <f t="shared" si="13"/>
        <v>0</v>
      </c>
      <c r="O29" s="308">
        <f t="shared" si="4"/>
        <v>29305576</v>
      </c>
    </row>
    <row r="30" spans="1:137" s="295" customFormat="1" ht="15" hidden="1" customHeight="1">
      <c r="A30" s="795" t="s">
        <v>218</v>
      </c>
      <c r="B30" s="293" t="s">
        <v>52</v>
      </c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>
        <f t="shared" si="4"/>
        <v>0</v>
      </c>
    </row>
    <row r="31" spans="1:137" s="269" customFormat="1" ht="15" customHeight="1">
      <c r="A31" s="794" t="s">
        <v>219</v>
      </c>
      <c r="B31" s="286" t="s">
        <v>220</v>
      </c>
      <c r="C31" s="309">
        <v>2280361</v>
      </c>
      <c r="D31" s="309">
        <v>3674583</v>
      </c>
      <c r="E31" s="309">
        <v>3418752</v>
      </c>
      <c r="F31" s="309">
        <v>3867129</v>
      </c>
      <c r="G31" s="309">
        <v>5095870</v>
      </c>
      <c r="H31" s="309">
        <v>4760410</v>
      </c>
      <c r="I31" s="309">
        <v>6208471</v>
      </c>
      <c r="J31" s="309"/>
      <c r="K31" s="309"/>
      <c r="L31" s="309"/>
      <c r="M31" s="309"/>
      <c r="N31" s="309"/>
      <c r="O31" s="309">
        <f t="shared" si="4"/>
        <v>29305576</v>
      </c>
    </row>
    <row r="32" spans="1:137" s="295" customFormat="1" ht="15" hidden="1" customHeight="1">
      <c r="A32" s="795" t="s">
        <v>221</v>
      </c>
      <c r="B32" s="293" t="s">
        <v>222</v>
      </c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>
        <f t="shared" si="4"/>
        <v>0</v>
      </c>
    </row>
    <row r="33" spans="1:20" s="269" customFormat="1" ht="15" customHeight="1">
      <c r="A33" s="300" t="s">
        <v>223</v>
      </c>
      <c r="B33" s="297" t="s">
        <v>59</v>
      </c>
      <c r="C33" s="308">
        <f t="shared" ref="C33:N33" si="14">SUM(C34:C35)</f>
        <v>40426380</v>
      </c>
      <c r="D33" s="308">
        <f t="shared" si="14"/>
        <v>46262414</v>
      </c>
      <c r="E33" s="308">
        <f t="shared" si="14"/>
        <v>60528586</v>
      </c>
      <c r="F33" s="308">
        <f t="shared" si="14"/>
        <v>44006475</v>
      </c>
      <c r="G33" s="308">
        <f t="shared" si="14"/>
        <v>47535743</v>
      </c>
      <c r="H33" s="308">
        <f t="shared" si="14"/>
        <v>49591960</v>
      </c>
      <c r="I33" s="308">
        <f t="shared" si="14"/>
        <v>53460054</v>
      </c>
      <c r="J33" s="308">
        <f t="shared" si="14"/>
        <v>0</v>
      </c>
      <c r="K33" s="308">
        <f t="shared" si="14"/>
        <v>0</v>
      </c>
      <c r="L33" s="308">
        <f t="shared" si="14"/>
        <v>0</v>
      </c>
      <c r="M33" s="308">
        <f t="shared" si="14"/>
        <v>0</v>
      </c>
      <c r="N33" s="308">
        <f t="shared" si="14"/>
        <v>0</v>
      </c>
      <c r="O33" s="308">
        <f t="shared" si="4"/>
        <v>341811612</v>
      </c>
    </row>
    <row r="34" spans="1:20" s="269" customFormat="1" ht="15" customHeight="1">
      <c r="A34" s="300" t="s">
        <v>224</v>
      </c>
      <c r="B34" s="297" t="s">
        <v>225</v>
      </c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>
        <f t="shared" si="4"/>
        <v>0</v>
      </c>
    </row>
    <row r="35" spans="1:20" s="269" customFormat="1" ht="14.25" customHeight="1">
      <c r="A35" s="793" t="s">
        <v>226</v>
      </c>
      <c r="B35" s="298" t="s">
        <v>55</v>
      </c>
      <c r="C35" s="306">
        <f>+' AI_Receita DGA jul'!C9</f>
        <v>40426380</v>
      </c>
      <c r="D35" s="306">
        <f>+' AI_Receita DGA jul'!D9</f>
        <v>46262414</v>
      </c>
      <c r="E35" s="306">
        <f>+' AI_Receita DGA jul'!E9</f>
        <v>60528586</v>
      </c>
      <c r="F35" s="306">
        <f>+' AI_Receita DGA jul'!F9</f>
        <v>44006475</v>
      </c>
      <c r="G35" s="306">
        <f>+' AI_Receita DGA jul'!G9</f>
        <v>47535743</v>
      </c>
      <c r="H35" s="306">
        <f>+' AI_Receita DGA jul'!H9</f>
        <v>49591960</v>
      </c>
      <c r="I35" s="306">
        <f>+' AI_Receita DGA jul'!I9</f>
        <v>53460054</v>
      </c>
      <c r="J35" s="306">
        <f>+' AI_Receita DGA jul'!J9</f>
        <v>0</v>
      </c>
      <c r="K35" s="306">
        <f>+' AI_Receita DGA jul'!K9</f>
        <v>0</v>
      </c>
      <c r="L35" s="306">
        <f>+' AI_Receita DGA jul'!L9</f>
        <v>0</v>
      </c>
      <c r="M35" s="306">
        <f>+' AI_Receita DGA jul'!M9</f>
        <v>0</v>
      </c>
      <c r="N35" s="306">
        <f>+' AI_Receita DGA jul'!N9</f>
        <v>0</v>
      </c>
      <c r="O35" s="306">
        <f t="shared" si="4"/>
        <v>341811612</v>
      </c>
    </row>
    <row r="36" spans="1:20" s="295" customFormat="1" ht="15" hidden="1" customHeight="1">
      <c r="A36" s="795" t="s">
        <v>227</v>
      </c>
      <c r="B36" s="293" t="s">
        <v>228</v>
      </c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>
        <f t="shared" si="4"/>
        <v>0</v>
      </c>
    </row>
    <row r="37" spans="1:20" s="269" customFormat="1" ht="15" customHeight="1">
      <c r="A37" s="791" t="s">
        <v>229</v>
      </c>
      <c r="B37" s="291" t="s">
        <v>230</v>
      </c>
      <c r="C37" s="292">
        <f>SUM(C38:C40)</f>
        <v>539371640</v>
      </c>
      <c r="D37" s="292">
        <f t="shared" ref="D37:N37" si="15">SUM(D38:D40)</f>
        <v>515308015</v>
      </c>
      <c r="E37" s="292">
        <f t="shared" si="15"/>
        <v>619938331</v>
      </c>
      <c r="F37" s="292">
        <f t="shared" si="15"/>
        <v>525111083</v>
      </c>
      <c r="G37" s="292">
        <f t="shared" si="15"/>
        <v>560710938</v>
      </c>
      <c r="H37" s="292">
        <f t="shared" si="15"/>
        <v>613657733</v>
      </c>
      <c r="I37" s="292">
        <f t="shared" si="15"/>
        <v>725892259</v>
      </c>
      <c r="J37" s="292">
        <f t="shared" si="15"/>
        <v>0</v>
      </c>
      <c r="K37" s="292">
        <f t="shared" si="15"/>
        <v>0</v>
      </c>
      <c r="L37" s="292">
        <f t="shared" si="15"/>
        <v>0</v>
      </c>
      <c r="M37" s="292">
        <f t="shared" si="15"/>
        <v>0</v>
      </c>
      <c r="N37" s="292">
        <f t="shared" si="15"/>
        <v>0</v>
      </c>
      <c r="O37" s="292">
        <f t="shared" si="4"/>
        <v>4099989999</v>
      </c>
    </row>
    <row r="38" spans="1:20" s="269" customFormat="1" ht="15" customHeight="1">
      <c r="A38" s="793" t="s">
        <v>231</v>
      </c>
      <c r="B38" s="298" t="s">
        <v>57</v>
      </c>
      <c r="C38" s="306">
        <f>+' AI_Receita DGA jul'!C11</f>
        <v>516646078</v>
      </c>
      <c r="D38" s="306">
        <f>+' AI_Receita DGA jul'!D11</f>
        <v>492866219</v>
      </c>
      <c r="E38" s="306">
        <f>+' AI_Receita DGA jul'!E11</f>
        <v>593106160</v>
      </c>
      <c r="F38" s="306">
        <f>+' AI_Receita DGA jul'!F11</f>
        <v>501437434</v>
      </c>
      <c r="G38" s="306">
        <f>+' AI_Receita DGA jul'!G11</f>
        <v>533514694</v>
      </c>
      <c r="H38" s="306">
        <f>+' AI_Receita DGA jul'!H11</f>
        <v>588114281</v>
      </c>
      <c r="I38" s="306">
        <f>+' AI_Receita DGA jul'!I11</f>
        <v>695063227</v>
      </c>
      <c r="J38" s="306">
        <f>+' AI_Receita DGA jul'!J11</f>
        <v>0</v>
      </c>
      <c r="K38" s="306">
        <f>+' AI_Receita DGA jul'!K11</f>
        <v>0</v>
      </c>
      <c r="L38" s="306">
        <f>+' AI_Receita DGA jul'!L11</f>
        <v>0</v>
      </c>
      <c r="M38" s="306">
        <f>+' AI_Receita DGA jul'!M11</f>
        <v>0</v>
      </c>
      <c r="N38" s="306">
        <f>+' AI_Receita DGA jul'!N11</f>
        <v>0</v>
      </c>
      <c r="O38" s="306">
        <f t="shared" si="4"/>
        <v>3920748093</v>
      </c>
      <c r="P38" s="285"/>
      <c r="Q38" s="285"/>
      <c r="R38" s="285"/>
      <c r="S38" s="285"/>
      <c r="T38" s="285"/>
    </row>
    <row r="39" spans="1:20" s="269" customFormat="1" ht="15" customHeight="1">
      <c r="A39" s="793" t="s">
        <v>232</v>
      </c>
      <c r="B39" s="298" t="s">
        <v>233</v>
      </c>
      <c r="C39" s="306">
        <f>+' AI_Receita DGA jul'!C12</f>
        <v>22725562</v>
      </c>
      <c r="D39" s="306">
        <f>+' AI_Receita DGA jul'!D12</f>
        <v>22441796</v>
      </c>
      <c r="E39" s="306">
        <f>+' AI_Receita DGA jul'!E12</f>
        <v>26832171</v>
      </c>
      <c r="F39" s="306">
        <f>+' AI_Receita DGA jul'!F12</f>
        <v>23673649</v>
      </c>
      <c r="G39" s="306">
        <f>+' AI_Receita DGA jul'!G12</f>
        <v>27196244</v>
      </c>
      <c r="H39" s="306">
        <f>+' AI_Receita DGA jul'!H12</f>
        <v>25543452</v>
      </c>
      <c r="I39" s="306">
        <f>+' AI_Receita DGA jul'!I12</f>
        <v>30829032</v>
      </c>
      <c r="J39" s="306">
        <f>+' AI_Receita DGA jul'!J12</f>
        <v>0</v>
      </c>
      <c r="K39" s="306">
        <f>+' AI_Receita DGA jul'!K12</f>
        <v>0</v>
      </c>
      <c r="L39" s="306">
        <f>+' AI_Receita DGA jul'!L12</f>
        <v>0</v>
      </c>
      <c r="M39" s="306">
        <f>+' AI_Receita DGA jul'!M12</f>
        <v>0</v>
      </c>
      <c r="N39" s="306">
        <f>+' AI_Receita DGA jul'!N12</f>
        <v>0</v>
      </c>
      <c r="O39" s="306">
        <f t="shared" si="4"/>
        <v>179241906</v>
      </c>
      <c r="P39" s="1066"/>
      <c r="Q39" s="1066"/>
      <c r="R39" s="1066"/>
      <c r="S39" s="285"/>
      <c r="T39" s="285"/>
    </row>
    <row r="40" spans="1:20" s="295" customFormat="1" ht="15" hidden="1" customHeight="1">
      <c r="A40" s="795" t="s">
        <v>234</v>
      </c>
      <c r="B40" s="293" t="s">
        <v>235</v>
      </c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>
        <f t="shared" si="4"/>
        <v>0</v>
      </c>
      <c r="P40" s="310"/>
      <c r="Q40" s="310"/>
      <c r="R40" s="310"/>
      <c r="S40" s="310"/>
      <c r="T40" s="311"/>
    </row>
    <row r="41" spans="1:20" s="269" customFormat="1" ht="15" customHeight="1">
      <c r="A41" s="791" t="s">
        <v>236</v>
      </c>
      <c r="B41" s="291" t="s">
        <v>59</v>
      </c>
      <c r="C41" s="312">
        <f>SUM(C42:C46)</f>
        <v>65141897</v>
      </c>
      <c r="D41" s="312">
        <f t="shared" ref="D41:N41" si="16">SUM(D42:D46)</f>
        <v>41960078</v>
      </c>
      <c r="E41" s="312">
        <f t="shared" si="16"/>
        <v>52272585</v>
      </c>
      <c r="F41" s="312">
        <f t="shared" si="16"/>
        <v>62070693</v>
      </c>
      <c r="G41" s="312">
        <f t="shared" si="16"/>
        <v>51633095</v>
      </c>
      <c r="H41" s="312">
        <f t="shared" si="16"/>
        <v>41211626</v>
      </c>
      <c r="I41" s="312">
        <f t="shared" si="16"/>
        <v>65510715</v>
      </c>
      <c r="J41" s="312">
        <f t="shared" si="16"/>
        <v>0</v>
      </c>
      <c r="K41" s="312">
        <f t="shared" si="16"/>
        <v>0</v>
      </c>
      <c r="L41" s="312">
        <f t="shared" si="16"/>
        <v>0</v>
      </c>
      <c r="M41" s="312">
        <f t="shared" si="16"/>
        <v>0</v>
      </c>
      <c r="N41" s="312">
        <f t="shared" si="16"/>
        <v>0</v>
      </c>
      <c r="O41" s="312">
        <f t="shared" si="4"/>
        <v>379800689</v>
      </c>
      <c r="P41" s="313"/>
      <c r="Q41" s="313"/>
      <c r="R41" s="313"/>
      <c r="S41" s="285"/>
      <c r="T41" s="285"/>
    </row>
    <row r="42" spans="1:20" s="269" customFormat="1" ht="15" customHeight="1">
      <c r="A42" s="794" t="s">
        <v>237</v>
      </c>
      <c r="B42" s="286" t="s">
        <v>60</v>
      </c>
      <c r="C42" s="309">
        <v>65141897</v>
      </c>
      <c r="D42" s="309">
        <v>41960078</v>
      </c>
      <c r="E42" s="309">
        <v>46953160</v>
      </c>
      <c r="F42" s="309">
        <v>60742992</v>
      </c>
      <c r="G42" s="309">
        <v>47022599</v>
      </c>
      <c r="H42" s="309">
        <v>41211626</v>
      </c>
      <c r="I42" s="309">
        <v>62855313</v>
      </c>
      <c r="J42" s="309"/>
      <c r="K42" s="309"/>
      <c r="L42" s="309"/>
      <c r="M42" s="309"/>
      <c r="N42" s="309"/>
      <c r="O42" s="309">
        <f t="shared" si="4"/>
        <v>365887665</v>
      </c>
      <c r="P42" s="290"/>
      <c r="Q42" s="290"/>
      <c r="R42" s="290"/>
      <c r="S42" s="285"/>
      <c r="T42" s="285"/>
    </row>
    <row r="43" spans="1:20" s="295" customFormat="1" ht="15" hidden="1" customHeight="1">
      <c r="A43" s="796" t="s">
        <v>238</v>
      </c>
      <c r="B43" s="314" t="s">
        <v>239</v>
      </c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>
        <f t="shared" si="4"/>
        <v>0</v>
      </c>
      <c r="P43" s="294"/>
      <c r="Q43" s="294"/>
      <c r="R43" s="294"/>
      <c r="S43" s="311"/>
      <c r="T43" s="311"/>
    </row>
    <row r="44" spans="1:20" s="269" customFormat="1" ht="15" customHeight="1">
      <c r="A44" s="794" t="s">
        <v>240</v>
      </c>
      <c r="B44" s="286" t="s">
        <v>241</v>
      </c>
      <c r="C44" s="309"/>
      <c r="D44" s="309"/>
      <c r="E44" s="309">
        <v>5310804</v>
      </c>
      <c r="F44" s="309">
        <v>1327701</v>
      </c>
      <c r="G44" s="309">
        <v>4610496</v>
      </c>
      <c r="H44" s="309"/>
      <c r="I44" s="309">
        <v>2655402</v>
      </c>
      <c r="J44" s="309"/>
      <c r="K44" s="309"/>
      <c r="L44" s="309"/>
      <c r="M44" s="309"/>
      <c r="N44" s="309"/>
      <c r="O44" s="309">
        <f t="shared" si="4"/>
        <v>13904403</v>
      </c>
      <c r="P44" s="290"/>
      <c r="Q44" s="290"/>
      <c r="R44" s="290"/>
      <c r="S44" s="285"/>
      <c r="T44" s="285"/>
    </row>
    <row r="45" spans="1:20" s="295" customFormat="1" ht="15" hidden="1" customHeight="1">
      <c r="A45" s="797" t="s">
        <v>242</v>
      </c>
      <c r="B45" s="316" t="s">
        <v>62</v>
      </c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09">
        <f t="shared" si="4"/>
        <v>0</v>
      </c>
      <c r="P45" s="311"/>
      <c r="Q45" s="294"/>
      <c r="R45" s="294"/>
      <c r="S45" s="311"/>
      <c r="T45" s="311"/>
    </row>
    <row r="46" spans="1:20" s="320" customFormat="1" ht="15" customHeight="1" thickBot="1">
      <c r="A46" s="798" t="s">
        <v>243</v>
      </c>
      <c r="B46" s="319" t="s">
        <v>244</v>
      </c>
      <c r="C46" s="318"/>
      <c r="D46" s="318"/>
      <c r="E46" s="318">
        <v>8621</v>
      </c>
      <c r="F46" s="318"/>
      <c r="G46" s="318"/>
      <c r="H46" s="318"/>
      <c r="I46" s="318"/>
      <c r="J46" s="318"/>
      <c r="K46" s="318"/>
      <c r="L46" s="318"/>
      <c r="M46" s="318"/>
      <c r="N46" s="318"/>
      <c r="O46" s="318">
        <f t="shared" si="4"/>
        <v>8621</v>
      </c>
      <c r="Q46" s="321"/>
      <c r="R46" s="321"/>
    </row>
    <row r="47" spans="1:20" s="328" customFormat="1" ht="20.149999999999999" customHeight="1" thickBot="1">
      <c r="A47" s="322" t="s">
        <v>245</v>
      </c>
      <c r="B47" s="323" t="s">
        <v>246</v>
      </c>
      <c r="C47" s="324">
        <f>+C48</f>
        <v>134956</v>
      </c>
      <c r="D47" s="324">
        <f t="shared" ref="D47:N47" si="17">+D48</f>
        <v>5815412</v>
      </c>
      <c r="E47" s="324">
        <f t="shared" si="17"/>
        <v>6498410</v>
      </c>
      <c r="F47" s="324">
        <f t="shared" si="17"/>
        <v>6581866</v>
      </c>
      <c r="G47" s="324">
        <f t="shared" si="17"/>
        <v>6868794</v>
      </c>
      <c r="H47" s="324">
        <f t="shared" si="17"/>
        <v>3136387</v>
      </c>
      <c r="I47" s="324">
        <f t="shared" si="17"/>
        <v>3186157</v>
      </c>
      <c r="J47" s="324">
        <f t="shared" si="17"/>
        <v>0</v>
      </c>
      <c r="K47" s="324">
        <f t="shared" si="17"/>
        <v>0</v>
      </c>
      <c r="L47" s="324">
        <f t="shared" si="17"/>
        <v>0</v>
      </c>
      <c r="M47" s="324">
        <f t="shared" si="17"/>
        <v>0</v>
      </c>
      <c r="N47" s="324">
        <f t="shared" si="17"/>
        <v>0</v>
      </c>
      <c r="O47" s="325">
        <f t="shared" si="4"/>
        <v>32221982</v>
      </c>
      <c r="P47" s="326"/>
      <c r="Q47" s="326"/>
      <c r="R47" s="326"/>
      <c r="S47" s="327"/>
      <c r="T47" s="327"/>
    </row>
    <row r="48" spans="1:20" s="269" customFormat="1" ht="15" customHeight="1">
      <c r="A48" s="799" t="s">
        <v>247</v>
      </c>
      <c r="B48" s="329" t="s">
        <v>65</v>
      </c>
      <c r="C48" s="330">
        <f>SUM(C49:C53)</f>
        <v>134956</v>
      </c>
      <c r="D48" s="330">
        <f t="shared" ref="D48:N48" si="18">SUM(D49:D53)</f>
        <v>5815412</v>
      </c>
      <c r="E48" s="330">
        <f t="shared" si="18"/>
        <v>6498410</v>
      </c>
      <c r="F48" s="330">
        <f t="shared" si="18"/>
        <v>6581866</v>
      </c>
      <c r="G48" s="330">
        <f t="shared" si="18"/>
        <v>6868794</v>
      </c>
      <c r="H48" s="330">
        <f t="shared" si="18"/>
        <v>3136387</v>
      </c>
      <c r="I48" s="330">
        <f t="shared" si="18"/>
        <v>3186157</v>
      </c>
      <c r="J48" s="330">
        <f t="shared" si="18"/>
        <v>0</v>
      </c>
      <c r="K48" s="330">
        <f t="shared" si="18"/>
        <v>0</v>
      </c>
      <c r="L48" s="330">
        <f t="shared" si="18"/>
        <v>0</v>
      </c>
      <c r="M48" s="330">
        <f t="shared" si="18"/>
        <v>0</v>
      </c>
      <c r="N48" s="330">
        <f t="shared" si="18"/>
        <v>0</v>
      </c>
      <c r="O48" s="330">
        <f t="shared" si="4"/>
        <v>32221982</v>
      </c>
      <c r="P48" s="290"/>
      <c r="Q48" s="290"/>
      <c r="R48" s="290"/>
      <c r="S48" s="285"/>
      <c r="T48" s="285"/>
    </row>
    <row r="49" spans="1:94" s="269" customFormat="1" ht="15" customHeight="1">
      <c r="A49" s="794" t="s">
        <v>248</v>
      </c>
      <c r="B49" s="286" t="s">
        <v>64</v>
      </c>
      <c r="C49" s="309"/>
      <c r="D49" s="309">
        <v>808</v>
      </c>
      <c r="E49" s="309">
        <v>808</v>
      </c>
      <c r="F49" s="309">
        <v>808</v>
      </c>
      <c r="G49" s="309">
        <v>808</v>
      </c>
      <c r="H49" s="309">
        <v>4894</v>
      </c>
      <c r="I49" s="309">
        <v>3698</v>
      </c>
      <c r="J49" s="309"/>
      <c r="K49" s="309"/>
      <c r="L49" s="309"/>
      <c r="M49" s="309"/>
      <c r="N49" s="309"/>
      <c r="O49" s="309">
        <f t="shared" si="4"/>
        <v>11824</v>
      </c>
      <c r="P49" s="285"/>
      <c r="Q49" s="290"/>
      <c r="R49" s="290"/>
      <c r="S49" s="285"/>
      <c r="T49" s="285"/>
    </row>
    <row r="50" spans="1:94" s="269" customFormat="1" ht="15" customHeight="1">
      <c r="A50" s="794" t="s">
        <v>249</v>
      </c>
      <c r="B50" s="286" t="s">
        <v>250</v>
      </c>
      <c r="C50" s="309">
        <v>134956</v>
      </c>
      <c r="D50" s="309">
        <v>5763634</v>
      </c>
      <c r="E50" s="309">
        <v>6446820</v>
      </c>
      <c r="F50" s="309">
        <v>6530276</v>
      </c>
      <c r="G50" s="309">
        <v>6817204</v>
      </c>
      <c r="H50" s="309">
        <v>3081926</v>
      </c>
      <c r="I50" s="309">
        <v>3132892</v>
      </c>
      <c r="J50" s="309"/>
      <c r="K50" s="309"/>
      <c r="L50" s="309"/>
      <c r="M50" s="309"/>
      <c r="N50" s="309"/>
      <c r="O50" s="309">
        <f t="shared" si="4"/>
        <v>31907708</v>
      </c>
      <c r="P50" s="285"/>
      <c r="Q50" s="290"/>
      <c r="R50" s="290"/>
      <c r="S50" s="285"/>
      <c r="T50" s="285"/>
    </row>
    <row r="51" spans="1:94" s="295" customFormat="1" ht="15" hidden="1" customHeight="1">
      <c r="A51" s="796" t="s">
        <v>251</v>
      </c>
      <c r="B51" s="314" t="s">
        <v>252</v>
      </c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>
        <f t="shared" si="4"/>
        <v>0</v>
      </c>
      <c r="P51" s="311"/>
      <c r="Q51" s="294"/>
      <c r="R51" s="294"/>
      <c r="S51" s="311"/>
      <c r="T51" s="311"/>
      <c r="CP51" s="268">
        <f>+'AI_Mapa Cons. REC_2021'!O66</f>
        <v>362799198</v>
      </c>
    </row>
    <row r="52" spans="1:94" s="295" customFormat="1" ht="15" hidden="1" customHeight="1">
      <c r="A52" s="796" t="s">
        <v>253</v>
      </c>
      <c r="B52" s="314" t="s">
        <v>254</v>
      </c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315">
        <f t="shared" si="4"/>
        <v>0</v>
      </c>
      <c r="P52" s="331"/>
      <c r="Q52" s="331"/>
      <c r="R52" s="331"/>
      <c r="S52" s="311"/>
      <c r="T52" s="311"/>
    </row>
    <row r="53" spans="1:94" s="269" customFormat="1" ht="15" customHeight="1" thickBot="1">
      <c r="A53" s="800" t="s">
        <v>255</v>
      </c>
      <c r="B53" s="332" t="s">
        <v>256</v>
      </c>
      <c r="C53" s="318"/>
      <c r="D53" s="318">
        <v>50970</v>
      </c>
      <c r="E53" s="318">
        <v>50782</v>
      </c>
      <c r="F53" s="318">
        <v>50782</v>
      </c>
      <c r="G53" s="318">
        <v>50782</v>
      </c>
      <c r="H53" s="318">
        <v>49567</v>
      </c>
      <c r="I53" s="318">
        <v>49567</v>
      </c>
      <c r="J53" s="318"/>
      <c r="K53" s="318"/>
      <c r="L53" s="318"/>
      <c r="M53" s="318"/>
      <c r="N53" s="318"/>
      <c r="O53" s="318">
        <f t="shared" si="4"/>
        <v>302450</v>
      </c>
      <c r="P53" s="285"/>
      <c r="Q53" s="290"/>
      <c r="R53" s="290"/>
      <c r="S53" s="285"/>
      <c r="T53" s="285"/>
    </row>
    <row r="54" spans="1:94" s="269" customFormat="1" ht="20.149999999999999" customHeight="1" thickBot="1">
      <c r="A54" s="333" t="s">
        <v>257</v>
      </c>
      <c r="B54" s="334" t="s">
        <v>258</v>
      </c>
      <c r="C54" s="335">
        <f>+C55+C66+C69</f>
        <v>33486907</v>
      </c>
      <c r="D54" s="335">
        <f t="shared" ref="D54:N54" si="19">+D55+D66+D69</f>
        <v>86618130</v>
      </c>
      <c r="E54" s="335">
        <f t="shared" si="19"/>
        <v>261188983</v>
      </c>
      <c r="F54" s="335">
        <f t="shared" si="19"/>
        <v>93574768</v>
      </c>
      <c r="G54" s="335">
        <f t="shared" si="19"/>
        <v>98628757</v>
      </c>
      <c r="H54" s="335">
        <f t="shared" si="19"/>
        <v>116086303</v>
      </c>
      <c r="I54" s="335">
        <f t="shared" si="19"/>
        <v>175451083</v>
      </c>
      <c r="J54" s="335">
        <f t="shared" si="19"/>
        <v>0</v>
      </c>
      <c r="K54" s="335">
        <f t="shared" si="19"/>
        <v>0</v>
      </c>
      <c r="L54" s="335">
        <f t="shared" si="19"/>
        <v>0</v>
      </c>
      <c r="M54" s="335">
        <f t="shared" si="19"/>
        <v>0</v>
      </c>
      <c r="N54" s="335">
        <f t="shared" si="19"/>
        <v>0</v>
      </c>
      <c r="O54" s="336">
        <f t="shared" si="4"/>
        <v>865034931</v>
      </c>
      <c r="P54" s="290"/>
      <c r="Q54" s="290"/>
      <c r="R54" s="290"/>
      <c r="S54" s="285"/>
      <c r="T54" s="285"/>
    </row>
    <row r="55" spans="1:94" s="269" customFormat="1" ht="15" customHeight="1">
      <c r="A55" s="799" t="s">
        <v>259</v>
      </c>
      <c r="B55" s="329" t="s">
        <v>260</v>
      </c>
      <c r="C55" s="330">
        <f>+C56+C61</f>
        <v>4491326</v>
      </c>
      <c r="D55" s="330">
        <f t="shared" ref="D55:N55" si="20">+D56+D61</f>
        <v>53107255</v>
      </c>
      <c r="E55" s="330">
        <f t="shared" si="20"/>
        <v>6384636</v>
      </c>
      <c r="F55" s="330">
        <f t="shared" si="20"/>
        <v>32271176</v>
      </c>
      <c r="G55" s="330">
        <f t="shared" si="20"/>
        <v>58140252</v>
      </c>
      <c r="H55" s="330">
        <f t="shared" si="20"/>
        <v>74432424</v>
      </c>
      <c r="I55" s="330">
        <f t="shared" si="20"/>
        <v>23015844</v>
      </c>
      <c r="J55" s="330">
        <f t="shared" si="20"/>
        <v>0</v>
      </c>
      <c r="K55" s="330">
        <f t="shared" si="20"/>
        <v>0</v>
      </c>
      <c r="L55" s="330">
        <f t="shared" si="20"/>
        <v>0</v>
      </c>
      <c r="M55" s="330">
        <f t="shared" si="20"/>
        <v>0</v>
      </c>
      <c r="N55" s="330">
        <f t="shared" si="20"/>
        <v>0</v>
      </c>
      <c r="O55" s="330">
        <f t="shared" si="4"/>
        <v>251842913</v>
      </c>
      <c r="P55" s="290"/>
      <c r="Q55" s="290"/>
      <c r="R55" s="290"/>
      <c r="S55" s="285"/>
      <c r="T55" s="285"/>
    </row>
    <row r="56" spans="1:94" s="269" customFormat="1" ht="15" customHeight="1">
      <c r="A56" s="300" t="s">
        <v>261</v>
      </c>
      <c r="B56" s="297" t="s">
        <v>262</v>
      </c>
      <c r="C56" s="308">
        <f>SUM(C57:C60)</f>
        <v>4491326</v>
      </c>
      <c r="D56" s="308">
        <f t="shared" ref="D56:M56" si="21">SUM(D57:D60)</f>
        <v>17187767</v>
      </c>
      <c r="E56" s="308">
        <f t="shared" si="21"/>
        <v>3976939</v>
      </c>
      <c r="F56" s="308">
        <f t="shared" si="21"/>
        <v>24452563</v>
      </c>
      <c r="G56" s="308">
        <f t="shared" si="21"/>
        <v>57261440</v>
      </c>
      <c r="H56" s="308">
        <f t="shared" si="21"/>
        <v>52900544</v>
      </c>
      <c r="I56" s="308">
        <f t="shared" si="21"/>
        <v>8691160</v>
      </c>
      <c r="J56" s="308">
        <f t="shared" si="21"/>
        <v>0</v>
      </c>
      <c r="K56" s="308">
        <f t="shared" si="21"/>
        <v>0</v>
      </c>
      <c r="L56" s="308">
        <f t="shared" si="21"/>
        <v>0</v>
      </c>
      <c r="M56" s="308">
        <f t="shared" si="21"/>
        <v>0</v>
      </c>
      <c r="N56" s="308">
        <f>SUM(N57:N60)</f>
        <v>0</v>
      </c>
      <c r="O56" s="308">
        <f t="shared" si="4"/>
        <v>168961739</v>
      </c>
      <c r="P56" s="285"/>
      <c r="Q56" s="290"/>
      <c r="R56" s="290"/>
      <c r="S56" s="285"/>
      <c r="T56" s="285"/>
    </row>
    <row r="57" spans="1:94" s="269" customFormat="1" ht="15" customHeight="1">
      <c r="A57" s="300" t="s">
        <v>263</v>
      </c>
      <c r="B57" s="297" t="s">
        <v>264</v>
      </c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>
        <f t="shared" si="4"/>
        <v>0</v>
      </c>
      <c r="P57" s="313"/>
      <c r="Q57" s="313"/>
      <c r="R57" s="313"/>
      <c r="S57" s="285"/>
      <c r="T57" s="285"/>
    </row>
    <row r="58" spans="1:94" s="269" customFormat="1" ht="15" customHeight="1">
      <c r="A58" s="794" t="s">
        <v>265</v>
      </c>
      <c r="B58" s="286" t="s">
        <v>266</v>
      </c>
      <c r="C58" s="309"/>
      <c r="D58" s="309"/>
      <c r="E58" s="309"/>
      <c r="F58" s="309"/>
      <c r="G58" s="309"/>
      <c r="H58" s="309"/>
      <c r="I58" s="309"/>
      <c r="J58" s="309"/>
      <c r="K58" s="309"/>
      <c r="L58" s="309"/>
      <c r="M58" s="309"/>
      <c r="N58" s="309"/>
      <c r="O58" s="309">
        <f t="shared" si="4"/>
        <v>0</v>
      </c>
      <c r="P58" s="285"/>
      <c r="Q58" s="290"/>
      <c r="R58" s="290"/>
      <c r="S58" s="285"/>
      <c r="T58" s="285"/>
    </row>
    <row r="59" spans="1:94" s="269" customFormat="1" ht="15" customHeight="1">
      <c r="A59" s="794" t="s">
        <v>267</v>
      </c>
      <c r="B59" s="286" t="s">
        <v>71</v>
      </c>
      <c r="C59" s="309">
        <v>4491326</v>
      </c>
      <c r="D59" s="309">
        <v>17187767</v>
      </c>
      <c r="E59" s="309">
        <v>3976939</v>
      </c>
      <c r="F59" s="309">
        <v>24452563</v>
      </c>
      <c r="G59" s="309">
        <v>57261440</v>
      </c>
      <c r="H59" s="309">
        <v>52900544</v>
      </c>
      <c r="I59" s="309">
        <v>8691160</v>
      </c>
      <c r="J59" s="309"/>
      <c r="K59" s="309"/>
      <c r="L59" s="309"/>
      <c r="M59" s="309"/>
      <c r="N59" s="309"/>
      <c r="O59" s="309">
        <f t="shared" si="4"/>
        <v>168961739</v>
      </c>
      <c r="P59" s="290"/>
      <c r="Q59" s="290"/>
      <c r="R59" s="290"/>
      <c r="S59" s="285"/>
      <c r="T59" s="285"/>
      <c r="U59" s="271"/>
    </row>
    <row r="60" spans="1:94" s="269" customFormat="1" ht="15" customHeight="1">
      <c r="A60" s="794" t="s">
        <v>268</v>
      </c>
      <c r="B60" s="286" t="s">
        <v>72</v>
      </c>
      <c r="C60" s="309"/>
      <c r="D60" s="309"/>
      <c r="E60" s="309"/>
      <c r="F60" s="309"/>
      <c r="G60" s="309"/>
      <c r="H60" s="309"/>
      <c r="I60" s="309"/>
      <c r="J60" s="309"/>
      <c r="K60" s="309"/>
      <c r="L60" s="309"/>
      <c r="M60" s="309"/>
      <c r="N60" s="309"/>
      <c r="O60" s="309">
        <f t="shared" si="4"/>
        <v>0</v>
      </c>
      <c r="P60" s="313"/>
      <c r="Q60" s="313"/>
      <c r="R60" s="313"/>
      <c r="S60" s="313"/>
      <c r="T60" s="285"/>
    </row>
    <row r="61" spans="1:94" s="269" customFormat="1" ht="15" customHeight="1">
      <c r="A61" s="300" t="s">
        <v>269</v>
      </c>
      <c r="B61" s="297" t="s">
        <v>270</v>
      </c>
      <c r="C61" s="308">
        <f>SUM(C62:C65)</f>
        <v>0</v>
      </c>
      <c r="D61" s="308">
        <f t="shared" ref="D61:N61" si="22">SUM(D62:D65)</f>
        <v>35919488</v>
      </c>
      <c r="E61" s="308">
        <f t="shared" si="22"/>
        <v>2407697</v>
      </c>
      <c r="F61" s="308">
        <f t="shared" si="22"/>
        <v>7818613</v>
      </c>
      <c r="G61" s="308">
        <f t="shared" si="22"/>
        <v>878812</v>
      </c>
      <c r="H61" s="308">
        <f t="shared" si="22"/>
        <v>21531880</v>
      </c>
      <c r="I61" s="308">
        <f t="shared" si="22"/>
        <v>14324684</v>
      </c>
      <c r="J61" s="308">
        <f t="shared" si="22"/>
        <v>0</v>
      </c>
      <c r="K61" s="308">
        <f t="shared" si="22"/>
        <v>0</v>
      </c>
      <c r="L61" s="308">
        <f t="shared" si="22"/>
        <v>0</v>
      </c>
      <c r="M61" s="308">
        <f t="shared" si="22"/>
        <v>0</v>
      </c>
      <c r="N61" s="308">
        <f t="shared" si="22"/>
        <v>0</v>
      </c>
      <c r="O61" s="308">
        <f t="shared" si="4"/>
        <v>82881174</v>
      </c>
      <c r="P61" s="285"/>
      <c r="Q61" s="285"/>
      <c r="R61" s="285"/>
      <c r="S61" s="285"/>
      <c r="T61" s="285"/>
    </row>
    <row r="62" spans="1:94" s="269" customFormat="1" ht="15" customHeight="1">
      <c r="A62" s="794" t="s">
        <v>271</v>
      </c>
      <c r="B62" s="286" t="s">
        <v>264</v>
      </c>
      <c r="C62" s="309"/>
      <c r="D62" s="309"/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309">
        <f t="shared" si="4"/>
        <v>0</v>
      </c>
      <c r="P62" s="285"/>
      <c r="Q62" s="285"/>
      <c r="R62" s="285"/>
      <c r="S62" s="285"/>
      <c r="T62" s="285"/>
      <c r="Y62" s="271"/>
    </row>
    <row r="63" spans="1:94" s="269" customFormat="1" ht="15" customHeight="1">
      <c r="A63" s="794" t="s">
        <v>272</v>
      </c>
      <c r="B63" s="286" t="s">
        <v>266</v>
      </c>
      <c r="C63" s="309"/>
      <c r="D63" s="309">
        <v>26069957</v>
      </c>
      <c r="E63" s="309">
        <v>2407697</v>
      </c>
      <c r="F63" s="309">
        <v>7818613</v>
      </c>
      <c r="G63" s="309"/>
      <c r="H63" s="309">
        <v>21491685</v>
      </c>
      <c r="I63" s="309">
        <v>10048150</v>
      </c>
      <c r="J63" s="309"/>
      <c r="K63" s="309"/>
      <c r="L63" s="309"/>
      <c r="M63" s="309"/>
      <c r="N63" s="309"/>
      <c r="O63" s="309">
        <f t="shared" si="4"/>
        <v>67836102</v>
      </c>
      <c r="Y63" s="271"/>
    </row>
    <row r="64" spans="1:94" s="285" customFormat="1" ht="15" customHeight="1">
      <c r="A64" s="794" t="s">
        <v>273</v>
      </c>
      <c r="B64" s="286" t="s">
        <v>71</v>
      </c>
      <c r="C64" s="309"/>
      <c r="D64" s="309">
        <v>9849531</v>
      </c>
      <c r="E64" s="309"/>
      <c r="F64" s="309"/>
      <c r="G64" s="309">
        <v>878812</v>
      </c>
      <c r="H64" s="309">
        <v>40195</v>
      </c>
      <c r="I64" s="309">
        <v>4276534</v>
      </c>
      <c r="J64" s="309"/>
      <c r="K64" s="309"/>
      <c r="L64" s="309"/>
      <c r="M64" s="309"/>
      <c r="N64" s="309"/>
      <c r="O64" s="309">
        <f t="shared" si="4"/>
        <v>15045072</v>
      </c>
      <c r="P64" s="290"/>
      <c r="Q64" s="290"/>
      <c r="R64" s="290"/>
      <c r="S64" s="290"/>
      <c r="T64" s="290"/>
      <c r="U64" s="290"/>
    </row>
    <row r="65" spans="1:18" s="269" customFormat="1" ht="15" customHeight="1">
      <c r="A65" s="794" t="s">
        <v>274</v>
      </c>
      <c r="B65" s="286" t="s">
        <v>72</v>
      </c>
      <c r="C65" s="309"/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>
        <f t="shared" si="4"/>
        <v>0</v>
      </c>
    </row>
    <row r="66" spans="1:18" s="269" customFormat="1" ht="15" customHeight="1">
      <c r="A66" s="791" t="s">
        <v>275</v>
      </c>
      <c r="B66" s="291" t="s">
        <v>276</v>
      </c>
      <c r="C66" s="312">
        <f>SUM(C67:C68)</f>
        <v>3289831</v>
      </c>
      <c r="D66" s="312">
        <f t="shared" ref="D66:N66" si="23">SUM(D67:D68)</f>
        <v>2277875</v>
      </c>
      <c r="E66" s="312">
        <f t="shared" si="23"/>
        <v>214593083</v>
      </c>
      <c r="F66" s="312">
        <f t="shared" si="23"/>
        <v>10094820</v>
      </c>
      <c r="G66" s="312">
        <f t="shared" si="23"/>
        <v>8533126</v>
      </c>
      <c r="H66" s="312">
        <f t="shared" si="23"/>
        <v>9524079</v>
      </c>
      <c r="I66" s="312">
        <f t="shared" si="23"/>
        <v>114486384</v>
      </c>
      <c r="J66" s="312">
        <f t="shared" si="23"/>
        <v>0</v>
      </c>
      <c r="K66" s="312">
        <f t="shared" si="23"/>
        <v>0</v>
      </c>
      <c r="L66" s="312">
        <f t="shared" si="23"/>
        <v>0</v>
      </c>
      <c r="M66" s="312">
        <f t="shared" si="23"/>
        <v>0</v>
      </c>
      <c r="N66" s="312">
        <f t="shared" si="23"/>
        <v>0</v>
      </c>
      <c r="O66" s="312">
        <f t="shared" si="4"/>
        <v>362799198</v>
      </c>
    </row>
    <row r="67" spans="1:18" s="269" customFormat="1" ht="15" customHeight="1">
      <c r="A67" s="794" t="s">
        <v>277</v>
      </c>
      <c r="B67" s="286" t="s">
        <v>262</v>
      </c>
      <c r="C67" s="309">
        <v>3289831</v>
      </c>
      <c r="D67" s="309">
        <v>2277875</v>
      </c>
      <c r="E67" s="309">
        <v>214593083</v>
      </c>
      <c r="F67" s="309">
        <v>9094820</v>
      </c>
      <c r="G67" s="309">
        <v>8533126</v>
      </c>
      <c r="H67" s="309">
        <v>9524079</v>
      </c>
      <c r="I67" s="309">
        <v>114486384</v>
      </c>
      <c r="J67" s="309"/>
      <c r="K67" s="309"/>
      <c r="L67" s="309"/>
      <c r="M67" s="309"/>
      <c r="N67" s="309"/>
      <c r="O67" s="309">
        <f t="shared" si="4"/>
        <v>361799198</v>
      </c>
    </row>
    <row r="68" spans="1:18" s="269" customFormat="1" ht="15" customHeight="1">
      <c r="A68" s="794" t="s">
        <v>278</v>
      </c>
      <c r="B68" s="286" t="s">
        <v>270</v>
      </c>
      <c r="C68" s="309"/>
      <c r="D68" s="309"/>
      <c r="E68" s="309"/>
      <c r="F68" s="309">
        <v>1000000</v>
      </c>
      <c r="G68" s="309"/>
      <c r="H68" s="309"/>
      <c r="I68" s="309"/>
      <c r="J68" s="309"/>
      <c r="K68" s="309"/>
      <c r="L68" s="309"/>
      <c r="M68" s="309"/>
      <c r="N68" s="309"/>
      <c r="O68" s="309">
        <f t="shared" si="4"/>
        <v>1000000</v>
      </c>
    </row>
    <row r="69" spans="1:18" s="269" customFormat="1" ht="15" customHeight="1">
      <c r="A69" s="801" t="s">
        <v>279</v>
      </c>
      <c r="B69" s="337" t="s">
        <v>280</v>
      </c>
      <c r="C69" s="338">
        <f>+C70</f>
        <v>25705750</v>
      </c>
      <c r="D69" s="338">
        <f t="shared" ref="D69:N69" si="24">+D70</f>
        <v>31233000</v>
      </c>
      <c r="E69" s="338">
        <f t="shared" si="24"/>
        <v>40211264</v>
      </c>
      <c r="F69" s="338">
        <f t="shared" si="24"/>
        <v>51208772</v>
      </c>
      <c r="G69" s="338">
        <f t="shared" si="24"/>
        <v>31955379</v>
      </c>
      <c r="H69" s="338">
        <f t="shared" si="24"/>
        <v>32129800</v>
      </c>
      <c r="I69" s="338">
        <f t="shared" si="24"/>
        <v>37948855</v>
      </c>
      <c r="J69" s="338">
        <f t="shared" si="24"/>
        <v>0</v>
      </c>
      <c r="K69" s="338">
        <f t="shared" si="24"/>
        <v>0</v>
      </c>
      <c r="L69" s="338">
        <f t="shared" si="24"/>
        <v>0</v>
      </c>
      <c r="M69" s="338">
        <f t="shared" si="24"/>
        <v>0</v>
      </c>
      <c r="N69" s="338">
        <f t="shared" si="24"/>
        <v>0</v>
      </c>
      <c r="O69" s="338">
        <f t="shared" si="4"/>
        <v>250392820</v>
      </c>
    </row>
    <row r="70" spans="1:18" s="339" customFormat="1" ht="15" customHeight="1">
      <c r="A70" s="801" t="s">
        <v>281</v>
      </c>
      <c r="B70" s="337" t="s">
        <v>262</v>
      </c>
      <c r="C70" s="338">
        <f>+C71+C72+C73+C74</f>
        <v>25705750</v>
      </c>
      <c r="D70" s="338">
        <f t="shared" ref="D70:N70" si="25">+D71+D72+D73+D74</f>
        <v>31233000</v>
      </c>
      <c r="E70" s="338">
        <f t="shared" si="25"/>
        <v>40211264</v>
      </c>
      <c r="F70" s="338">
        <f t="shared" si="25"/>
        <v>51208772</v>
      </c>
      <c r="G70" s="338">
        <f t="shared" si="25"/>
        <v>31955379</v>
      </c>
      <c r="H70" s="338">
        <f t="shared" si="25"/>
        <v>32129800</v>
      </c>
      <c r="I70" s="338">
        <f t="shared" si="25"/>
        <v>37948855</v>
      </c>
      <c r="J70" s="338">
        <f t="shared" si="25"/>
        <v>0</v>
      </c>
      <c r="K70" s="338">
        <f t="shared" si="25"/>
        <v>0</v>
      </c>
      <c r="L70" s="338">
        <f t="shared" si="25"/>
        <v>0</v>
      </c>
      <c r="M70" s="338">
        <f t="shared" si="25"/>
        <v>0</v>
      </c>
      <c r="N70" s="338">
        <f t="shared" si="25"/>
        <v>0</v>
      </c>
      <c r="O70" s="338">
        <f t="shared" si="4"/>
        <v>250392820</v>
      </c>
    </row>
    <row r="71" spans="1:18" s="269" customFormat="1" ht="15" hidden="1" customHeight="1">
      <c r="A71" s="300" t="s">
        <v>282</v>
      </c>
      <c r="B71" s="297" t="s">
        <v>283</v>
      </c>
      <c r="C71" s="308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>
        <f t="shared" ref="O71:O134" si="26">SUM(C71:N71)</f>
        <v>0</v>
      </c>
    </row>
    <row r="72" spans="1:18" s="269" customFormat="1" ht="15" hidden="1" customHeight="1">
      <c r="A72" s="300" t="s">
        <v>284</v>
      </c>
      <c r="B72" s="297" t="s">
        <v>285</v>
      </c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08"/>
      <c r="O72" s="308">
        <f t="shared" si="26"/>
        <v>0</v>
      </c>
    </row>
    <row r="73" spans="1:18" s="269" customFormat="1" ht="15" customHeight="1">
      <c r="A73" s="794" t="s">
        <v>286</v>
      </c>
      <c r="B73" s="286" t="s">
        <v>287</v>
      </c>
      <c r="C73" s="309"/>
      <c r="D73" s="309"/>
      <c r="E73" s="309"/>
      <c r="F73" s="309"/>
      <c r="G73" s="309"/>
      <c r="H73" s="309"/>
      <c r="I73" s="309"/>
      <c r="J73" s="309"/>
      <c r="K73" s="309"/>
      <c r="L73" s="309"/>
      <c r="M73" s="309"/>
      <c r="N73" s="309"/>
      <c r="O73" s="309">
        <f t="shared" si="26"/>
        <v>0</v>
      </c>
    </row>
    <row r="74" spans="1:18" s="269" customFormat="1" ht="15" customHeight="1" thickBot="1">
      <c r="A74" s="794" t="s">
        <v>288</v>
      </c>
      <c r="B74" s="286" t="s">
        <v>289</v>
      </c>
      <c r="C74" s="309">
        <v>25705750</v>
      </c>
      <c r="D74" s="309">
        <v>31233000</v>
      </c>
      <c r="E74" s="309">
        <v>40211264</v>
      </c>
      <c r="F74" s="309">
        <v>51208772</v>
      </c>
      <c r="G74" s="309">
        <v>31955379</v>
      </c>
      <c r="H74" s="309">
        <v>32129800</v>
      </c>
      <c r="I74" s="309">
        <v>37948855</v>
      </c>
      <c r="J74" s="309"/>
      <c r="K74" s="309"/>
      <c r="L74" s="309"/>
      <c r="M74" s="309"/>
      <c r="N74" s="309"/>
      <c r="O74" s="309">
        <f t="shared" si="26"/>
        <v>250392820</v>
      </c>
    </row>
    <row r="75" spans="1:18" s="269" customFormat="1" ht="15" hidden="1" customHeight="1">
      <c r="A75" s="300" t="s">
        <v>290</v>
      </c>
      <c r="B75" s="297" t="s">
        <v>270</v>
      </c>
      <c r="C75" s="308">
        <v>0</v>
      </c>
      <c r="D75" s="308"/>
      <c r="E75" s="308"/>
      <c r="F75" s="308"/>
      <c r="G75" s="308"/>
      <c r="H75" s="308"/>
      <c r="I75" s="308"/>
      <c r="J75" s="308"/>
      <c r="K75" s="308"/>
      <c r="L75" s="308"/>
      <c r="M75" s="308"/>
      <c r="N75" s="308"/>
      <c r="O75" s="308">
        <f t="shared" si="26"/>
        <v>0</v>
      </c>
    </row>
    <row r="76" spans="1:18" s="295" customFormat="1" ht="15" hidden="1" customHeight="1">
      <c r="A76" s="795"/>
      <c r="B76" s="293" t="s">
        <v>291</v>
      </c>
      <c r="C76" s="307"/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>
        <f t="shared" si="26"/>
        <v>0</v>
      </c>
    </row>
    <row r="77" spans="1:18" s="295" customFormat="1" ht="15" hidden="1" customHeight="1" thickBot="1">
      <c r="A77" s="802"/>
      <c r="B77" s="340" t="s">
        <v>285</v>
      </c>
      <c r="C77" s="341"/>
      <c r="D77" s="341"/>
      <c r="E77" s="341"/>
      <c r="F77" s="341"/>
      <c r="G77" s="341"/>
      <c r="H77" s="341"/>
      <c r="I77" s="341"/>
      <c r="J77" s="341"/>
      <c r="K77" s="341"/>
      <c r="L77" s="341"/>
      <c r="M77" s="341"/>
      <c r="N77" s="341"/>
      <c r="O77" s="341">
        <f t="shared" si="26"/>
        <v>0</v>
      </c>
    </row>
    <row r="78" spans="1:18" s="269" customFormat="1" ht="20.149999999999999" customHeight="1" thickBot="1">
      <c r="A78" s="322" t="s">
        <v>292</v>
      </c>
      <c r="B78" s="323" t="s">
        <v>293</v>
      </c>
      <c r="C78" s="324">
        <f>+C79+C93+C149+C158+C162</f>
        <v>301651146</v>
      </c>
      <c r="D78" s="324">
        <f t="shared" ref="D78:N78" si="27">+D79+D93+D149+D158+D162</f>
        <v>318015933</v>
      </c>
      <c r="E78" s="324">
        <f t="shared" si="27"/>
        <v>524852133</v>
      </c>
      <c r="F78" s="324">
        <f t="shared" si="27"/>
        <v>325566508</v>
      </c>
      <c r="G78" s="324">
        <f t="shared" si="27"/>
        <v>369153182</v>
      </c>
      <c r="H78" s="324">
        <f t="shared" si="27"/>
        <v>370275823</v>
      </c>
      <c r="I78" s="324">
        <f t="shared" si="27"/>
        <v>441140118</v>
      </c>
      <c r="J78" s="324">
        <f t="shared" si="27"/>
        <v>0</v>
      </c>
      <c r="K78" s="324">
        <f t="shared" si="27"/>
        <v>0</v>
      </c>
      <c r="L78" s="324">
        <f t="shared" si="27"/>
        <v>0</v>
      </c>
      <c r="M78" s="324">
        <f t="shared" si="27"/>
        <v>0</v>
      </c>
      <c r="N78" s="324">
        <f t="shared" si="27"/>
        <v>0</v>
      </c>
      <c r="O78" s="325">
        <f t="shared" si="26"/>
        <v>2650654843</v>
      </c>
      <c r="P78" s="271"/>
      <c r="R78" s="271"/>
    </row>
    <row r="79" spans="1:18" s="342" customFormat="1" ht="15" customHeight="1">
      <c r="A79" s="799" t="s">
        <v>294</v>
      </c>
      <c r="B79" s="329" t="s">
        <v>295</v>
      </c>
      <c r="C79" s="330">
        <f>SUM(C80:C84)</f>
        <v>11289432</v>
      </c>
      <c r="D79" s="330">
        <f t="shared" ref="D79:N79" si="28">SUM(D80:D84)</f>
        <v>3316968</v>
      </c>
      <c r="E79" s="330">
        <f t="shared" si="28"/>
        <v>150900154</v>
      </c>
      <c r="F79" s="330">
        <f t="shared" si="28"/>
        <v>2367214</v>
      </c>
      <c r="G79" s="330">
        <f t="shared" si="28"/>
        <v>1611597</v>
      </c>
      <c r="H79" s="330">
        <f t="shared" si="28"/>
        <v>5611030</v>
      </c>
      <c r="I79" s="330">
        <f t="shared" si="28"/>
        <v>56497251</v>
      </c>
      <c r="J79" s="330">
        <f t="shared" si="28"/>
        <v>0</v>
      </c>
      <c r="K79" s="330">
        <f t="shared" si="28"/>
        <v>0</v>
      </c>
      <c r="L79" s="330">
        <f t="shared" si="28"/>
        <v>0</v>
      </c>
      <c r="M79" s="330">
        <f t="shared" si="28"/>
        <v>0</v>
      </c>
      <c r="N79" s="330">
        <f t="shared" si="28"/>
        <v>0</v>
      </c>
      <c r="O79" s="330">
        <f t="shared" si="26"/>
        <v>231593646</v>
      </c>
    </row>
    <row r="80" spans="1:18" s="269" customFormat="1" ht="15" customHeight="1">
      <c r="A80" s="794" t="s">
        <v>296</v>
      </c>
      <c r="B80" s="286" t="s">
        <v>297</v>
      </c>
      <c r="C80" s="309">
        <v>646</v>
      </c>
      <c r="D80" s="309"/>
      <c r="E80" s="309">
        <v>517</v>
      </c>
      <c r="F80" s="309">
        <v>388</v>
      </c>
      <c r="G80" s="309">
        <v>259</v>
      </c>
      <c r="H80" s="309"/>
      <c r="I80" s="309">
        <v>16714857</v>
      </c>
      <c r="J80" s="309"/>
      <c r="K80" s="309"/>
      <c r="L80" s="309"/>
      <c r="M80" s="309"/>
      <c r="N80" s="309"/>
      <c r="O80" s="309">
        <f t="shared" si="26"/>
        <v>16716667</v>
      </c>
    </row>
    <row r="81" spans="1:23" s="269" customFormat="1" ht="15" customHeight="1">
      <c r="A81" s="794" t="s">
        <v>298</v>
      </c>
      <c r="B81" s="286" t="s">
        <v>299</v>
      </c>
      <c r="C81" s="309"/>
      <c r="D81" s="309"/>
      <c r="E81" s="309"/>
      <c r="F81" s="309"/>
      <c r="G81" s="309"/>
      <c r="H81" s="309"/>
      <c r="I81" s="309">
        <v>2205</v>
      </c>
      <c r="J81" s="309"/>
      <c r="K81" s="309"/>
      <c r="L81" s="309"/>
      <c r="M81" s="309"/>
      <c r="N81" s="309"/>
      <c r="O81" s="309">
        <f t="shared" si="26"/>
        <v>2205</v>
      </c>
    </row>
    <row r="82" spans="1:23" s="295" customFormat="1" ht="15" hidden="1" customHeight="1">
      <c r="A82" s="795" t="s">
        <v>300</v>
      </c>
      <c r="B82" s="293" t="s">
        <v>301</v>
      </c>
      <c r="C82" s="307"/>
      <c r="D82" s="307"/>
      <c r="E82" s="307"/>
      <c r="F82" s="307"/>
      <c r="G82" s="307"/>
      <c r="H82" s="307"/>
      <c r="I82" s="307"/>
      <c r="J82" s="307"/>
      <c r="K82" s="307"/>
      <c r="L82" s="307"/>
      <c r="M82" s="307"/>
      <c r="N82" s="307"/>
      <c r="O82" s="307">
        <f t="shared" si="26"/>
        <v>0</v>
      </c>
    </row>
    <row r="83" spans="1:23" s="295" customFormat="1" ht="15" hidden="1" customHeight="1">
      <c r="A83" s="795" t="s">
        <v>302</v>
      </c>
      <c r="B83" s="293" t="s">
        <v>303</v>
      </c>
      <c r="C83" s="307"/>
      <c r="D83" s="307"/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307">
        <f t="shared" si="26"/>
        <v>0</v>
      </c>
    </row>
    <row r="84" spans="1:23" s="342" customFormat="1" ht="15" customHeight="1">
      <c r="A84" s="791" t="s">
        <v>304</v>
      </c>
      <c r="B84" s="291" t="s">
        <v>305</v>
      </c>
      <c r="C84" s="312">
        <f>SUM(C85:C92)</f>
        <v>11288786</v>
      </c>
      <c r="D84" s="312">
        <f t="shared" ref="D84:N84" si="29">SUM(D85:D92)</f>
        <v>3316968</v>
      </c>
      <c r="E84" s="312">
        <f t="shared" si="29"/>
        <v>150899637</v>
      </c>
      <c r="F84" s="312">
        <f t="shared" si="29"/>
        <v>2366826</v>
      </c>
      <c r="G84" s="312">
        <f t="shared" si="29"/>
        <v>1611338</v>
      </c>
      <c r="H84" s="312">
        <f t="shared" si="29"/>
        <v>5611030</v>
      </c>
      <c r="I84" s="312">
        <f t="shared" si="29"/>
        <v>39780189</v>
      </c>
      <c r="J84" s="312">
        <f t="shared" si="29"/>
        <v>0</v>
      </c>
      <c r="K84" s="312">
        <f t="shared" si="29"/>
        <v>0</v>
      </c>
      <c r="L84" s="312">
        <f t="shared" si="29"/>
        <v>0</v>
      </c>
      <c r="M84" s="312">
        <f t="shared" si="29"/>
        <v>0</v>
      </c>
      <c r="N84" s="312">
        <f t="shared" si="29"/>
        <v>0</v>
      </c>
      <c r="O84" s="312">
        <f t="shared" si="26"/>
        <v>214874774</v>
      </c>
    </row>
    <row r="85" spans="1:23" s="295" customFormat="1" ht="15" customHeight="1">
      <c r="A85" s="794" t="s">
        <v>306</v>
      </c>
      <c r="B85" s="286" t="s">
        <v>307</v>
      </c>
      <c r="C85" s="343"/>
      <c r="D85" s="344"/>
      <c r="E85" s="343"/>
      <c r="F85" s="343"/>
      <c r="G85" s="343"/>
      <c r="H85" s="343"/>
      <c r="I85" s="343"/>
      <c r="J85" s="345"/>
      <c r="K85" s="345"/>
      <c r="L85" s="345"/>
      <c r="M85" s="345"/>
      <c r="N85" s="345"/>
      <c r="O85" s="309">
        <f t="shared" si="26"/>
        <v>0</v>
      </c>
    </row>
    <row r="86" spans="1:23" s="295" customFormat="1" ht="15" hidden="1" customHeight="1">
      <c r="A86" s="796" t="s">
        <v>308</v>
      </c>
      <c r="B86" s="314" t="s">
        <v>309</v>
      </c>
      <c r="C86" s="343"/>
      <c r="D86" s="344"/>
      <c r="E86" s="343"/>
      <c r="F86" s="343"/>
      <c r="G86" s="343"/>
      <c r="H86" s="343"/>
      <c r="I86" s="343"/>
      <c r="J86" s="345"/>
      <c r="K86" s="345"/>
      <c r="L86" s="345"/>
      <c r="M86" s="345"/>
      <c r="N86" s="345"/>
      <c r="O86" s="345">
        <f t="shared" si="26"/>
        <v>0</v>
      </c>
    </row>
    <row r="87" spans="1:23" s="269" customFormat="1" ht="15" customHeight="1">
      <c r="A87" s="794" t="s">
        <v>310</v>
      </c>
      <c r="B87" s="286" t="s">
        <v>311</v>
      </c>
      <c r="C87" s="309">
        <v>10382941</v>
      </c>
      <c r="D87" s="309">
        <v>787920</v>
      </c>
      <c r="E87" s="309">
        <v>148940772</v>
      </c>
      <c r="F87" s="309">
        <v>701992</v>
      </c>
      <c r="G87" s="309">
        <v>174810</v>
      </c>
      <c r="H87" s="309">
        <v>2144143</v>
      </c>
      <c r="I87" s="309">
        <v>35623651</v>
      </c>
      <c r="J87" s="309"/>
      <c r="K87" s="309"/>
      <c r="L87" s="309"/>
      <c r="M87" s="309"/>
      <c r="N87" s="309"/>
      <c r="O87" s="309">
        <f t="shared" si="26"/>
        <v>198756229</v>
      </c>
    </row>
    <row r="88" spans="1:23" s="295" customFormat="1" ht="15" hidden="1" customHeight="1">
      <c r="A88" s="796" t="s">
        <v>312</v>
      </c>
      <c r="B88" s="314" t="s">
        <v>313</v>
      </c>
      <c r="C88" s="315"/>
      <c r="D88" s="315"/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315">
        <f t="shared" si="26"/>
        <v>0</v>
      </c>
    </row>
    <row r="89" spans="1:23" s="269" customFormat="1" ht="15" customHeight="1">
      <c r="A89" s="794" t="s">
        <v>314</v>
      </c>
      <c r="B89" s="286" t="s">
        <v>315</v>
      </c>
      <c r="C89" s="309">
        <v>10000</v>
      </c>
      <c r="D89" s="309">
        <v>41500</v>
      </c>
      <c r="E89" s="309">
        <v>79000</v>
      </c>
      <c r="F89" s="309">
        <v>74600</v>
      </c>
      <c r="G89" s="309">
        <v>69400</v>
      </c>
      <c r="H89" s="309">
        <v>69400</v>
      </c>
      <c r="I89" s="309">
        <v>64200</v>
      </c>
      <c r="J89" s="309"/>
      <c r="K89" s="309"/>
      <c r="L89" s="309"/>
      <c r="M89" s="309"/>
      <c r="N89" s="309"/>
      <c r="O89" s="309">
        <f t="shared" si="26"/>
        <v>408100</v>
      </c>
    </row>
    <row r="90" spans="1:23" s="269" customFormat="1" ht="15" customHeight="1">
      <c r="A90" s="794" t="s">
        <v>316</v>
      </c>
      <c r="B90" s="286" t="s">
        <v>317</v>
      </c>
      <c r="C90" s="309">
        <v>287000</v>
      </c>
      <c r="D90" s="309">
        <v>758764</v>
      </c>
      <c r="E90" s="309">
        <v>792340</v>
      </c>
      <c r="F90" s="309">
        <v>486000</v>
      </c>
      <c r="G90" s="309">
        <v>466988</v>
      </c>
      <c r="H90" s="309">
        <v>327000</v>
      </c>
      <c r="I90" s="309">
        <v>229000</v>
      </c>
      <c r="J90" s="309"/>
      <c r="K90" s="309"/>
      <c r="L90" s="309"/>
      <c r="M90" s="309"/>
      <c r="N90" s="309"/>
      <c r="O90" s="309">
        <f t="shared" si="26"/>
        <v>3347092</v>
      </c>
    </row>
    <row r="91" spans="1:23" s="269" customFormat="1" ht="15" customHeight="1">
      <c r="A91" s="794" t="s">
        <v>318</v>
      </c>
      <c r="B91" s="286" t="s">
        <v>319</v>
      </c>
      <c r="C91" s="309">
        <v>35000</v>
      </c>
      <c r="D91" s="309">
        <v>689500</v>
      </c>
      <c r="E91" s="309">
        <v>173310</v>
      </c>
      <c r="F91" s="309">
        <v>99214</v>
      </c>
      <c r="G91" s="309">
        <v>73000</v>
      </c>
      <c r="H91" s="309">
        <v>100000</v>
      </c>
      <c r="I91" s="309">
        <v>1545656</v>
      </c>
      <c r="J91" s="309"/>
      <c r="K91" s="309"/>
      <c r="L91" s="309"/>
      <c r="M91" s="309"/>
      <c r="N91" s="309"/>
      <c r="O91" s="309">
        <f t="shared" si="26"/>
        <v>2715680</v>
      </c>
    </row>
    <row r="92" spans="1:23" s="269" customFormat="1" ht="15" customHeight="1">
      <c r="A92" s="794" t="s">
        <v>320</v>
      </c>
      <c r="B92" s="286" t="s">
        <v>321</v>
      </c>
      <c r="C92" s="309">
        <v>573845</v>
      </c>
      <c r="D92" s="309">
        <v>1039284</v>
      </c>
      <c r="E92" s="309">
        <v>914215</v>
      </c>
      <c r="F92" s="309">
        <v>1005020</v>
      </c>
      <c r="G92" s="309">
        <v>827140</v>
      </c>
      <c r="H92" s="309">
        <v>2970487</v>
      </c>
      <c r="I92" s="309">
        <v>2317682</v>
      </c>
      <c r="J92" s="309"/>
      <c r="K92" s="309"/>
      <c r="L92" s="309"/>
      <c r="M92" s="309"/>
      <c r="N92" s="309"/>
      <c r="O92" s="309">
        <f t="shared" si="26"/>
        <v>9647673</v>
      </c>
    </row>
    <row r="93" spans="1:23" s="269" customFormat="1" ht="15" customHeight="1">
      <c r="A93" s="791" t="s">
        <v>322</v>
      </c>
      <c r="B93" s="291" t="s">
        <v>78</v>
      </c>
      <c r="C93" s="312">
        <f>+C94+C103</f>
        <v>274969932</v>
      </c>
      <c r="D93" s="312">
        <f t="shared" ref="D93:N93" si="30">+D94+D103</f>
        <v>274565489</v>
      </c>
      <c r="E93" s="312">
        <f t="shared" si="30"/>
        <v>347134334</v>
      </c>
      <c r="F93" s="312">
        <f t="shared" si="30"/>
        <v>299580332</v>
      </c>
      <c r="G93" s="312">
        <f t="shared" si="30"/>
        <v>335302061</v>
      </c>
      <c r="H93" s="312">
        <f t="shared" si="30"/>
        <v>333324331</v>
      </c>
      <c r="I93" s="312">
        <f t="shared" si="30"/>
        <v>352541173</v>
      </c>
      <c r="J93" s="312">
        <f t="shared" si="30"/>
        <v>0</v>
      </c>
      <c r="K93" s="312">
        <f t="shared" si="30"/>
        <v>0</v>
      </c>
      <c r="L93" s="312">
        <f t="shared" si="30"/>
        <v>0</v>
      </c>
      <c r="M93" s="312">
        <f t="shared" si="30"/>
        <v>0</v>
      </c>
      <c r="N93" s="312">
        <f t="shared" si="30"/>
        <v>0</v>
      </c>
      <c r="O93" s="312">
        <f t="shared" si="26"/>
        <v>2217417652</v>
      </c>
    </row>
    <row r="94" spans="1:23" s="295" customFormat="1" ht="15" customHeight="1">
      <c r="A94" s="300" t="s">
        <v>323</v>
      </c>
      <c r="B94" s="297" t="s">
        <v>324</v>
      </c>
      <c r="C94" s="308">
        <f>SUM(C95:C102)</f>
        <v>1791882</v>
      </c>
      <c r="D94" s="308">
        <f t="shared" ref="D94:N94" si="31">SUM(D95:D102)</f>
        <v>9159488</v>
      </c>
      <c r="E94" s="308">
        <f t="shared" si="31"/>
        <v>8013506</v>
      </c>
      <c r="F94" s="308">
        <f t="shared" si="31"/>
        <v>6629134</v>
      </c>
      <c r="G94" s="308">
        <f t="shared" si="31"/>
        <v>5459665</v>
      </c>
      <c r="H94" s="308">
        <f t="shared" si="31"/>
        <v>6181849</v>
      </c>
      <c r="I94" s="308">
        <f t="shared" si="31"/>
        <v>9590141</v>
      </c>
      <c r="J94" s="308">
        <f t="shared" si="31"/>
        <v>0</v>
      </c>
      <c r="K94" s="308">
        <f t="shared" si="31"/>
        <v>0</v>
      </c>
      <c r="L94" s="308">
        <f t="shared" si="31"/>
        <v>0</v>
      </c>
      <c r="M94" s="308">
        <f t="shared" si="31"/>
        <v>0</v>
      </c>
      <c r="N94" s="308">
        <f t="shared" si="31"/>
        <v>0</v>
      </c>
      <c r="O94" s="308">
        <f t="shared" si="26"/>
        <v>46825665</v>
      </c>
      <c r="Q94" s="268"/>
    </row>
    <row r="95" spans="1:23" s="269" customFormat="1" ht="15" customHeight="1">
      <c r="A95" s="794" t="s">
        <v>325</v>
      </c>
      <c r="B95" s="286" t="s">
        <v>326</v>
      </c>
      <c r="C95" s="309">
        <v>238275</v>
      </c>
      <c r="D95" s="309">
        <v>1017980</v>
      </c>
      <c r="E95" s="309">
        <v>4288338</v>
      </c>
      <c r="F95" s="309">
        <v>797377</v>
      </c>
      <c r="G95" s="309">
        <v>2468886</v>
      </c>
      <c r="H95" s="309">
        <v>1682301</v>
      </c>
      <c r="I95" s="309">
        <v>4897580</v>
      </c>
      <c r="J95" s="309"/>
      <c r="K95" s="309"/>
      <c r="L95" s="309"/>
      <c r="M95" s="309"/>
      <c r="N95" s="309"/>
      <c r="O95" s="309">
        <f t="shared" si="26"/>
        <v>15390737</v>
      </c>
      <c r="P95" s="346"/>
      <c r="Q95" s="346"/>
      <c r="R95" s="346"/>
      <c r="S95" s="346"/>
      <c r="T95" s="346"/>
      <c r="U95" s="346"/>
      <c r="V95" s="346"/>
      <c r="W95" s="346"/>
    </row>
    <row r="96" spans="1:23" s="269" customFormat="1" ht="15" customHeight="1">
      <c r="A96" s="803" t="s">
        <v>327</v>
      </c>
      <c r="B96" s="347" t="s">
        <v>328</v>
      </c>
      <c r="C96" s="348"/>
      <c r="D96" s="348"/>
      <c r="E96" s="348"/>
      <c r="F96" s="348">
        <v>7500</v>
      </c>
      <c r="G96" s="348"/>
      <c r="H96" s="348"/>
      <c r="I96" s="348"/>
      <c r="J96" s="348"/>
      <c r="K96" s="348"/>
      <c r="L96" s="348"/>
      <c r="M96" s="348"/>
      <c r="N96" s="348"/>
      <c r="O96" s="348">
        <f t="shared" si="26"/>
        <v>7500</v>
      </c>
      <c r="P96" s="346"/>
      <c r="Q96" s="346"/>
      <c r="R96" s="346"/>
      <c r="S96" s="346"/>
      <c r="T96" s="346"/>
      <c r="U96" s="346"/>
      <c r="V96" s="346"/>
      <c r="W96" s="346"/>
    </row>
    <row r="97" spans="1:23" s="285" customFormat="1" ht="15" customHeight="1">
      <c r="A97" s="793" t="s">
        <v>329</v>
      </c>
      <c r="B97" s="298" t="s">
        <v>330</v>
      </c>
      <c r="C97" s="896">
        <f>((+' AI_Receita DGA jul'!C14))+452807</f>
        <v>702127</v>
      </c>
      <c r="D97" s="897">
        <f>((+' AI_Receita DGA jul'!D14))+425585</f>
        <v>6312248</v>
      </c>
      <c r="E97" s="897">
        <f>((+' AI_Receita DGA jul'!E14))+604576</f>
        <v>2267158</v>
      </c>
      <c r="F97" s="897">
        <f>((+' AI_Receita DGA jul'!F14))+566659</f>
        <v>3838566</v>
      </c>
      <c r="G97" s="897">
        <f>((+' AI_Receita DGA jul'!G14))+428807</f>
        <v>2098104</v>
      </c>
      <c r="H97" s="897">
        <f>((+' AI_Receita DGA jul'!H14))+511406</f>
        <v>2074742</v>
      </c>
      <c r="I97" s="897">
        <f>(+' AI_Receita DGA jul'!I14)+587883</f>
        <v>3802755</v>
      </c>
      <c r="J97" s="349">
        <f>+' AI_Receita DGA jul'!J14</f>
        <v>0</v>
      </c>
      <c r="K97" s="349">
        <f>+' AI_Receita DGA jul'!K14</f>
        <v>0</v>
      </c>
      <c r="L97" s="349">
        <f>+' AI_Receita DGA jul'!L14</f>
        <v>0</v>
      </c>
      <c r="M97" s="349">
        <f>+' AI_Receita DGA jul'!M14</f>
        <v>0</v>
      </c>
      <c r="N97" s="349">
        <f>+' AI_Receita DGA jul'!N14</f>
        <v>0</v>
      </c>
      <c r="O97" s="306">
        <f t="shared" si="26"/>
        <v>21095700</v>
      </c>
      <c r="P97" s="350"/>
      <c r="Q97" s="350"/>
      <c r="R97" s="350"/>
      <c r="S97" s="350"/>
      <c r="T97" s="350"/>
      <c r="U97" s="350"/>
      <c r="V97" s="350"/>
      <c r="W97" s="351"/>
    </row>
    <row r="98" spans="1:23" s="269" customFormat="1" ht="15" customHeight="1">
      <c r="A98" s="300" t="s">
        <v>331</v>
      </c>
      <c r="B98" s="297" t="s">
        <v>332</v>
      </c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>
        <f t="shared" si="26"/>
        <v>0</v>
      </c>
      <c r="P98" s="346"/>
      <c r="Q98" s="346"/>
      <c r="R98" s="346"/>
      <c r="S98" s="346"/>
      <c r="T98" s="346"/>
      <c r="U98" s="346"/>
      <c r="V98" s="346"/>
      <c r="W98" s="346"/>
    </row>
    <row r="99" spans="1:23" s="269" customFormat="1" ht="15" customHeight="1">
      <c r="A99" s="300" t="s">
        <v>333</v>
      </c>
      <c r="B99" s="297" t="s">
        <v>334</v>
      </c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>
        <f t="shared" si="26"/>
        <v>0</v>
      </c>
      <c r="P99" s="346"/>
      <c r="Q99" s="346"/>
      <c r="R99" s="346"/>
      <c r="S99" s="346"/>
      <c r="T99" s="346"/>
      <c r="U99" s="346"/>
      <c r="V99" s="346"/>
      <c r="W99" s="346"/>
    </row>
    <row r="100" spans="1:23" s="295" customFormat="1" ht="15" hidden="1" customHeight="1">
      <c r="A100" s="795" t="s">
        <v>335</v>
      </c>
      <c r="B100" s="293" t="s">
        <v>336</v>
      </c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>
        <f t="shared" si="26"/>
        <v>0</v>
      </c>
    </row>
    <row r="101" spans="1:23" s="269" customFormat="1" ht="14.25" customHeight="1">
      <c r="A101" s="794" t="s">
        <v>337</v>
      </c>
      <c r="B101" s="286" t="s">
        <v>338</v>
      </c>
      <c r="C101" s="309"/>
      <c r="D101" s="309">
        <v>1500</v>
      </c>
      <c r="E101" s="309"/>
      <c r="F101" s="309"/>
      <c r="G101" s="309"/>
      <c r="H101" s="309"/>
      <c r="I101" s="309"/>
      <c r="J101" s="309"/>
      <c r="K101" s="309"/>
      <c r="L101" s="309"/>
      <c r="M101" s="309"/>
      <c r="N101" s="309"/>
      <c r="O101" s="309">
        <f t="shared" si="26"/>
        <v>1500</v>
      </c>
    </row>
    <row r="102" spans="1:23" s="269" customFormat="1" ht="15" customHeight="1">
      <c r="A102" s="794" t="s">
        <v>339</v>
      </c>
      <c r="B102" s="286" t="s">
        <v>72</v>
      </c>
      <c r="C102" s="309">
        <v>851480</v>
      </c>
      <c r="D102" s="309">
        <v>1827760</v>
      </c>
      <c r="E102" s="309">
        <v>1458010</v>
      </c>
      <c r="F102" s="309">
        <v>1985691</v>
      </c>
      <c r="G102" s="309">
        <v>892675</v>
      </c>
      <c r="H102" s="309">
        <v>2424806</v>
      </c>
      <c r="I102" s="309">
        <v>889806</v>
      </c>
      <c r="J102" s="309"/>
      <c r="K102" s="309"/>
      <c r="L102" s="309"/>
      <c r="M102" s="309"/>
      <c r="N102" s="309"/>
      <c r="O102" s="309">
        <f t="shared" si="26"/>
        <v>10330228</v>
      </c>
    </row>
    <row r="103" spans="1:23" s="269" customFormat="1" ht="15" customHeight="1">
      <c r="A103" s="791" t="s">
        <v>340</v>
      </c>
      <c r="B103" s="291" t="s">
        <v>341</v>
      </c>
      <c r="C103" s="312">
        <f>+C104+C128+C133+C138</f>
        <v>273178050</v>
      </c>
      <c r="D103" s="312">
        <f t="shared" ref="D103:N103" si="32">+D104+D128+D133+D138</f>
        <v>265406001</v>
      </c>
      <c r="E103" s="312">
        <f t="shared" si="32"/>
        <v>339120828</v>
      </c>
      <c r="F103" s="312">
        <f t="shared" si="32"/>
        <v>292951198</v>
      </c>
      <c r="G103" s="312">
        <f t="shared" si="32"/>
        <v>329842396</v>
      </c>
      <c r="H103" s="312">
        <f t="shared" si="32"/>
        <v>327142482</v>
      </c>
      <c r="I103" s="312">
        <f t="shared" si="32"/>
        <v>342951032</v>
      </c>
      <c r="J103" s="312">
        <f t="shared" si="32"/>
        <v>0</v>
      </c>
      <c r="K103" s="312">
        <f t="shared" si="32"/>
        <v>0</v>
      </c>
      <c r="L103" s="312">
        <f t="shared" si="32"/>
        <v>0</v>
      </c>
      <c r="M103" s="312">
        <f t="shared" si="32"/>
        <v>0</v>
      </c>
      <c r="N103" s="312">
        <f t="shared" si="32"/>
        <v>0</v>
      </c>
      <c r="O103" s="312">
        <f t="shared" si="26"/>
        <v>2170591987</v>
      </c>
    </row>
    <row r="104" spans="1:23" s="269" customFormat="1" ht="15" customHeight="1">
      <c r="A104" s="791" t="s">
        <v>342</v>
      </c>
      <c r="B104" s="291" t="s">
        <v>343</v>
      </c>
      <c r="C104" s="312">
        <f>SUM(C105:C127)</f>
        <v>146797164</v>
      </c>
      <c r="D104" s="312">
        <f t="shared" ref="D104:N104" si="33">SUM(D105:D127)</f>
        <v>148233982</v>
      </c>
      <c r="E104" s="312">
        <f t="shared" si="33"/>
        <v>198465872</v>
      </c>
      <c r="F104" s="312">
        <f t="shared" si="33"/>
        <v>175797246</v>
      </c>
      <c r="G104" s="312">
        <f t="shared" si="33"/>
        <v>185716797</v>
      </c>
      <c r="H104" s="312">
        <f t="shared" si="33"/>
        <v>191886939</v>
      </c>
      <c r="I104" s="312">
        <f t="shared" si="33"/>
        <v>193466693</v>
      </c>
      <c r="J104" s="312">
        <f t="shared" si="33"/>
        <v>0</v>
      </c>
      <c r="K104" s="312">
        <f t="shared" si="33"/>
        <v>0</v>
      </c>
      <c r="L104" s="312">
        <f t="shared" si="33"/>
        <v>0</v>
      </c>
      <c r="M104" s="312">
        <f t="shared" si="33"/>
        <v>0</v>
      </c>
      <c r="N104" s="312">
        <f t="shared" si="33"/>
        <v>0</v>
      </c>
      <c r="O104" s="312">
        <f t="shared" si="26"/>
        <v>1240364693</v>
      </c>
    </row>
    <row r="105" spans="1:23" s="269" customFormat="1" ht="15" customHeight="1">
      <c r="A105" s="794" t="s">
        <v>344</v>
      </c>
      <c r="B105" s="286" t="s">
        <v>345</v>
      </c>
      <c r="C105" s="309">
        <v>10146530</v>
      </c>
      <c r="D105" s="309">
        <v>9294055</v>
      </c>
      <c r="E105" s="309">
        <v>11703410</v>
      </c>
      <c r="F105" s="309">
        <v>11680540</v>
      </c>
      <c r="G105" s="309">
        <v>12924870</v>
      </c>
      <c r="H105" s="309">
        <v>16174070</v>
      </c>
      <c r="I105" s="309">
        <v>14545470</v>
      </c>
      <c r="J105" s="309"/>
      <c r="K105" s="309"/>
      <c r="L105" s="309"/>
      <c r="M105" s="309"/>
      <c r="N105" s="309"/>
      <c r="O105" s="309">
        <f t="shared" si="26"/>
        <v>86468945</v>
      </c>
      <c r="P105" s="271"/>
    </row>
    <row r="106" spans="1:23" s="269" customFormat="1" ht="15" customHeight="1">
      <c r="A106" s="794" t="s">
        <v>346</v>
      </c>
      <c r="B106" s="286" t="s">
        <v>347</v>
      </c>
      <c r="C106" s="309">
        <v>2448536</v>
      </c>
      <c r="D106" s="309">
        <v>2410619</v>
      </c>
      <c r="E106" s="309">
        <v>2301946</v>
      </c>
      <c r="F106" s="309">
        <v>2007424</v>
      </c>
      <c r="G106" s="309">
        <v>1620279</v>
      </c>
      <c r="H106" s="309">
        <v>1919789</v>
      </c>
      <c r="I106" s="309">
        <v>1805376</v>
      </c>
      <c r="J106" s="309"/>
      <c r="K106" s="309"/>
      <c r="L106" s="309"/>
      <c r="M106" s="309"/>
      <c r="N106" s="309"/>
      <c r="O106" s="309">
        <f t="shared" si="26"/>
        <v>14513969</v>
      </c>
    </row>
    <row r="107" spans="1:23" s="295" customFormat="1" ht="15" hidden="1" customHeight="1">
      <c r="A107" s="796" t="s">
        <v>348</v>
      </c>
      <c r="B107" s="314" t="s">
        <v>349</v>
      </c>
      <c r="C107" s="315"/>
      <c r="D107" s="315"/>
      <c r="E107" s="315"/>
      <c r="F107" s="315"/>
      <c r="G107" s="315"/>
      <c r="H107" s="315"/>
      <c r="I107" s="315"/>
      <c r="J107" s="315"/>
      <c r="K107" s="315"/>
      <c r="L107" s="315"/>
      <c r="M107" s="315"/>
      <c r="N107" s="315"/>
      <c r="O107" s="315">
        <f t="shared" si="26"/>
        <v>0</v>
      </c>
    </row>
    <row r="108" spans="1:23" s="269" customFormat="1" ht="15" customHeight="1">
      <c r="A108" s="794" t="s">
        <v>350</v>
      </c>
      <c r="B108" s="286" t="s">
        <v>351</v>
      </c>
      <c r="C108" s="309">
        <v>4097500</v>
      </c>
      <c r="D108" s="309">
        <v>4419811</v>
      </c>
      <c r="E108" s="309">
        <v>4496727</v>
      </c>
      <c r="F108" s="309">
        <v>5427517</v>
      </c>
      <c r="G108" s="309">
        <v>5440159</v>
      </c>
      <c r="H108" s="309">
        <v>5563936</v>
      </c>
      <c r="I108" s="309">
        <v>5587504</v>
      </c>
      <c r="J108" s="309"/>
      <c r="K108" s="309"/>
      <c r="L108" s="309"/>
      <c r="M108" s="309"/>
      <c r="N108" s="309"/>
      <c r="O108" s="309">
        <f t="shared" si="26"/>
        <v>35033154</v>
      </c>
    </row>
    <row r="109" spans="1:23" s="295" customFormat="1" ht="15" customHeight="1">
      <c r="A109" s="794" t="s">
        <v>352</v>
      </c>
      <c r="B109" s="286" t="s">
        <v>353</v>
      </c>
      <c r="C109" s="309">
        <v>7649200</v>
      </c>
      <c r="D109" s="309">
        <v>8266110</v>
      </c>
      <c r="E109" s="309">
        <v>9117640</v>
      </c>
      <c r="F109" s="309">
        <v>8278850</v>
      </c>
      <c r="G109" s="309">
        <v>7976220</v>
      </c>
      <c r="H109" s="309">
        <v>8867740</v>
      </c>
      <c r="I109" s="309">
        <v>8195180</v>
      </c>
      <c r="J109" s="309"/>
      <c r="K109" s="309"/>
      <c r="L109" s="309"/>
      <c r="M109" s="309"/>
      <c r="N109" s="309"/>
      <c r="O109" s="309">
        <f t="shared" si="26"/>
        <v>58350940</v>
      </c>
    </row>
    <row r="110" spans="1:23" s="311" customFormat="1" ht="29" hidden="1">
      <c r="A110" s="796" t="s">
        <v>354</v>
      </c>
      <c r="B110" s="314" t="s">
        <v>355</v>
      </c>
      <c r="C110" s="315"/>
      <c r="D110" s="315"/>
      <c r="E110" s="315"/>
      <c r="F110" s="315"/>
      <c r="G110" s="315"/>
      <c r="H110" s="315"/>
      <c r="I110" s="315"/>
      <c r="J110" s="315"/>
      <c r="K110" s="315"/>
      <c r="L110" s="315"/>
      <c r="M110" s="315"/>
      <c r="N110" s="315"/>
      <c r="O110" s="315">
        <f t="shared" si="26"/>
        <v>0</v>
      </c>
    </row>
    <row r="111" spans="1:23" s="295" customFormat="1" ht="15" hidden="1" customHeight="1">
      <c r="A111" s="796" t="s">
        <v>356</v>
      </c>
      <c r="B111" s="314" t="s">
        <v>357</v>
      </c>
      <c r="C111" s="315"/>
      <c r="D111" s="315"/>
      <c r="E111" s="315"/>
      <c r="F111" s="315"/>
      <c r="G111" s="315"/>
      <c r="H111" s="315"/>
      <c r="I111" s="315"/>
      <c r="J111" s="315"/>
      <c r="K111" s="315"/>
      <c r="L111" s="315"/>
      <c r="M111" s="315"/>
      <c r="N111" s="315"/>
      <c r="O111" s="315">
        <f t="shared" si="26"/>
        <v>0</v>
      </c>
    </row>
    <row r="112" spans="1:23" s="269" customFormat="1" ht="15" customHeight="1">
      <c r="A112" s="794" t="s">
        <v>358</v>
      </c>
      <c r="B112" s="286" t="s">
        <v>359</v>
      </c>
      <c r="C112" s="309">
        <v>7178799</v>
      </c>
      <c r="D112" s="309">
        <v>3626933</v>
      </c>
      <c r="E112" s="309">
        <v>4579542</v>
      </c>
      <c r="F112" s="309">
        <v>4359882</v>
      </c>
      <c r="G112" s="309">
        <v>11677526</v>
      </c>
      <c r="H112" s="309">
        <v>1819989</v>
      </c>
      <c r="I112" s="309">
        <v>1837363</v>
      </c>
      <c r="J112" s="309"/>
      <c r="K112" s="309"/>
      <c r="L112" s="309"/>
      <c r="M112" s="309"/>
      <c r="N112" s="309"/>
      <c r="O112" s="309">
        <f t="shared" si="26"/>
        <v>35080034</v>
      </c>
    </row>
    <row r="113" spans="1:16302" s="269" customFormat="1" ht="15" customHeight="1">
      <c r="A113" s="794" t="s">
        <v>360</v>
      </c>
      <c r="B113" s="286" t="s">
        <v>361</v>
      </c>
      <c r="C113" s="309">
        <v>16155279</v>
      </c>
      <c r="D113" s="309">
        <v>29642674</v>
      </c>
      <c r="E113" s="309">
        <v>71267083</v>
      </c>
      <c r="F113" s="309">
        <v>37954535</v>
      </c>
      <c r="G113" s="309">
        <v>34242907</v>
      </c>
      <c r="H113" s="309">
        <v>44417347</v>
      </c>
      <c r="I113" s="309">
        <v>26678885</v>
      </c>
      <c r="J113" s="309"/>
      <c r="K113" s="309"/>
      <c r="L113" s="309"/>
      <c r="M113" s="309"/>
      <c r="N113" s="309"/>
      <c r="O113" s="309">
        <f t="shared" si="26"/>
        <v>260358710</v>
      </c>
    </row>
    <row r="114" spans="1:16302" s="269" customFormat="1" ht="15" customHeight="1">
      <c r="A114" s="794" t="s">
        <v>362</v>
      </c>
      <c r="B114" s="286" t="s">
        <v>363</v>
      </c>
      <c r="C114" s="309"/>
      <c r="D114" s="309"/>
      <c r="E114" s="309"/>
      <c r="F114" s="309"/>
      <c r="G114" s="309"/>
      <c r="H114" s="309"/>
      <c r="I114" s="309"/>
      <c r="J114" s="309"/>
      <c r="K114" s="309"/>
      <c r="L114" s="309"/>
      <c r="M114" s="309"/>
      <c r="N114" s="309"/>
      <c r="O114" s="309">
        <f t="shared" si="26"/>
        <v>0</v>
      </c>
    </row>
    <row r="115" spans="1:16302" s="295" customFormat="1" ht="15" customHeight="1">
      <c r="A115" s="794" t="s">
        <v>364</v>
      </c>
      <c r="B115" s="286" t="s">
        <v>365</v>
      </c>
      <c r="C115" s="309"/>
      <c r="D115" s="309"/>
      <c r="E115" s="309"/>
      <c r="F115" s="309"/>
      <c r="G115" s="309">
        <v>5000</v>
      </c>
      <c r="H115" s="309"/>
      <c r="I115" s="309"/>
      <c r="J115" s="309"/>
      <c r="K115" s="309"/>
      <c r="L115" s="309"/>
      <c r="M115" s="309"/>
      <c r="N115" s="309"/>
      <c r="O115" s="309">
        <f t="shared" si="26"/>
        <v>5000</v>
      </c>
    </row>
    <row r="116" spans="1:16302" s="295" customFormat="1" ht="15" hidden="1" customHeight="1">
      <c r="A116" s="796" t="s">
        <v>366</v>
      </c>
      <c r="B116" s="314" t="s">
        <v>367</v>
      </c>
      <c r="C116" s="315"/>
      <c r="D116" s="315"/>
      <c r="E116" s="315"/>
      <c r="F116" s="315"/>
      <c r="G116" s="315"/>
      <c r="H116" s="315"/>
      <c r="I116" s="315"/>
      <c r="J116" s="315"/>
      <c r="K116" s="315"/>
      <c r="L116" s="315"/>
      <c r="M116" s="315"/>
      <c r="N116" s="315"/>
      <c r="O116" s="315">
        <f t="shared" si="26"/>
        <v>0</v>
      </c>
    </row>
    <row r="117" spans="1:16302" s="295" customFormat="1" ht="15" hidden="1" customHeight="1">
      <c r="A117" s="796" t="s">
        <v>368</v>
      </c>
      <c r="B117" s="314" t="s">
        <v>369</v>
      </c>
      <c r="C117" s="315"/>
      <c r="D117" s="352"/>
      <c r="E117" s="315"/>
      <c r="F117" s="352"/>
      <c r="G117" s="315"/>
      <c r="H117" s="352"/>
      <c r="I117" s="315"/>
      <c r="J117" s="352"/>
      <c r="K117" s="315"/>
      <c r="L117" s="352"/>
      <c r="M117" s="315"/>
      <c r="N117" s="352"/>
      <c r="O117" s="315">
        <f t="shared" si="26"/>
        <v>0</v>
      </c>
    </row>
    <row r="118" spans="1:16302" s="269" customFormat="1" ht="15" customHeight="1">
      <c r="A118" s="794" t="s">
        <v>370</v>
      </c>
      <c r="B118" s="286" t="s">
        <v>371</v>
      </c>
      <c r="C118" s="309"/>
      <c r="D118" s="309"/>
      <c r="E118" s="309"/>
      <c r="F118" s="309"/>
      <c r="G118" s="309"/>
      <c r="H118" s="309"/>
      <c r="I118" s="309"/>
      <c r="J118" s="309"/>
      <c r="K118" s="309"/>
      <c r="L118" s="309"/>
      <c r="M118" s="309"/>
      <c r="N118" s="309"/>
      <c r="O118" s="309">
        <f t="shared" si="26"/>
        <v>0</v>
      </c>
    </row>
    <row r="119" spans="1:16302" s="285" customFormat="1" ht="15" customHeight="1">
      <c r="A119" s="793" t="s">
        <v>372</v>
      </c>
      <c r="B119" s="298" t="s">
        <v>373</v>
      </c>
      <c r="C119" s="306">
        <f>+' AI_Receita DGA jul'!C15</f>
        <v>20383690</v>
      </c>
      <c r="D119" s="306">
        <f>+' AI_Receita DGA jul'!D15</f>
        <v>22099500</v>
      </c>
      <c r="E119" s="306">
        <f>+' AI_Receita DGA jul'!E15</f>
        <v>25103862</v>
      </c>
      <c r="F119" s="306">
        <f>+' AI_Receita DGA jul'!F15</f>
        <v>20327808</v>
      </c>
      <c r="G119" s="306">
        <f>+' AI_Receita DGA jul'!G15</f>
        <v>22596257</v>
      </c>
      <c r="H119" s="306">
        <f>+' AI_Receita DGA jul'!H15</f>
        <v>22880520</v>
      </c>
      <c r="I119" s="306">
        <f>+' AI_Receita DGA jul'!I15</f>
        <v>23764310</v>
      </c>
      <c r="J119" s="306">
        <f>+' AI_Receita DGA jul'!J15</f>
        <v>0</v>
      </c>
      <c r="K119" s="306">
        <f>+' AI_Receita DGA jul'!K15</f>
        <v>0</v>
      </c>
      <c r="L119" s="306">
        <f>+' AI_Receita DGA jul'!L15</f>
        <v>0</v>
      </c>
      <c r="M119" s="306">
        <f>+' AI_Receita DGA jul'!M15</f>
        <v>0</v>
      </c>
      <c r="N119" s="306">
        <f>+' AI_Receita DGA jul'!N15</f>
        <v>0</v>
      </c>
      <c r="O119" s="306">
        <f t="shared" si="26"/>
        <v>157155947</v>
      </c>
      <c r="P119" s="351"/>
      <c r="Q119" s="351"/>
      <c r="R119" s="351"/>
      <c r="S119" s="351"/>
      <c r="T119" s="351"/>
      <c r="U119" s="351"/>
      <c r="V119" s="351"/>
      <c r="W119" s="351"/>
    </row>
    <row r="120" spans="1:16302" s="285" customFormat="1" ht="15" customHeight="1">
      <c r="A120" s="794" t="s">
        <v>374</v>
      </c>
      <c r="B120" s="286" t="s">
        <v>375</v>
      </c>
      <c r="C120" s="309">
        <v>9777297</v>
      </c>
      <c r="D120" s="353">
        <v>8065927</v>
      </c>
      <c r="E120" s="309">
        <v>13544743</v>
      </c>
      <c r="F120" s="353">
        <v>11175586</v>
      </c>
      <c r="G120" s="309">
        <v>17371361</v>
      </c>
      <c r="H120" s="353">
        <v>18026113</v>
      </c>
      <c r="I120" s="309">
        <v>24819263</v>
      </c>
      <c r="J120" s="353"/>
      <c r="K120" s="309"/>
      <c r="L120" s="353"/>
      <c r="M120" s="309"/>
      <c r="N120" s="353"/>
      <c r="O120" s="309">
        <f t="shared" si="26"/>
        <v>102780290</v>
      </c>
      <c r="P120" s="351"/>
      <c r="Q120" s="351"/>
      <c r="R120" s="351"/>
      <c r="S120" s="351"/>
      <c r="T120" s="351"/>
      <c r="U120" s="351"/>
      <c r="V120" s="351"/>
      <c r="W120" s="351"/>
    </row>
    <row r="121" spans="1:16302" s="285" customFormat="1" ht="15" customHeight="1">
      <c r="A121" s="794" t="s">
        <v>376</v>
      </c>
      <c r="B121" s="286" t="s">
        <v>377</v>
      </c>
      <c r="C121" s="309"/>
      <c r="D121" s="353"/>
      <c r="E121" s="309"/>
      <c r="F121" s="353"/>
      <c r="G121" s="309"/>
      <c r="H121" s="353"/>
      <c r="I121" s="309"/>
      <c r="J121" s="353"/>
      <c r="K121" s="309"/>
      <c r="L121" s="353"/>
      <c r="M121" s="309"/>
      <c r="N121" s="353"/>
      <c r="O121" s="309">
        <f t="shared" si="26"/>
        <v>0</v>
      </c>
      <c r="P121" s="351"/>
      <c r="Q121" s="351"/>
      <c r="R121" s="351"/>
      <c r="S121" s="351"/>
      <c r="T121" s="351"/>
      <c r="U121" s="351"/>
      <c r="V121" s="351"/>
      <c r="W121" s="351"/>
      <c r="BS121" s="285" t="s">
        <v>376</v>
      </c>
      <c r="BT121" s="285" t="s">
        <v>377</v>
      </c>
      <c r="BU121" s="285" t="s">
        <v>376</v>
      </c>
      <c r="BV121" s="285" t="s">
        <v>377</v>
      </c>
      <c r="BW121" s="285" t="s">
        <v>376</v>
      </c>
      <c r="BX121" s="285" t="s">
        <v>377</v>
      </c>
      <c r="BY121" s="285" t="s">
        <v>376</v>
      </c>
      <c r="BZ121" s="285" t="s">
        <v>377</v>
      </c>
      <c r="CA121" s="285" t="s">
        <v>376</v>
      </c>
      <c r="CB121" s="285" t="s">
        <v>377</v>
      </c>
      <c r="CC121" s="285" t="s">
        <v>376</v>
      </c>
      <c r="CD121" s="285" t="s">
        <v>377</v>
      </c>
      <c r="CE121" s="285" t="s">
        <v>376</v>
      </c>
      <c r="CF121" s="285" t="s">
        <v>377</v>
      </c>
      <c r="CG121" s="285" t="s">
        <v>376</v>
      </c>
      <c r="CH121" s="285" t="s">
        <v>377</v>
      </c>
      <c r="CI121" s="285" t="s">
        <v>376</v>
      </c>
      <c r="CJ121" s="285" t="s">
        <v>377</v>
      </c>
      <c r="CK121" s="285" t="s">
        <v>376</v>
      </c>
      <c r="CL121" s="285" t="s">
        <v>377</v>
      </c>
      <c r="CM121" s="285" t="s">
        <v>376</v>
      </c>
      <c r="CN121" s="285" t="s">
        <v>377</v>
      </c>
      <c r="CO121" s="285" t="s">
        <v>376</v>
      </c>
      <c r="CP121" s="285" t="s">
        <v>377</v>
      </c>
      <c r="CQ121" s="285" t="s">
        <v>376</v>
      </c>
      <c r="CR121" s="285" t="s">
        <v>377</v>
      </c>
      <c r="CS121" s="285" t="s">
        <v>376</v>
      </c>
      <c r="CT121" s="285" t="s">
        <v>377</v>
      </c>
      <c r="CU121" s="285" t="s">
        <v>376</v>
      </c>
      <c r="CV121" s="285" t="s">
        <v>377</v>
      </c>
      <c r="CW121" s="285" t="s">
        <v>376</v>
      </c>
      <c r="CX121" s="285" t="s">
        <v>377</v>
      </c>
      <c r="CY121" s="285" t="s">
        <v>376</v>
      </c>
      <c r="CZ121" s="285" t="s">
        <v>377</v>
      </c>
      <c r="DA121" s="285" t="s">
        <v>376</v>
      </c>
      <c r="DB121" s="285" t="s">
        <v>377</v>
      </c>
      <c r="DC121" s="285" t="s">
        <v>376</v>
      </c>
      <c r="DD121" s="285" t="s">
        <v>377</v>
      </c>
      <c r="DE121" s="285" t="s">
        <v>376</v>
      </c>
      <c r="DF121" s="285" t="s">
        <v>377</v>
      </c>
      <c r="DG121" s="285" t="s">
        <v>376</v>
      </c>
      <c r="DH121" s="285" t="s">
        <v>377</v>
      </c>
      <c r="DI121" s="285" t="s">
        <v>376</v>
      </c>
      <c r="DJ121" s="285" t="s">
        <v>377</v>
      </c>
      <c r="DK121" s="285" t="s">
        <v>376</v>
      </c>
      <c r="DL121" s="285" t="s">
        <v>377</v>
      </c>
      <c r="DM121" s="285" t="s">
        <v>376</v>
      </c>
      <c r="DN121" s="285" t="s">
        <v>377</v>
      </c>
      <c r="DO121" s="285" t="s">
        <v>376</v>
      </c>
      <c r="DP121" s="285" t="s">
        <v>377</v>
      </c>
      <c r="DQ121" s="285" t="s">
        <v>376</v>
      </c>
      <c r="DR121" s="285" t="s">
        <v>377</v>
      </c>
      <c r="DS121" s="285" t="s">
        <v>376</v>
      </c>
      <c r="DT121" s="285" t="s">
        <v>377</v>
      </c>
      <c r="DU121" s="285" t="s">
        <v>376</v>
      </c>
      <c r="DV121" s="285" t="s">
        <v>377</v>
      </c>
      <c r="DW121" s="285" t="s">
        <v>376</v>
      </c>
      <c r="DX121" s="285" t="s">
        <v>377</v>
      </c>
      <c r="DY121" s="285" t="s">
        <v>376</v>
      </c>
      <c r="DZ121" s="285" t="s">
        <v>377</v>
      </c>
      <c r="EA121" s="285" t="s">
        <v>376</v>
      </c>
      <c r="EB121" s="285" t="s">
        <v>377</v>
      </c>
      <c r="EC121" s="285" t="s">
        <v>376</v>
      </c>
      <c r="ED121" s="285" t="s">
        <v>377</v>
      </c>
      <c r="EE121" s="285" t="s">
        <v>376</v>
      </c>
      <c r="EF121" s="285" t="s">
        <v>377</v>
      </c>
      <c r="EG121" s="285" t="s">
        <v>376</v>
      </c>
      <c r="EH121" s="285" t="s">
        <v>377</v>
      </c>
      <c r="EI121" s="285" t="s">
        <v>376</v>
      </c>
      <c r="EJ121" s="285" t="s">
        <v>377</v>
      </c>
      <c r="EK121" s="285" t="s">
        <v>376</v>
      </c>
      <c r="EL121" s="285" t="s">
        <v>377</v>
      </c>
      <c r="EM121" s="285" t="s">
        <v>376</v>
      </c>
      <c r="EN121" s="285" t="s">
        <v>377</v>
      </c>
      <c r="EO121" s="285" t="s">
        <v>376</v>
      </c>
      <c r="EP121" s="285" t="s">
        <v>377</v>
      </c>
      <c r="EQ121" s="285" t="s">
        <v>376</v>
      </c>
      <c r="ER121" s="285" t="s">
        <v>377</v>
      </c>
      <c r="ES121" s="285" t="s">
        <v>376</v>
      </c>
      <c r="ET121" s="285" t="s">
        <v>377</v>
      </c>
      <c r="EU121" s="285" t="s">
        <v>376</v>
      </c>
      <c r="EV121" s="285" t="s">
        <v>377</v>
      </c>
      <c r="EW121" s="285" t="s">
        <v>376</v>
      </c>
      <c r="EX121" s="285" t="s">
        <v>377</v>
      </c>
      <c r="EY121" s="285" t="s">
        <v>376</v>
      </c>
      <c r="EZ121" s="285" t="s">
        <v>377</v>
      </c>
      <c r="FA121" s="285" t="s">
        <v>376</v>
      </c>
      <c r="FB121" s="285" t="s">
        <v>377</v>
      </c>
      <c r="FC121" s="285" t="s">
        <v>376</v>
      </c>
      <c r="FD121" s="285" t="s">
        <v>377</v>
      </c>
      <c r="FE121" s="285" t="s">
        <v>376</v>
      </c>
      <c r="FF121" s="285" t="s">
        <v>377</v>
      </c>
      <c r="FG121" s="285" t="s">
        <v>376</v>
      </c>
      <c r="FH121" s="285" t="s">
        <v>377</v>
      </c>
      <c r="FI121" s="285" t="s">
        <v>376</v>
      </c>
      <c r="FJ121" s="285" t="s">
        <v>377</v>
      </c>
      <c r="FK121" s="285" t="s">
        <v>376</v>
      </c>
      <c r="FL121" s="285" t="s">
        <v>377</v>
      </c>
      <c r="FM121" s="285" t="s">
        <v>376</v>
      </c>
      <c r="FN121" s="285" t="s">
        <v>377</v>
      </c>
      <c r="FO121" s="285" t="s">
        <v>376</v>
      </c>
      <c r="FP121" s="285" t="s">
        <v>377</v>
      </c>
      <c r="FQ121" s="285" t="s">
        <v>376</v>
      </c>
      <c r="FR121" s="285" t="s">
        <v>377</v>
      </c>
      <c r="FS121" s="285" t="s">
        <v>376</v>
      </c>
      <c r="FT121" s="285" t="s">
        <v>377</v>
      </c>
      <c r="FU121" s="285" t="s">
        <v>376</v>
      </c>
      <c r="FV121" s="285" t="s">
        <v>377</v>
      </c>
      <c r="FW121" s="285" t="s">
        <v>376</v>
      </c>
      <c r="FX121" s="285" t="s">
        <v>377</v>
      </c>
      <c r="FY121" s="285" t="s">
        <v>376</v>
      </c>
      <c r="FZ121" s="285" t="s">
        <v>377</v>
      </c>
      <c r="GA121" s="285" t="s">
        <v>376</v>
      </c>
      <c r="GB121" s="285" t="s">
        <v>377</v>
      </c>
      <c r="GC121" s="285" t="s">
        <v>376</v>
      </c>
      <c r="GD121" s="285" t="s">
        <v>377</v>
      </c>
      <c r="GE121" s="285" t="s">
        <v>376</v>
      </c>
      <c r="GF121" s="285" t="s">
        <v>377</v>
      </c>
      <c r="GG121" s="285" t="s">
        <v>376</v>
      </c>
      <c r="GH121" s="285" t="s">
        <v>377</v>
      </c>
      <c r="GI121" s="285" t="s">
        <v>376</v>
      </c>
      <c r="GJ121" s="285" t="s">
        <v>377</v>
      </c>
      <c r="GK121" s="285" t="s">
        <v>376</v>
      </c>
      <c r="GL121" s="285" t="s">
        <v>377</v>
      </c>
      <c r="GM121" s="285" t="s">
        <v>376</v>
      </c>
      <c r="GN121" s="285" t="s">
        <v>377</v>
      </c>
      <c r="GO121" s="285" t="s">
        <v>376</v>
      </c>
      <c r="GP121" s="285" t="s">
        <v>377</v>
      </c>
      <c r="GQ121" s="285" t="s">
        <v>376</v>
      </c>
      <c r="GR121" s="285" t="s">
        <v>377</v>
      </c>
      <c r="GS121" s="285" t="s">
        <v>376</v>
      </c>
      <c r="GT121" s="285" t="s">
        <v>377</v>
      </c>
      <c r="GU121" s="285" t="s">
        <v>376</v>
      </c>
      <c r="GV121" s="285" t="s">
        <v>377</v>
      </c>
      <c r="GW121" s="285" t="s">
        <v>376</v>
      </c>
      <c r="GX121" s="285" t="s">
        <v>377</v>
      </c>
      <c r="GY121" s="285" t="s">
        <v>376</v>
      </c>
      <c r="GZ121" s="285" t="s">
        <v>377</v>
      </c>
      <c r="HA121" s="285" t="s">
        <v>376</v>
      </c>
      <c r="HB121" s="285" t="s">
        <v>377</v>
      </c>
      <c r="HC121" s="285" t="s">
        <v>376</v>
      </c>
      <c r="HD121" s="285" t="s">
        <v>377</v>
      </c>
      <c r="HE121" s="285" t="s">
        <v>376</v>
      </c>
      <c r="HF121" s="285" t="s">
        <v>377</v>
      </c>
      <c r="HG121" s="285" t="s">
        <v>376</v>
      </c>
      <c r="HH121" s="285" t="s">
        <v>377</v>
      </c>
      <c r="HI121" s="285" t="s">
        <v>376</v>
      </c>
      <c r="HJ121" s="285" t="s">
        <v>377</v>
      </c>
      <c r="HK121" s="285" t="s">
        <v>376</v>
      </c>
      <c r="HL121" s="285" t="s">
        <v>377</v>
      </c>
      <c r="HM121" s="285" t="s">
        <v>376</v>
      </c>
      <c r="HN121" s="285" t="s">
        <v>377</v>
      </c>
      <c r="HO121" s="285" t="s">
        <v>376</v>
      </c>
      <c r="HP121" s="285" t="s">
        <v>377</v>
      </c>
      <c r="HQ121" s="285" t="s">
        <v>376</v>
      </c>
      <c r="HR121" s="285" t="s">
        <v>377</v>
      </c>
      <c r="HS121" s="285" t="s">
        <v>376</v>
      </c>
      <c r="HT121" s="285" t="s">
        <v>377</v>
      </c>
      <c r="HU121" s="285" t="s">
        <v>376</v>
      </c>
      <c r="HV121" s="285" t="s">
        <v>377</v>
      </c>
      <c r="HW121" s="285" t="s">
        <v>376</v>
      </c>
      <c r="HX121" s="285" t="s">
        <v>377</v>
      </c>
      <c r="HY121" s="285" t="s">
        <v>376</v>
      </c>
      <c r="HZ121" s="285" t="s">
        <v>377</v>
      </c>
      <c r="IA121" s="285" t="s">
        <v>376</v>
      </c>
      <c r="IB121" s="285" t="s">
        <v>377</v>
      </c>
      <c r="IC121" s="285" t="s">
        <v>376</v>
      </c>
      <c r="ID121" s="285" t="s">
        <v>377</v>
      </c>
      <c r="IE121" s="285" t="s">
        <v>376</v>
      </c>
      <c r="IF121" s="285" t="s">
        <v>377</v>
      </c>
      <c r="IG121" s="285" t="s">
        <v>376</v>
      </c>
      <c r="IH121" s="285" t="s">
        <v>377</v>
      </c>
      <c r="II121" s="285" t="s">
        <v>376</v>
      </c>
      <c r="IJ121" s="285" t="s">
        <v>377</v>
      </c>
      <c r="IK121" s="285" t="s">
        <v>376</v>
      </c>
      <c r="IL121" s="285" t="s">
        <v>377</v>
      </c>
      <c r="IM121" s="285" t="s">
        <v>376</v>
      </c>
      <c r="IN121" s="285" t="s">
        <v>377</v>
      </c>
      <c r="IO121" s="285" t="s">
        <v>376</v>
      </c>
      <c r="IP121" s="285" t="s">
        <v>377</v>
      </c>
      <c r="IQ121" s="285" t="s">
        <v>376</v>
      </c>
      <c r="IR121" s="285" t="s">
        <v>377</v>
      </c>
      <c r="IS121" s="285" t="s">
        <v>376</v>
      </c>
      <c r="IT121" s="285" t="s">
        <v>377</v>
      </c>
      <c r="IU121" s="285" t="s">
        <v>376</v>
      </c>
      <c r="IV121" s="285" t="s">
        <v>377</v>
      </c>
      <c r="IW121" s="285" t="s">
        <v>376</v>
      </c>
      <c r="IX121" s="285" t="s">
        <v>377</v>
      </c>
      <c r="IY121" s="285" t="s">
        <v>376</v>
      </c>
      <c r="IZ121" s="285" t="s">
        <v>377</v>
      </c>
      <c r="JA121" s="285" t="s">
        <v>376</v>
      </c>
      <c r="JB121" s="285" t="s">
        <v>377</v>
      </c>
      <c r="JC121" s="285" t="s">
        <v>376</v>
      </c>
      <c r="JD121" s="285" t="s">
        <v>377</v>
      </c>
      <c r="JE121" s="285" t="s">
        <v>376</v>
      </c>
      <c r="JF121" s="285" t="s">
        <v>377</v>
      </c>
      <c r="JG121" s="285" t="s">
        <v>376</v>
      </c>
      <c r="JH121" s="285" t="s">
        <v>377</v>
      </c>
      <c r="JI121" s="285" t="s">
        <v>376</v>
      </c>
      <c r="JJ121" s="285" t="s">
        <v>377</v>
      </c>
      <c r="JK121" s="285" t="s">
        <v>376</v>
      </c>
      <c r="JL121" s="285" t="s">
        <v>377</v>
      </c>
      <c r="JM121" s="285" t="s">
        <v>376</v>
      </c>
      <c r="JN121" s="285" t="s">
        <v>377</v>
      </c>
      <c r="JO121" s="285" t="s">
        <v>376</v>
      </c>
      <c r="JP121" s="285" t="s">
        <v>377</v>
      </c>
      <c r="JQ121" s="285" t="s">
        <v>376</v>
      </c>
      <c r="JR121" s="285" t="s">
        <v>377</v>
      </c>
      <c r="JS121" s="285" t="s">
        <v>376</v>
      </c>
      <c r="JT121" s="285" t="s">
        <v>377</v>
      </c>
      <c r="JU121" s="285" t="s">
        <v>376</v>
      </c>
      <c r="JV121" s="285" t="s">
        <v>377</v>
      </c>
      <c r="JW121" s="285" t="s">
        <v>376</v>
      </c>
      <c r="JX121" s="285" t="s">
        <v>377</v>
      </c>
      <c r="JY121" s="285" t="s">
        <v>376</v>
      </c>
      <c r="JZ121" s="285" t="s">
        <v>377</v>
      </c>
      <c r="KA121" s="285" t="s">
        <v>376</v>
      </c>
      <c r="KB121" s="285" t="s">
        <v>377</v>
      </c>
      <c r="KC121" s="285" t="s">
        <v>376</v>
      </c>
      <c r="KD121" s="285" t="s">
        <v>377</v>
      </c>
      <c r="KE121" s="285" t="s">
        <v>376</v>
      </c>
      <c r="KF121" s="285" t="s">
        <v>377</v>
      </c>
      <c r="KG121" s="285" t="s">
        <v>376</v>
      </c>
      <c r="KH121" s="285" t="s">
        <v>377</v>
      </c>
      <c r="KI121" s="285" t="s">
        <v>376</v>
      </c>
      <c r="KJ121" s="285" t="s">
        <v>377</v>
      </c>
      <c r="KK121" s="285" t="s">
        <v>376</v>
      </c>
      <c r="KL121" s="285" t="s">
        <v>377</v>
      </c>
      <c r="KM121" s="285" t="s">
        <v>376</v>
      </c>
      <c r="KN121" s="285" t="s">
        <v>377</v>
      </c>
      <c r="KO121" s="285" t="s">
        <v>376</v>
      </c>
      <c r="KP121" s="285" t="s">
        <v>377</v>
      </c>
      <c r="KQ121" s="285" t="s">
        <v>376</v>
      </c>
      <c r="KR121" s="285" t="s">
        <v>377</v>
      </c>
      <c r="KS121" s="285" t="s">
        <v>376</v>
      </c>
      <c r="KT121" s="285" t="s">
        <v>377</v>
      </c>
      <c r="KU121" s="285" t="s">
        <v>376</v>
      </c>
      <c r="KV121" s="285" t="s">
        <v>377</v>
      </c>
      <c r="KW121" s="285" t="s">
        <v>376</v>
      </c>
      <c r="KX121" s="285" t="s">
        <v>377</v>
      </c>
      <c r="KY121" s="285" t="s">
        <v>376</v>
      </c>
      <c r="KZ121" s="285" t="s">
        <v>377</v>
      </c>
      <c r="LA121" s="285" t="s">
        <v>376</v>
      </c>
      <c r="LB121" s="285" t="s">
        <v>377</v>
      </c>
      <c r="LC121" s="285" t="s">
        <v>376</v>
      </c>
      <c r="LD121" s="285" t="s">
        <v>377</v>
      </c>
      <c r="LE121" s="285" t="s">
        <v>376</v>
      </c>
      <c r="LF121" s="285" t="s">
        <v>377</v>
      </c>
      <c r="LG121" s="285" t="s">
        <v>376</v>
      </c>
      <c r="LH121" s="285" t="s">
        <v>377</v>
      </c>
      <c r="LI121" s="285" t="s">
        <v>376</v>
      </c>
      <c r="LJ121" s="285" t="s">
        <v>377</v>
      </c>
      <c r="LK121" s="285" t="s">
        <v>376</v>
      </c>
      <c r="LL121" s="285" t="s">
        <v>377</v>
      </c>
      <c r="LM121" s="285" t="s">
        <v>376</v>
      </c>
      <c r="LN121" s="285" t="s">
        <v>377</v>
      </c>
      <c r="LO121" s="285" t="s">
        <v>376</v>
      </c>
      <c r="LP121" s="285" t="s">
        <v>377</v>
      </c>
      <c r="LQ121" s="285" t="s">
        <v>376</v>
      </c>
      <c r="LR121" s="285" t="s">
        <v>377</v>
      </c>
      <c r="LS121" s="285" t="s">
        <v>376</v>
      </c>
      <c r="LT121" s="285" t="s">
        <v>377</v>
      </c>
      <c r="LU121" s="285" t="s">
        <v>376</v>
      </c>
      <c r="LV121" s="285" t="s">
        <v>377</v>
      </c>
      <c r="LW121" s="285" t="s">
        <v>376</v>
      </c>
      <c r="LX121" s="285" t="s">
        <v>377</v>
      </c>
      <c r="LY121" s="285" t="s">
        <v>376</v>
      </c>
      <c r="LZ121" s="285" t="s">
        <v>377</v>
      </c>
      <c r="MA121" s="285" t="s">
        <v>376</v>
      </c>
      <c r="MB121" s="285" t="s">
        <v>377</v>
      </c>
      <c r="MC121" s="285" t="s">
        <v>376</v>
      </c>
      <c r="MD121" s="285" t="s">
        <v>377</v>
      </c>
      <c r="ME121" s="285" t="s">
        <v>376</v>
      </c>
      <c r="MF121" s="285" t="s">
        <v>377</v>
      </c>
      <c r="MG121" s="285" t="s">
        <v>376</v>
      </c>
      <c r="MH121" s="285" t="s">
        <v>377</v>
      </c>
      <c r="MI121" s="285" t="s">
        <v>376</v>
      </c>
      <c r="MJ121" s="285" t="s">
        <v>377</v>
      </c>
      <c r="MK121" s="285" t="s">
        <v>376</v>
      </c>
      <c r="ML121" s="285" t="s">
        <v>377</v>
      </c>
      <c r="MM121" s="285" t="s">
        <v>376</v>
      </c>
      <c r="MN121" s="285" t="s">
        <v>377</v>
      </c>
      <c r="MO121" s="285" t="s">
        <v>376</v>
      </c>
      <c r="MP121" s="285" t="s">
        <v>377</v>
      </c>
      <c r="MQ121" s="285" t="s">
        <v>376</v>
      </c>
      <c r="MR121" s="285" t="s">
        <v>377</v>
      </c>
      <c r="MS121" s="285" t="s">
        <v>376</v>
      </c>
      <c r="MT121" s="285" t="s">
        <v>377</v>
      </c>
      <c r="MU121" s="285" t="s">
        <v>376</v>
      </c>
      <c r="MV121" s="285" t="s">
        <v>377</v>
      </c>
      <c r="MW121" s="285" t="s">
        <v>376</v>
      </c>
      <c r="MX121" s="285" t="s">
        <v>377</v>
      </c>
      <c r="MY121" s="285" t="s">
        <v>376</v>
      </c>
      <c r="MZ121" s="285" t="s">
        <v>377</v>
      </c>
      <c r="NA121" s="285" t="s">
        <v>376</v>
      </c>
      <c r="NB121" s="285" t="s">
        <v>377</v>
      </c>
      <c r="NC121" s="285" t="s">
        <v>376</v>
      </c>
      <c r="ND121" s="285" t="s">
        <v>377</v>
      </c>
      <c r="NE121" s="285" t="s">
        <v>376</v>
      </c>
      <c r="NF121" s="285" t="s">
        <v>377</v>
      </c>
      <c r="NG121" s="285" t="s">
        <v>376</v>
      </c>
      <c r="NH121" s="285" t="s">
        <v>377</v>
      </c>
      <c r="NI121" s="285" t="s">
        <v>376</v>
      </c>
      <c r="NJ121" s="285" t="s">
        <v>377</v>
      </c>
      <c r="NK121" s="285" t="s">
        <v>376</v>
      </c>
      <c r="NL121" s="285" t="s">
        <v>377</v>
      </c>
      <c r="NM121" s="285" t="s">
        <v>376</v>
      </c>
      <c r="NN121" s="285" t="s">
        <v>377</v>
      </c>
      <c r="NO121" s="285" t="s">
        <v>376</v>
      </c>
      <c r="NP121" s="285" t="s">
        <v>377</v>
      </c>
      <c r="NQ121" s="285" t="s">
        <v>376</v>
      </c>
      <c r="NR121" s="285" t="s">
        <v>377</v>
      </c>
      <c r="NS121" s="285" t="s">
        <v>376</v>
      </c>
      <c r="NT121" s="285" t="s">
        <v>377</v>
      </c>
      <c r="NU121" s="285" t="s">
        <v>376</v>
      </c>
      <c r="NV121" s="285" t="s">
        <v>377</v>
      </c>
      <c r="NW121" s="285" t="s">
        <v>376</v>
      </c>
      <c r="NX121" s="285" t="s">
        <v>377</v>
      </c>
      <c r="NY121" s="285" t="s">
        <v>376</v>
      </c>
      <c r="NZ121" s="285" t="s">
        <v>377</v>
      </c>
      <c r="OA121" s="285" t="s">
        <v>376</v>
      </c>
      <c r="OB121" s="285" t="s">
        <v>377</v>
      </c>
      <c r="OC121" s="285" t="s">
        <v>376</v>
      </c>
      <c r="OD121" s="285" t="s">
        <v>377</v>
      </c>
      <c r="OE121" s="285" t="s">
        <v>376</v>
      </c>
      <c r="OF121" s="285" t="s">
        <v>377</v>
      </c>
      <c r="OG121" s="285" t="s">
        <v>376</v>
      </c>
      <c r="OH121" s="285" t="s">
        <v>377</v>
      </c>
      <c r="OI121" s="285" t="s">
        <v>376</v>
      </c>
      <c r="OJ121" s="285" t="s">
        <v>377</v>
      </c>
      <c r="OK121" s="285" t="s">
        <v>376</v>
      </c>
      <c r="OL121" s="285" t="s">
        <v>377</v>
      </c>
      <c r="OM121" s="285" t="s">
        <v>376</v>
      </c>
      <c r="ON121" s="285" t="s">
        <v>377</v>
      </c>
      <c r="OO121" s="285" t="s">
        <v>376</v>
      </c>
      <c r="OP121" s="285" t="s">
        <v>377</v>
      </c>
      <c r="OQ121" s="285" t="s">
        <v>376</v>
      </c>
      <c r="OR121" s="285" t="s">
        <v>377</v>
      </c>
      <c r="OS121" s="285" t="s">
        <v>376</v>
      </c>
      <c r="OT121" s="285" t="s">
        <v>377</v>
      </c>
      <c r="OU121" s="285" t="s">
        <v>376</v>
      </c>
      <c r="OV121" s="285" t="s">
        <v>377</v>
      </c>
      <c r="OW121" s="285" t="s">
        <v>376</v>
      </c>
      <c r="OX121" s="285" t="s">
        <v>377</v>
      </c>
      <c r="OY121" s="285" t="s">
        <v>376</v>
      </c>
      <c r="OZ121" s="285" t="s">
        <v>377</v>
      </c>
      <c r="PA121" s="285" t="s">
        <v>376</v>
      </c>
      <c r="PB121" s="285" t="s">
        <v>377</v>
      </c>
      <c r="PC121" s="285" t="s">
        <v>376</v>
      </c>
      <c r="PD121" s="285" t="s">
        <v>377</v>
      </c>
      <c r="PE121" s="285" t="s">
        <v>376</v>
      </c>
      <c r="PF121" s="285" t="s">
        <v>377</v>
      </c>
      <c r="PG121" s="285" t="s">
        <v>376</v>
      </c>
      <c r="PH121" s="285" t="s">
        <v>377</v>
      </c>
      <c r="PI121" s="285" t="s">
        <v>376</v>
      </c>
      <c r="PJ121" s="285" t="s">
        <v>377</v>
      </c>
      <c r="PK121" s="285" t="s">
        <v>376</v>
      </c>
      <c r="PL121" s="285" t="s">
        <v>377</v>
      </c>
      <c r="PM121" s="285" t="s">
        <v>376</v>
      </c>
      <c r="PN121" s="285" t="s">
        <v>377</v>
      </c>
      <c r="PO121" s="285" t="s">
        <v>376</v>
      </c>
      <c r="PP121" s="285" t="s">
        <v>377</v>
      </c>
      <c r="PQ121" s="285" t="s">
        <v>376</v>
      </c>
      <c r="PR121" s="285" t="s">
        <v>377</v>
      </c>
      <c r="PS121" s="285" t="s">
        <v>376</v>
      </c>
      <c r="PT121" s="285" t="s">
        <v>377</v>
      </c>
      <c r="PU121" s="285" t="s">
        <v>376</v>
      </c>
      <c r="PV121" s="285" t="s">
        <v>377</v>
      </c>
      <c r="PW121" s="285" t="s">
        <v>376</v>
      </c>
      <c r="PX121" s="285" t="s">
        <v>377</v>
      </c>
      <c r="PY121" s="285" t="s">
        <v>376</v>
      </c>
      <c r="PZ121" s="285" t="s">
        <v>377</v>
      </c>
      <c r="QA121" s="285" t="s">
        <v>376</v>
      </c>
      <c r="QB121" s="285" t="s">
        <v>377</v>
      </c>
      <c r="QC121" s="285" t="s">
        <v>376</v>
      </c>
      <c r="QD121" s="285" t="s">
        <v>377</v>
      </c>
      <c r="QE121" s="285" t="s">
        <v>376</v>
      </c>
      <c r="QF121" s="285" t="s">
        <v>377</v>
      </c>
      <c r="QG121" s="285" t="s">
        <v>376</v>
      </c>
      <c r="QH121" s="285" t="s">
        <v>377</v>
      </c>
      <c r="QI121" s="285" t="s">
        <v>376</v>
      </c>
      <c r="QJ121" s="285" t="s">
        <v>377</v>
      </c>
      <c r="QK121" s="285" t="s">
        <v>376</v>
      </c>
      <c r="QL121" s="285" t="s">
        <v>377</v>
      </c>
      <c r="QM121" s="285" t="s">
        <v>376</v>
      </c>
      <c r="QN121" s="285" t="s">
        <v>377</v>
      </c>
      <c r="QO121" s="285" t="s">
        <v>376</v>
      </c>
      <c r="QP121" s="285" t="s">
        <v>377</v>
      </c>
      <c r="QQ121" s="285" t="s">
        <v>376</v>
      </c>
      <c r="QR121" s="285" t="s">
        <v>377</v>
      </c>
      <c r="QS121" s="285" t="s">
        <v>376</v>
      </c>
      <c r="QT121" s="285" t="s">
        <v>377</v>
      </c>
      <c r="QU121" s="285" t="s">
        <v>376</v>
      </c>
      <c r="QV121" s="285" t="s">
        <v>377</v>
      </c>
      <c r="QW121" s="285" t="s">
        <v>376</v>
      </c>
      <c r="QX121" s="285" t="s">
        <v>377</v>
      </c>
      <c r="QY121" s="285" t="s">
        <v>376</v>
      </c>
      <c r="QZ121" s="285" t="s">
        <v>377</v>
      </c>
      <c r="RA121" s="285" t="s">
        <v>376</v>
      </c>
      <c r="RB121" s="285" t="s">
        <v>377</v>
      </c>
      <c r="RC121" s="285" t="s">
        <v>376</v>
      </c>
      <c r="RD121" s="285" t="s">
        <v>377</v>
      </c>
      <c r="RE121" s="285" t="s">
        <v>376</v>
      </c>
      <c r="RF121" s="285" t="s">
        <v>377</v>
      </c>
      <c r="RG121" s="285" t="s">
        <v>376</v>
      </c>
      <c r="RH121" s="285" t="s">
        <v>377</v>
      </c>
      <c r="RI121" s="285" t="s">
        <v>376</v>
      </c>
      <c r="RJ121" s="285" t="s">
        <v>377</v>
      </c>
      <c r="RK121" s="285" t="s">
        <v>376</v>
      </c>
      <c r="RL121" s="285" t="s">
        <v>377</v>
      </c>
      <c r="RM121" s="285" t="s">
        <v>376</v>
      </c>
      <c r="RN121" s="285" t="s">
        <v>377</v>
      </c>
      <c r="RO121" s="285" t="s">
        <v>376</v>
      </c>
      <c r="RP121" s="285" t="s">
        <v>377</v>
      </c>
      <c r="RQ121" s="285" t="s">
        <v>376</v>
      </c>
      <c r="RR121" s="285" t="s">
        <v>377</v>
      </c>
      <c r="RS121" s="285" t="s">
        <v>376</v>
      </c>
      <c r="RT121" s="285" t="s">
        <v>377</v>
      </c>
      <c r="RU121" s="285" t="s">
        <v>376</v>
      </c>
      <c r="RV121" s="285" t="s">
        <v>377</v>
      </c>
      <c r="RW121" s="285" t="s">
        <v>376</v>
      </c>
      <c r="RX121" s="285" t="s">
        <v>377</v>
      </c>
      <c r="RY121" s="285" t="s">
        <v>376</v>
      </c>
      <c r="RZ121" s="285" t="s">
        <v>377</v>
      </c>
      <c r="SA121" s="285" t="s">
        <v>376</v>
      </c>
      <c r="SB121" s="285" t="s">
        <v>377</v>
      </c>
      <c r="SC121" s="285" t="s">
        <v>376</v>
      </c>
      <c r="SD121" s="285" t="s">
        <v>377</v>
      </c>
      <c r="SE121" s="285" t="s">
        <v>376</v>
      </c>
      <c r="SF121" s="285" t="s">
        <v>377</v>
      </c>
      <c r="SG121" s="285" t="s">
        <v>376</v>
      </c>
      <c r="SH121" s="285" t="s">
        <v>377</v>
      </c>
      <c r="SI121" s="285" t="s">
        <v>376</v>
      </c>
      <c r="SJ121" s="285" t="s">
        <v>377</v>
      </c>
      <c r="SK121" s="285" t="s">
        <v>376</v>
      </c>
      <c r="SL121" s="285" t="s">
        <v>377</v>
      </c>
      <c r="SM121" s="285" t="s">
        <v>376</v>
      </c>
      <c r="SN121" s="285" t="s">
        <v>377</v>
      </c>
      <c r="SO121" s="285" t="s">
        <v>376</v>
      </c>
      <c r="SP121" s="285" t="s">
        <v>377</v>
      </c>
      <c r="SQ121" s="285" t="s">
        <v>376</v>
      </c>
      <c r="SR121" s="285" t="s">
        <v>377</v>
      </c>
      <c r="SS121" s="285" t="s">
        <v>376</v>
      </c>
      <c r="ST121" s="285" t="s">
        <v>377</v>
      </c>
      <c r="SU121" s="285" t="s">
        <v>376</v>
      </c>
      <c r="SV121" s="285" t="s">
        <v>377</v>
      </c>
      <c r="SW121" s="285" t="s">
        <v>376</v>
      </c>
      <c r="SX121" s="285" t="s">
        <v>377</v>
      </c>
      <c r="SY121" s="285" t="s">
        <v>376</v>
      </c>
      <c r="SZ121" s="285" t="s">
        <v>377</v>
      </c>
      <c r="TA121" s="285" t="s">
        <v>376</v>
      </c>
      <c r="TB121" s="285" t="s">
        <v>377</v>
      </c>
      <c r="TC121" s="285" t="s">
        <v>376</v>
      </c>
      <c r="TD121" s="285" t="s">
        <v>377</v>
      </c>
      <c r="TE121" s="285" t="s">
        <v>376</v>
      </c>
      <c r="TF121" s="285" t="s">
        <v>377</v>
      </c>
      <c r="TG121" s="285" t="s">
        <v>376</v>
      </c>
      <c r="TH121" s="285" t="s">
        <v>377</v>
      </c>
      <c r="TI121" s="285" t="s">
        <v>376</v>
      </c>
      <c r="TJ121" s="285" t="s">
        <v>377</v>
      </c>
      <c r="TK121" s="285" t="s">
        <v>376</v>
      </c>
      <c r="TL121" s="285" t="s">
        <v>377</v>
      </c>
      <c r="TM121" s="285" t="s">
        <v>376</v>
      </c>
      <c r="TN121" s="285" t="s">
        <v>377</v>
      </c>
      <c r="TO121" s="285" t="s">
        <v>376</v>
      </c>
      <c r="TP121" s="285" t="s">
        <v>377</v>
      </c>
      <c r="TQ121" s="285" t="s">
        <v>376</v>
      </c>
      <c r="TR121" s="285" t="s">
        <v>377</v>
      </c>
      <c r="TS121" s="285" t="s">
        <v>376</v>
      </c>
      <c r="TT121" s="285" t="s">
        <v>377</v>
      </c>
      <c r="TU121" s="285" t="s">
        <v>376</v>
      </c>
      <c r="TV121" s="285" t="s">
        <v>377</v>
      </c>
      <c r="TW121" s="285" t="s">
        <v>376</v>
      </c>
      <c r="TX121" s="285" t="s">
        <v>377</v>
      </c>
      <c r="TY121" s="285" t="s">
        <v>376</v>
      </c>
      <c r="TZ121" s="285" t="s">
        <v>377</v>
      </c>
      <c r="UA121" s="285" t="s">
        <v>376</v>
      </c>
      <c r="UB121" s="285" t="s">
        <v>377</v>
      </c>
      <c r="UC121" s="285" t="s">
        <v>376</v>
      </c>
      <c r="UD121" s="285" t="s">
        <v>377</v>
      </c>
      <c r="UE121" s="285" t="s">
        <v>376</v>
      </c>
      <c r="UF121" s="285" t="s">
        <v>377</v>
      </c>
      <c r="UG121" s="285" t="s">
        <v>376</v>
      </c>
      <c r="UH121" s="285" t="s">
        <v>377</v>
      </c>
      <c r="UI121" s="285" t="s">
        <v>376</v>
      </c>
      <c r="UJ121" s="285" t="s">
        <v>377</v>
      </c>
      <c r="UK121" s="285" t="s">
        <v>376</v>
      </c>
      <c r="UL121" s="285" t="s">
        <v>377</v>
      </c>
      <c r="UM121" s="285" t="s">
        <v>376</v>
      </c>
      <c r="UN121" s="285" t="s">
        <v>377</v>
      </c>
      <c r="UO121" s="285" t="s">
        <v>376</v>
      </c>
      <c r="UP121" s="285" t="s">
        <v>377</v>
      </c>
      <c r="UQ121" s="285" t="s">
        <v>376</v>
      </c>
      <c r="UR121" s="285" t="s">
        <v>377</v>
      </c>
      <c r="US121" s="285" t="s">
        <v>376</v>
      </c>
      <c r="UT121" s="285" t="s">
        <v>377</v>
      </c>
      <c r="UU121" s="285" t="s">
        <v>376</v>
      </c>
      <c r="UV121" s="285" t="s">
        <v>377</v>
      </c>
      <c r="UW121" s="285" t="s">
        <v>376</v>
      </c>
      <c r="UX121" s="285" t="s">
        <v>377</v>
      </c>
      <c r="UY121" s="285" t="s">
        <v>376</v>
      </c>
      <c r="UZ121" s="285" t="s">
        <v>377</v>
      </c>
      <c r="VA121" s="285" t="s">
        <v>376</v>
      </c>
      <c r="VB121" s="285" t="s">
        <v>377</v>
      </c>
      <c r="VC121" s="285" t="s">
        <v>376</v>
      </c>
      <c r="VD121" s="285" t="s">
        <v>377</v>
      </c>
      <c r="VE121" s="285" t="s">
        <v>376</v>
      </c>
      <c r="VF121" s="285" t="s">
        <v>377</v>
      </c>
      <c r="VG121" s="285" t="s">
        <v>376</v>
      </c>
      <c r="VH121" s="285" t="s">
        <v>377</v>
      </c>
      <c r="VI121" s="285" t="s">
        <v>376</v>
      </c>
      <c r="VJ121" s="285" t="s">
        <v>377</v>
      </c>
      <c r="VK121" s="285" t="s">
        <v>376</v>
      </c>
      <c r="VL121" s="285" t="s">
        <v>377</v>
      </c>
      <c r="VM121" s="285" t="s">
        <v>376</v>
      </c>
      <c r="VN121" s="285" t="s">
        <v>377</v>
      </c>
      <c r="VO121" s="285" t="s">
        <v>376</v>
      </c>
      <c r="VP121" s="285" t="s">
        <v>377</v>
      </c>
      <c r="VQ121" s="285" t="s">
        <v>376</v>
      </c>
      <c r="VR121" s="285" t="s">
        <v>377</v>
      </c>
      <c r="VS121" s="285" t="s">
        <v>376</v>
      </c>
      <c r="VT121" s="285" t="s">
        <v>377</v>
      </c>
      <c r="VU121" s="285" t="s">
        <v>376</v>
      </c>
      <c r="VV121" s="285" t="s">
        <v>377</v>
      </c>
      <c r="VW121" s="285" t="s">
        <v>376</v>
      </c>
      <c r="VX121" s="285" t="s">
        <v>377</v>
      </c>
      <c r="VY121" s="285" t="s">
        <v>376</v>
      </c>
      <c r="VZ121" s="285" t="s">
        <v>377</v>
      </c>
      <c r="WA121" s="285" t="s">
        <v>376</v>
      </c>
      <c r="WB121" s="285" t="s">
        <v>377</v>
      </c>
      <c r="WC121" s="285" t="s">
        <v>376</v>
      </c>
      <c r="WD121" s="285" t="s">
        <v>377</v>
      </c>
      <c r="WE121" s="285" t="s">
        <v>376</v>
      </c>
      <c r="WF121" s="285" t="s">
        <v>377</v>
      </c>
      <c r="WG121" s="285" t="s">
        <v>376</v>
      </c>
      <c r="WH121" s="285" t="s">
        <v>377</v>
      </c>
      <c r="WI121" s="285" t="s">
        <v>376</v>
      </c>
      <c r="WJ121" s="285" t="s">
        <v>377</v>
      </c>
      <c r="WK121" s="285" t="s">
        <v>376</v>
      </c>
      <c r="WL121" s="285" t="s">
        <v>377</v>
      </c>
      <c r="WM121" s="285" t="s">
        <v>376</v>
      </c>
      <c r="WN121" s="285" t="s">
        <v>377</v>
      </c>
      <c r="WO121" s="285" t="s">
        <v>376</v>
      </c>
      <c r="WP121" s="285" t="s">
        <v>377</v>
      </c>
      <c r="WQ121" s="285" t="s">
        <v>376</v>
      </c>
      <c r="WR121" s="285" t="s">
        <v>377</v>
      </c>
      <c r="WS121" s="285" t="s">
        <v>376</v>
      </c>
      <c r="WT121" s="285" t="s">
        <v>377</v>
      </c>
      <c r="WU121" s="285" t="s">
        <v>376</v>
      </c>
      <c r="WV121" s="285" t="s">
        <v>377</v>
      </c>
      <c r="WW121" s="285" t="s">
        <v>376</v>
      </c>
      <c r="WX121" s="285" t="s">
        <v>377</v>
      </c>
      <c r="WY121" s="285" t="s">
        <v>376</v>
      </c>
      <c r="WZ121" s="285" t="s">
        <v>377</v>
      </c>
      <c r="XA121" s="285" t="s">
        <v>376</v>
      </c>
      <c r="XB121" s="285" t="s">
        <v>377</v>
      </c>
      <c r="XC121" s="285" t="s">
        <v>376</v>
      </c>
      <c r="XD121" s="285" t="s">
        <v>377</v>
      </c>
      <c r="XE121" s="285" t="s">
        <v>376</v>
      </c>
      <c r="XF121" s="285" t="s">
        <v>377</v>
      </c>
      <c r="XG121" s="285" t="s">
        <v>376</v>
      </c>
      <c r="XH121" s="285" t="s">
        <v>377</v>
      </c>
      <c r="XI121" s="285" t="s">
        <v>376</v>
      </c>
      <c r="XJ121" s="285" t="s">
        <v>377</v>
      </c>
      <c r="XK121" s="285" t="s">
        <v>376</v>
      </c>
      <c r="XL121" s="285" t="s">
        <v>377</v>
      </c>
      <c r="XM121" s="285" t="s">
        <v>376</v>
      </c>
      <c r="XN121" s="285" t="s">
        <v>377</v>
      </c>
      <c r="XO121" s="285" t="s">
        <v>376</v>
      </c>
      <c r="XP121" s="285" t="s">
        <v>377</v>
      </c>
      <c r="XQ121" s="285" t="s">
        <v>376</v>
      </c>
      <c r="XR121" s="285" t="s">
        <v>377</v>
      </c>
      <c r="XS121" s="285" t="s">
        <v>376</v>
      </c>
      <c r="XT121" s="285" t="s">
        <v>377</v>
      </c>
      <c r="XU121" s="285" t="s">
        <v>376</v>
      </c>
      <c r="XV121" s="285" t="s">
        <v>377</v>
      </c>
      <c r="XW121" s="285" t="s">
        <v>376</v>
      </c>
      <c r="XX121" s="285" t="s">
        <v>377</v>
      </c>
      <c r="XY121" s="285" t="s">
        <v>376</v>
      </c>
      <c r="XZ121" s="285" t="s">
        <v>377</v>
      </c>
      <c r="YA121" s="285" t="s">
        <v>376</v>
      </c>
      <c r="YB121" s="285" t="s">
        <v>377</v>
      </c>
      <c r="YC121" s="285" t="s">
        <v>376</v>
      </c>
      <c r="YD121" s="285" t="s">
        <v>377</v>
      </c>
      <c r="YE121" s="285" t="s">
        <v>376</v>
      </c>
      <c r="YF121" s="285" t="s">
        <v>377</v>
      </c>
      <c r="YG121" s="285" t="s">
        <v>376</v>
      </c>
      <c r="YH121" s="285" t="s">
        <v>377</v>
      </c>
      <c r="YI121" s="285" t="s">
        <v>376</v>
      </c>
      <c r="YJ121" s="285" t="s">
        <v>377</v>
      </c>
      <c r="YK121" s="285" t="s">
        <v>376</v>
      </c>
      <c r="YL121" s="285" t="s">
        <v>377</v>
      </c>
      <c r="YM121" s="285" t="s">
        <v>376</v>
      </c>
      <c r="YN121" s="285" t="s">
        <v>377</v>
      </c>
      <c r="YO121" s="285" t="s">
        <v>376</v>
      </c>
      <c r="YP121" s="285" t="s">
        <v>377</v>
      </c>
      <c r="YQ121" s="285" t="s">
        <v>376</v>
      </c>
      <c r="YR121" s="285" t="s">
        <v>377</v>
      </c>
      <c r="YS121" s="285" t="s">
        <v>376</v>
      </c>
      <c r="YT121" s="285" t="s">
        <v>377</v>
      </c>
      <c r="YU121" s="285" t="s">
        <v>376</v>
      </c>
      <c r="YV121" s="285" t="s">
        <v>377</v>
      </c>
      <c r="YW121" s="285" t="s">
        <v>376</v>
      </c>
      <c r="YX121" s="285" t="s">
        <v>377</v>
      </c>
      <c r="YY121" s="285" t="s">
        <v>376</v>
      </c>
      <c r="YZ121" s="285" t="s">
        <v>377</v>
      </c>
      <c r="ZA121" s="285" t="s">
        <v>376</v>
      </c>
      <c r="ZB121" s="285" t="s">
        <v>377</v>
      </c>
      <c r="ZC121" s="285" t="s">
        <v>376</v>
      </c>
      <c r="ZD121" s="285" t="s">
        <v>377</v>
      </c>
      <c r="ZE121" s="285" t="s">
        <v>376</v>
      </c>
      <c r="ZF121" s="285" t="s">
        <v>377</v>
      </c>
      <c r="ZG121" s="285" t="s">
        <v>376</v>
      </c>
      <c r="ZH121" s="285" t="s">
        <v>377</v>
      </c>
      <c r="ZI121" s="285" t="s">
        <v>376</v>
      </c>
      <c r="ZJ121" s="285" t="s">
        <v>377</v>
      </c>
      <c r="ZK121" s="285" t="s">
        <v>376</v>
      </c>
      <c r="ZL121" s="285" t="s">
        <v>377</v>
      </c>
      <c r="ZM121" s="285" t="s">
        <v>376</v>
      </c>
      <c r="ZN121" s="285" t="s">
        <v>377</v>
      </c>
      <c r="ZO121" s="285" t="s">
        <v>376</v>
      </c>
      <c r="ZP121" s="285" t="s">
        <v>377</v>
      </c>
      <c r="ZQ121" s="285" t="s">
        <v>376</v>
      </c>
      <c r="ZR121" s="285" t="s">
        <v>377</v>
      </c>
      <c r="ZS121" s="285" t="s">
        <v>376</v>
      </c>
      <c r="ZT121" s="285" t="s">
        <v>377</v>
      </c>
      <c r="ZU121" s="285" t="s">
        <v>376</v>
      </c>
      <c r="ZV121" s="285" t="s">
        <v>377</v>
      </c>
      <c r="ZW121" s="285" t="s">
        <v>376</v>
      </c>
      <c r="ZX121" s="285" t="s">
        <v>377</v>
      </c>
      <c r="ZY121" s="285" t="s">
        <v>376</v>
      </c>
      <c r="ZZ121" s="285" t="s">
        <v>377</v>
      </c>
      <c r="AAA121" s="285" t="s">
        <v>376</v>
      </c>
      <c r="AAB121" s="285" t="s">
        <v>377</v>
      </c>
      <c r="AAC121" s="285" t="s">
        <v>376</v>
      </c>
      <c r="AAD121" s="285" t="s">
        <v>377</v>
      </c>
      <c r="AAE121" s="285" t="s">
        <v>376</v>
      </c>
      <c r="AAF121" s="285" t="s">
        <v>377</v>
      </c>
      <c r="AAG121" s="285" t="s">
        <v>376</v>
      </c>
      <c r="AAH121" s="285" t="s">
        <v>377</v>
      </c>
      <c r="AAI121" s="285" t="s">
        <v>376</v>
      </c>
      <c r="AAJ121" s="285" t="s">
        <v>377</v>
      </c>
      <c r="AAK121" s="285" t="s">
        <v>376</v>
      </c>
      <c r="AAL121" s="285" t="s">
        <v>377</v>
      </c>
      <c r="AAM121" s="285" t="s">
        <v>376</v>
      </c>
      <c r="AAN121" s="285" t="s">
        <v>377</v>
      </c>
      <c r="AAO121" s="285" t="s">
        <v>376</v>
      </c>
      <c r="AAP121" s="285" t="s">
        <v>377</v>
      </c>
      <c r="AAQ121" s="285" t="s">
        <v>376</v>
      </c>
      <c r="AAR121" s="285" t="s">
        <v>377</v>
      </c>
      <c r="AAS121" s="285" t="s">
        <v>376</v>
      </c>
      <c r="AAT121" s="285" t="s">
        <v>377</v>
      </c>
      <c r="AAU121" s="285" t="s">
        <v>376</v>
      </c>
      <c r="AAV121" s="285" t="s">
        <v>377</v>
      </c>
      <c r="AAW121" s="285" t="s">
        <v>376</v>
      </c>
      <c r="AAX121" s="285" t="s">
        <v>377</v>
      </c>
      <c r="AAY121" s="285" t="s">
        <v>376</v>
      </c>
      <c r="AAZ121" s="285" t="s">
        <v>377</v>
      </c>
      <c r="ABA121" s="285" t="s">
        <v>376</v>
      </c>
      <c r="ABB121" s="285" t="s">
        <v>377</v>
      </c>
      <c r="ABC121" s="285" t="s">
        <v>376</v>
      </c>
      <c r="ABD121" s="285" t="s">
        <v>377</v>
      </c>
      <c r="ABE121" s="285" t="s">
        <v>376</v>
      </c>
      <c r="ABF121" s="285" t="s">
        <v>377</v>
      </c>
      <c r="ABG121" s="285" t="s">
        <v>376</v>
      </c>
      <c r="ABH121" s="285" t="s">
        <v>377</v>
      </c>
      <c r="ABI121" s="285" t="s">
        <v>376</v>
      </c>
      <c r="ABJ121" s="285" t="s">
        <v>377</v>
      </c>
      <c r="ABK121" s="285" t="s">
        <v>376</v>
      </c>
      <c r="ABL121" s="285" t="s">
        <v>377</v>
      </c>
      <c r="ABM121" s="285" t="s">
        <v>376</v>
      </c>
      <c r="ABN121" s="285" t="s">
        <v>377</v>
      </c>
      <c r="ABO121" s="285" t="s">
        <v>376</v>
      </c>
      <c r="ABP121" s="285" t="s">
        <v>377</v>
      </c>
      <c r="ABQ121" s="285" t="s">
        <v>376</v>
      </c>
      <c r="ABR121" s="285" t="s">
        <v>377</v>
      </c>
      <c r="ABS121" s="285" t="s">
        <v>376</v>
      </c>
      <c r="ABT121" s="285" t="s">
        <v>377</v>
      </c>
      <c r="ABU121" s="285" t="s">
        <v>376</v>
      </c>
      <c r="ABV121" s="285" t="s">
        <v>377</v>
      </c>
      <c r="ABW121" s="285" t="s">
        <v>376</v>
      </c>
      <c r="ABX121" s="285" t="s">
        <v>377</v>
      </c>
      <c r="ABY121" s="285" t="s">
        <v>376</v>
      </c>
      <c r="ABZ121" s="285" t="s">
        <v>377</v>
      </c>
      <c r="ACA121" s="285" t="s">
        <v>376</v>
      </c>
      <c r="ACB121" s="285" t="s">
        <v>377</v>
      </c>
      <c r="ACC121" s="285" t="s">
        <v>376</v>
      </c>
      <c r="ACD121" s="285" t="s">
        <v>377</v>
      </c>
      <c r="ACE121" s="285" t="s">
        <v>376</v>
      </c>
      <c r="ACF121" s="285" t="s">
        <v>377</v>
      </c>
      <c r="ACG121" s="285" t="s">
        <v>376</v>
      </c>
      <c r="ACH121" s="285" t="s">
        <v>377</v>
      </c>
      <c r="ACI121" s="285" t="s">
        <v>376</v>
      </c>
      <c r="ACJ121" s="285" t="s">
        <v>377</v>
      </c>
      <c r="ACK121" s="285" t="s">
        <v>376</v>
      </c>
      <c r="ACL121" s="285" t="s">
        <v>377</v>
      </c>
      <c r="ACM121" s="285" t="s">
        <v>376</v>
      </c>
      <c r="ACN121" s="285" t="s">
        <v>377</v>
      </c>
      <c r="ACO121" s="285" t="s">
        <v>376</v>
      </c>
      <c r="ACP121" s="285" t="s">
        <v>377</v>
      </c>
      <c r="ACQ121" s="285" t="s">
        <v>376</v>
      </c>
      <c r="ACR121" s="285" t="s">
        <v>377</v>
      </c>
      <c r="ACS121" s="285" t="s">
        <v>376</v>
      </c>
      <c r="ACT121" s="285" t="s">
        <v>377</v>
      </c>
      <c r="ACU121" s="285" t="s">
        <v>376</v>
      </c>
      <c r="ACV121" s="285" t="s">
        <v>377</v>
      </c>
      <c r="ACW121" s="285" t="s">
        <v>376</v>
      </c>
      <c r="ACX121" s="285" t="s">
        <v>377</v>
      </c>
      <c r="ACY121" s="285" t="s">
        <v>376</v>
      </c>
      <c r="ACZ121" s="285" t="s">
        <v>377</v>
      </c>
      <c r="ADA121" s="285" t="s">
        <v>376</v>
      </c>
      <c r="ADB121" s="285" t="s">
        <v>377</v>
      </c>
      <c r="ADC121" s="285" t="s">
        <v>376</v>
      </c>
      <c r="ADD121" s="285" t="s">
        <v>377</v>
      </c>
      <c r="ADE121" s="285" t="s">
        <v>376</v>
      </c>
      <c r="ADF121" s="285" t="s">
        <v>377</v>
      </c>
      <c r="ADG121" s="285" t="s">
        <v>376</v>
      </c>
      <c r="ADH121" s="285" t="s">
        <v>377</v>
      </c>
      <c r="ADI121" s="285" t="s">
        <v>376</v>
      </c>
      <c r="ADJ121" s="285" t="s">
        <v>377</v>
      </c>
      <c r="ADK121" s="285" t="s">
        <v>376</v>
      </c>
      <c r="ADL121" s="285" t="s">
        <v>377</v>
      </c>
      <c r="ADM121" s="285" t="s">
        <v>376</v>
      </c>
      <c r="ADN121" s="285" t="s">
        <v>377</v>
      </c>
      <c r="ADO121" s="285" t="s">
        <v>376</v>
      </c>
      <c r="ADP121" s="285" t="s">
        <v>377</v>
      </c>
      <c r="ADQ121" s="285" t="s">
        <v>376</v>
      </c>
      <c r="ADR121" s="285" t="s">
        <v>377</v>
      </c>
      <c r="ADS121" s="285" t="s">
        <v>376</v>
      </c>
      <c r="ADT121" s="285" t="s">
        <v>377</v>
      </c>
      <c r="ADU121" s="285" t="s">
        <v>376</v>
      </c>
      <c r="ADV121" s="285" t="s">
        <v>377</v>
      </c>
      <c r="ADW121" s="285" t="s">
        <v>376</v>
      </c>
      <c r="ADX121" s="285" t="s">
        <v>377</v>
      </c>
      <c r="ADY121" s="285" t="s">
        <v>376</v>
      </c>
      <c r="ADZ121" s="285" t="s">
        <v>377</v>
      </c>
      <c r="AEA121" s="285" t="s">
        <v>376</v>
      </c>
      <c r="AEB121" s="285" t="s">
        <v>377</v>
      </c>
      <c r="AEC121" s="285" t="s">
        <v>376</v>
      </c>
      <c r="AED121" s="285" t="s">
        <v>377</v>
      </c>
      <c r="AEE121" s="285" t="s">
        <v>376</v>
      </c>
      <c r="AEF121" s="285" t="s">
        <v>377</v>
      </c>
      <c r="AEG121" s="285" t="s">
        <v>376</v>
      </c>
      <c r="AEH121" s="285" t="s">
        <v>377</v>
      </c>
      <c r="AEI121" s="285" t="s">
        <v>376</v>
      </c>
      <c r="AEJ121" s="285" t="s">
        <v>377</v>
      </c>
      <c r="AEK121" s="285" t="s">
        <v>376</v>
      </c>
      <c r="AEL121" s="285" t="s">
        <v>377</v>
      </c>
      <c r="AEM121" s="285" t="s">
        <v>376</v>
      </c>
      <c r="AEN121" s="285" t="s">
        <v>377</v>
      </c>
      <c r="AEO121" s="285" t="s">
        <v>376</v>
      </c>
      <c r="AEP121" s="285" t="s">
        <v>377</v>
      </c>
      <c r="AEQ121" s="285" t="s">
        <v>376</v>
      </c>
      <c r="AER121" s="285" t="s">
        <v>377</v>
      </c>
      <c r="AES121" s="285" t="s">
        <v>376</v>
      </c>
      <c r="AET121" s="285" t="s">
        <v>377</v>
      </c>
      <c r="AEU121" s="285" t="s">
        <v>376</v>
      </c>
      <c r="AEV121" s="285" t="s">
        <v>377</v>
      </c>
      <c r="AEW121" s="285" t="s">
        <v>376</v>
      </c>
      <c r="AEX121" s="285" t="s">
        <v>377</v>
      </c>
      <c r="AEY121" s="285" t="s">
        <v>376</v>
      </c>
      <c r="AEZ121" s="285" t="s">
        <v>377</v>
      </c>
      <c r="AFA121" s="285" t="s">
        <v>376</v>
      </c>
      <c r="AFB121" s="285" t="s">
        <v>377</v>
      </c>
      <c r="AFC121" s="285" t="s">
        <v>376</v>
      </c>
      <c r="AFD121" s="285" t="s">
        <v>377</v>
      </c>
      <c r="AFE121" s="285" t="s">
        <v>376</v>
      </c>
      <c r="AFF121" s="285" t="s">
        <v>377</v>
      </c>
      <c r="AFG121" s="285" t="s">
        <v>376</v>
      </c>
      <c r="AFH121" s="285" t="s">
        <v>377</v>
      </c>
      <c r="AFI121" s="285" t="s">
        <v>376</v>
      </c>
      <c r="AFJ121" s="285" t="s">
        <v>377</v>
      </c>
      <c r="AFK121" s="285" t="s">
        <v>376</v>
      </c>
      <c r="AFL121" s="285" t="s">
        <v>377</v>
      </c>
      <c r="AFM121" s="285" t="s">
        <v>376</v>
      </c>
      <c r="AFN121" s="285" t="s">
        <v>377</v>
      </c>
      <c r="AFO121" s="285" t="s">
        <v>376</v>
      </c>
      <c r="AFP121" s="285" t="s">
        <v>377</v>
      </c>
      <c r="AFQ121" s="285" t="s">
        <v>376</v>
      </c>
      <c r="AFR121" s="285" t="s">
        <v>377</v>
      </c>
      <c r="AFS121" s="285" t="s">
        <v>376</v>
      </c>
      <c r="AFT121" s="285" t="s">
        <v>377</v>
      </c>
      <c r="AFU121" s="285" t="s">
        <v>376</v>
      </c>
      <c r="AFV121" s="285" t="s">
        <v>377</v>
      </c>
      <c r="AFW121" s="285" t="s">
        <v>376</v>
      </c>
      <c r="AFX121" s="285" t="s">
        <v>377</v>
      </c>
      <c r="AFY121" s="285" t="s">
        <v>376</v>
      </c>
      <c r="AFZ121" s="285" t="s">
        <v>377</v>
      </c>
      <c r="AGA121" s="285" t="s">
        <v>376</v>
      </c>
      <c r="AGB121" s="285" t="s">
        <v>377</v>
      </c>
      <c r="AGC121" s="285" t="s">
        <v>376</v>
      </c>
      <c r="AGD121" s="285" t="s">
        <v>377</v>
      </c>
      <c r="AGE121" s="285" t="s">
        <v>376</v>
      </c>
      <c r="AGF121" s="285" t="s">
        <v>377</v>
      </c>
      <c r="AGG121" s="285" t="s">
        <v>376</v>
      </c>
      <c r="AGH121" s="285" t="s">
        <v>377</v>
      </c>
      <c r="AGI121" s="285" t="s">
        <v>376</v>
      </c>
      <c r="AGJ121" s="285" t="s">
        <v>377</v>
      </c>
      <c r="AGK121" s="285" t="s">
        <v>376</v>
      </c>
      <c r="AGL121" s="285" t="s">
        <v>377</v>
      </c>
      <c r="AGM121" s="285" t="s">
        <v>376</v>
      </c>
      <c r="AGN121" s="285" t="s">
        <v>377</v>
      </c>
      <c r="AGO121" s="285" t="s">
        <v>376</v>
      </c>
      <c r="AGP121" s="285" t="s">
        <v>377</v>
      </c>
      <c r="AGQ121" s="285" t="s">
        <v>376</v>
      </c>
      <c r="AGR121" s="285" t="s">
        <v>377</v>
      </c>
      <c r="AGS121" s="285" t="s">
        <v>376</v>
      </c>
      <c r="AGT121" s="285" t="s">
        <v>377</v>
      </c>
      <c r="AGU121" s="285" t="s">
        <v>376</v>
      </c>
      <c r="AGV121" s="285" t="s">
        <v>377</v>
      </c>
      <c r="AGW121" s="285" t="s">
        <v>376</v>
      </c>
      <c r="AGX121" s="285" t="s">
        <v>377</v>
      </c>
      <c r="AGY121" s="285" t="s">
        <v>376</v>
      </c>
      <c r="AGZ121" s="285" t="s">
        <v>377</v>
      </c>
      <c r="AHA121" s="285" t="s">
        <v>376</v>
      </c>
      <c r="AHB121" s="285" t="s">
        <v>377</v>
      </c>
      <c r="AHC121" s="285" t="s">
        <v>376</v>
      </c>
      <c r="AHD121" s="285" t="s">
        <v>377</v>
      </c>
      <c r="AHE121" s="285" t="s">
        <v>376</v>
      </c>
      <c r="AHF121" s="285" t="s">
        <v>377</v>
      </c>
      <c r="AHG121" s="285" t="s">
        <v>376</v>
      </c>
      <c r="AHH121" s="285" t="s">
        <v>377</v>
      </c>
      <c r="AHI121" s="285" t="s">
        <v>376</v>
      </c>
      <c r="AHJ121" s="285" t="s">
        <v>377</v>
      </c>
      <c r="AHK121" s="285" t="s">
        <v>376</v>
      </c>
      <c r="AHL121" s="285" t="s">
        <v>377</v>
      </c>
      <c r="AHM121" s="285" t="s">
        <v>376</v>
      </c>
      <c r="AHN121" s="285" t="s">
        <v>377</v>
      </c>
      <c r="AHO121" s="285" t="s">
        <v>376</v>
      </c>
      <c r="AHP121" s="285" t="s">
        <v>377</v>
      </c>
      <c r="AHQ121" s="285" t="s">
        <v>376</v>
      </c>
      <c r="AHR121" s="285" t="s">
        <v>377</v>
      </c>
      <c r="AHS121" s="285" t="s">
        <v>376</v>
      </c>
      <c r="AHT121" s="285" t="s">
        <v>377</v>
      </c>
      <c r="AHU121" s="285" t="s">
        <v>376</v>
      </c>
      <c r="AHV121" s="285" t="s">
        <v>377</v>
      </c>
      <c r="AHW121" s="285" t="s">
        <v>376</v>
      </c>
      <c r="AHX121" s="285" t="s">
        <v>377</v>
      </c>
      <c r="AHY121" s="285" t="s">
        <v>376</v>
      </c>
      <c r="AHZ121" s="285" t="s">
        <v>377</v>
      </c>
      <c r="AIA121" s="285" t="s">
        <v>376</v>
      </c>
      <c r="AIB121" s="285" t="s">
        <v>377</v>
      </c>
      <c r="AIC121" s="285" t="s">
        <v>376</v>
      </c>
      <c r="AID121" s="285" t="s">
        <v>377</v>
      </c>
      <c r="AIE121" s="285" t="s">
        <v>376</v>
      </c>
      <c r="AIF121" s="285" t="s">
        <v>377</v>
      </c>
      <c r="AIG121" s="285" t="s">
        <v>376</v>
      </c>
      <c r="AIH121" s="285" t="s">
        <v>377</v>
      </c>
      <c r="AII121" s="285" t="s">
        <v>376</v>
      </c>
      <c r="AIJ121" s="285" t="s">
        <v>377</v>
      </c>
      <c r="AIK121" s="285" t="s">
        <v>376</v>
      </c>
      <c r="AIL121" s="285" t="s">
        <v>377</v>
      </c>
      <c r="AIM121" s="285" t="s">
        <v>376</v>
      </c>
      <c r="AIN121" s="285" t="s">
        <v>377</v>
      </c>
      <c r="AIO121" s="285" t="s">
        <v>376</v>
      </c>
      <c r="AIP121" s="285" t="s">
        <v>377</v>
      </c>
      <c r="AIQ121" s="285" t="s">
        <v>376</v>
      </c>
      <c r="AIR121" s="285" t="s">
        <v>377</v>
      </c>
      <c r="AIS121" s="285" t="s">
        <v>376</v>
      </c>
      <c r="AIT121" s="285" t="s">
        <v>377</v>
      </c>
      <c r="AIU121" s="285" t="s">
        <v>376</v>
      </c>
      <c r="AIV121" s="285" t="s">
        <v>377</v>
      </c>
      <c r="AIW121" s="285" t="s">
        <v>376</v>
      </c>
      <c r="AIX121" s="285" t="s">
        <v>377</v>
      </c>
      <c r="AIY121" s="285" t="s">
        <v>376</v>
      </c>
      <c r="AIZ121" s="285" t="s">
        <v>377</v>
      </c>
      <c r="AJA121" s="285" t="s">
        <v>376</v>
      </c>
      <c r="AJB121" s="285" t="s">
        <v>377</v>
      </c>
      <c r="AJC121" s="285" t="s">
        <v>376</v>
      </c>
      <c r="AJD121" s="285" t="s">
        <v>377</v>
      </c>
      <c r="AJE121" s="285" t="s">
        <v>376</v>
      </c>
      <c r="AJF121" s="285" t="s">
        <v>377</v>
      </c>
      <c r="AJG121" s="285" t="s">
        <v>376</v>
      </c>
      <c r="AJH121" s="285" t="s">
        <v>377</v>
      </c>
      <c r="AJI121" s="285" t="s">
        <v>376</v>
      </c>
      <c r="AJJ121" s="285" t="s">
        <v>377</v>
      </c>
      <c r="AJK121" s="285" t="s">
        <v>376</v>
      </c>
      <c r="AJL121" s="285" t="s">
        <v>377</v>
      </c>
      <c r="AJM121" s="285" t="s">
        <v>376</v>
      </c>
      <c r="AJN121" s="285" t="s">
        <v>377</v>
      </c>
      <c r="AJO121" s="285" t="s">
        <v>376</v>
      </c>
      <c r="AJP121" s="285" t="s">
        <v>377</v>
      </c>
      <c r="AJQ121" s="285" t="s">
        <v>376</v>
      </c>
      <c r="AJR121" s="285" t="s">
        <v>377</v>
      </c>
      <c r="AJS121" s="285" t="s">
        <v>376</v>
      </c>
      <c r="AJT121" s="285" t="s">
        <v>377</v>
      </c>
      <c r="AJU121" s="285" t="s">
        <v>376</v>
      </c>
      <c r="AJV121" s="285" t="s">
        <v>377</v>
      </c>
      <c r="AJW121" s="285" t="s">
        <v>376</v>
      </c>
      <c r="AJX121" s="285" t="s">
        <v>377</v>
      </c>
      <c r="AJY121" s="285" t="s">
        <v>376</v>
      </c>
      <c r="AJZ121" s="285" t="s">
        <v>377</v>
      </c>
      <c r="AKA121" s="285" t="s">
        <v>376</v>
      </c>
      <c r="AKB121" s="285" t="s">
        <v>377</v>
      </c>
      <c r="AKC121" s="285" t="s">
        <v>376</v>
      </c>
      <c r="AKD121" s="285" t="s">
        <v>377</v>
      </c>
      <c r="AKE121" s="285" t="s">
        <v>376</v>
      </c>
      <c r="AKF121" s="285" t="s">
        <v>377</v>
      </c>
      <c r="AKG121" s="285" t="s">
        <v>376</v>
      </c>
      <c r="AKH121" s="285" t="s">
        <v>377</v>
      </c>
      <c r="AKI121" s="285" t="s">
        <v>376</v>
      </c>
      <c r="AKJ121" s="285" t="s">
        <v>377</v>
      </c>
      <c r="AKK121" s="285" t="s">
        <v>376</v>
      </c>
      <c r="AKL121" s="285" t="s">
        <v>377</v>
      </c>
      <c r="AKM121" s="285" t="s">
        <v>376</v>
      </c>
      <c r="AKN121" s="285" t="s">
        <v>377</v>
      </c>
      <c r="AKO121" s="285" t="s">
        <v>376</v>
      </c>
      <c r="AKP121" s="285" t="s">
        <v>377</v>
      </c>
      <c r="AKQ121" s="285" t="s">
        <v>376</v>
      </c>
      <c r="AKR121" s="285" t="s">
        <v>377</v>
      </c>
      <c r="AKS121" s="285" t="s">
        <v>376</v>
      </c>
      <c r="AKT121" s="285" t="s">
        <v>377</v>
      </c>
      <c r="AKU121" s="285" t="s">
        <v>376</v>
      </c>
      <c r="AKV121" s="285" t="s">
        <v>377</v>
      </c>
      <c r="AKW121" s="285" t="s">
        <v>376</v>
      </c>
      <c r="AKX121" s="285" t="s">
        <v>377</v>
      </c>
      <c r="AKY121" s="285" t="s">
        <v>376</v>
      </c>
      <c r="AKZ121" s="285" t="s">
        <v>377</v>
      </c>
      <c r="ALA121" s="285" t="s">
        <v>376</v>
      </c>
      <c r="ALB121" s="285" t="s">
        <v>377</v>
      </c>
      <c r="ALC121" s="285" t="s">
        <v>376</v>
      </c>
      <c r="ALD121" s="285" t="s">
        <v>377</v>
      </c>
      <c r="ALE121" s="285" t="s">
        <v>376</v>
      </c>
      <c r="ALF121" s="285" t="s">
        <v>377</v>
      </c>
      <c r="ALG121" s="285" t="s">
        <v>376</v>
      </c>
      <c r="ALH121" s="285" t="s">
        <v>377</v>
      </c>
      <c r="ALI121" s="285" t="s">
        <v>376</v>
      </c>
      <c r="ALJ121" s="285" t="s">
        <v>377</v>
      </c>
      <c r="ALK121" s="285" t="s">
        <v>376</v>
      </c>
      <c r="ALL121" s="285" t="s">
        <v>377</v>
      </c>
      <c r="ALM121" s="285" t="s">
        <v>376</v>
      </c>
      <c r="ALN121" s="285" t="s">
        <v>377</v>
      </c>
      <c r="ALO121" s="285" t="s">
        <v>376</v>
      </c>
      <c r="ALP121" s="285" t="s">
        <v>377</v>
      </c>
      <c r="ALQ121" s="285" t="s">
        <v>376</v>
      </c>
      <c r="ALR121" s="285" t="s">
        <v>377</v>
      </c>
      <c r="ALS121" s="285" t="s">
        <v>376</v>
      </c>
      <c r="ALT121" s="285" t="s">
        <v>377</v>
      </c>
      <c r="ALU121" s="285" t="s">
        <v>376</v>
      </c>
      <c r="ALV121" s="285" t="s">
        <v>377</v>
      </c>
      <c r="ALW121" s="285" t="s">
        <v>376</v>
      </c>
      <c r="ALX121" s="285" t="s">
        <v>377</v>
      </c>
      <c r="ALY121" s="285" t="s">
        <v>376</v>
      </c>
      <c r="ALZ121" s="285" t="s">
        <v>377</v>
      </c>
      <c r="AMA121" s="285" t="s">
        <v>376</v>
      </c>
      <c r="AMB121" s="285" t="s">
        <v>377</v>
      </c>
      <c r="AMC121" s="285" t="s">
        <v>376</v>
      </c>
      <c r="AMD121" s="285" t="s">
        <v>377</v>
      </c>
      <c r="AME121" s="285" t="s">
        <v>376</v>
      </c>
      <c r="AMF121" s="285" t="s">
        <v>377</v>
      </c>
      <c r="AMG121" s="285" t="s">
        <v>376</v>
      </c>
      <c r="AMH121" s="285" t="s">
        <v>377</v>
      </c>
      <c r="AMI121" s="285" t="s">
        <v>376</v>
      </c>
      <c r="AMJ121" s="285" t="s">
        <v>377</v>
      </c>
      <c r="AMK121" s="285" t="s">
        <v>376</v>
      </c>
      <c r="AML121" s="285" t="s">
        <v>377</v>
      </c>
      <c r="AMM121" s="285" t="s">
        <v>376</v>
      </c>
      <c r="AMN121" s="285" t="s">
        <v>377</v>
      </c>
      <c r="AMO121" s="285" t="s">
        <v>376</v>
      </c>
      <c r="AMP121" s="285" t="s">
        <v>377</v>
      </c>
      <c r="AMQ121" s="285" t="s">
        <v>376</v>
      </c>
      <c r="AMR121" s="285" t="s">
        <v>377</v>
      </c>
      <c r="AMS121" s="285" t="s">
        <v>376</v>
      </c>
      <c r="AMT121" s="285" t="s">
        <v>377</v>
      </c>
      <c r="AMU121" s="285" t="s">
        <v>376</v>
      </c>
      <c r="AMV121" s="285" t="s">
        <v>377</v>
      </c>
      <c r="AMW121" s="285" t="s">
        <v>376</v>
      </c>
      <c r="AMX121" s="285" t="s">
        <v>377</v>
      </c>
      <c r="AMY121" s="285" t="s">
        <v>376</v>
      </c>
      <c r="AMZ121" s="285" t="s">
        <v>377</v>
      </c>
      <c r="ANA121" s="285" t="s">
        <v>376</v>
      </c>
      <c r="ANB121" s="285" t="s">
        <v>377</v>
      </c>
      <c r="ANC121" s="285" t="s">
        <v>376</v>
      </c>
      <c r="AND121" s="285" t="s">
        <v>377</v>
      </c>
      <c r="ANE121" s="285" t="s">
        <v>376</v>
      </c>
      <c r="ANF121" s="285" t="s">
        <v>377</v>
      </c>
      <c r="ANG121" s="285" t="s">
        <v>376</v>
      </c>
      <c r="ANH121" s="285" t="s">
        <v>377</v>
      </c>
      <c r="ANI121" s="285" t="s">
        <v>376</v>
      </c>
      <c r="ANJ121" s="285" t="s">
        <v>377</v>
      </c>
      <c r="ANK121" s="285" t="s">
        <v>376</v>
      </c>
      <c r="ANL121" s="285" t="s">
        <v>377</v>
      </c>
      <c r="ANM121" s="285" t="s">
        <v>376</v>
      </c>
      <c r="ANN121" s="285" t="s">
        <v>377</v>
      </c>
      <c r="ANO121" s="285" t="s">
        <v>376</v>
      </c>
      <c r="ANP121" s="285" t="s">
        <v>377</v>
      </c>
      <c r="ANQ121" s="285" t="s">
        <v>376</v>
      </c>
      <c r="ANR121" s="285" t="s">
        <v>377</v>
      </c>
      <c r="ANS121" s="285" t="s">
        <v>376</v>
      </c>
      <c r="ANT121" s="285" t="s">
        <v>377</v>
      </c>
      <c r="ANU121" s="285" t="s">
        <v>376</v>
      </c>
      <c r="ANV121" s="285" t="s">
        <v>377</v>
      </c>
      <c r="ANW121" s="285" t="s">
        <v>376</v>
      </c>
      <c r="ANX121" s="285" t="s">
        <v>377</v>
      </c>
      <c r="ANY121" s="285" t="s">
        <v>376</v>
      </c>
      <c r="ANZ121" s="285" t="s">
        <v>377</v>
      </c>
      <c r="AOA121" s="285" t="s">
        <v>376</v>
      </c>
      <c r="AOB121" s="285" t="s">
        <v>377</v>
      </c>
      <c r="AOC121" s="285" t="s">
        <v>376</v>
      </c>
      <c r="AOD121" s="285" t="s">
        <v>377</v>
      </c>
      <c r="AOE121" s="285" t="s">
        <v>376</v>
      </c>
      <c r="AOF121" s="285" t="s">
        <v>377</v>
      </c>
      <c r="AOG121" s="285" t="s">
        <v>376</v>
      </c>
      <c r="AOH121" s="285" t="s">
        <v>377</v>
      </c>
      <c r="AOI121" s="285" t="s">
        <v>376</v>
      </c>
      <c r="AOJ121" s="285" t="s">
        <v>377</v>
      </c>
      <c r="AOK121" s="285" t="s">
        <v>376</v>
      </c>
      <c r="AOL121" s="285" t="s">
        <v>377</v>
      </c>
      <c r="AOM121" s="285" t="s">
        <v>376</v>
      </c>
      <c r="AON121" s="285" t="s">
        <v>377</v>
      </c>
      <c r="AOO121" s="285" t="s">
        <v>376</v>
      </c>
      <c r="AOP121" s="285" t="s">
        <v>377</v>
      </c>
      <c r="AOQ121" s="285" t="s">
        <v>376</v>
      </c>
      <c r="AOR121" s="285" t="s">
        <v>377</v>
      </c>
      <c r="AOS121" s="285" t="s">
        <v>376</v>
      </c>
      <c r="AOT121" s="285" t="s">
        <v>377</v>
      </c>
      <c r="AOU121" s="285" t="s">
        <v>376</v>
      </c>
      <c r="AOV121" s="285" t="s">
        <v>377</v>
      </c>
      <c r="AOW121" s="285" t="s">
        <v>376</v>
      </c>
      <c r="AOX121" s="285" t="s">
        <v>377</v>
      </c>
      <c r="AOY121" s="285" t="s">
        <v>376</v>
      </c>
      <c r="AOZ121" s="285" t="s">
        <v>377</v>
      </c>
      <c r="APA121" s="285" t="s">
        <v>376</v>
      </c>
      <c r="APB121" s="285" t="s">
        <v>377</v>
      </c>
      <c r="APC121" s="285" t="s">
        <v>376</v>
      </c>
      <c r="APD121" s="285" t="s">
        <v>377</v>
      </c>
      <c r="APE121" s="285" t="s">
        <v>376</v>
      </c>
      <c r="APF121" s="285" t="s">
        <v>377</v>
      </c>
      <c r="APG121" s="285" t="s">
        <v>376</v>
      </c>
      <c r="APH121" s="285" t="s">
        <v>377</v>
      </c>
      <c r="API121" s="285" t="s">
        <v>376</v>
      </c>
      <c r="APJ121" s="285" t="s">
        <v>377</v>
      </c>
      <c r="APK121" s="285" t="s">
        <v>376</v>
      </c>
      <c r="APL121" s="285" t="s">
        <v>377</v>
      </c>
      <c r="APM121" s="285" t="s">
        <v>376</v>
      </c>
      <c r="APN121" s="285" t="s">
        <v>377</v>
      </c>
      <c r="APO121" s="285" t="s">
        <v>376</v>
      </c>
      <c r="APP121" s="285" t="s">
        <v>377</v>
      </c>
      <c r="APQ121" s="285" t="s">
        <v>376</v>
      </c>
      <c r="APR121" s="285" t="s">
        <v>377</v>
      </c>
      <c r="APS121" s="285" t="s">
        <v>376</v>
      </c>
      <c r="APT121" s="285" t="s">
        <v>377</v>
      </c>
      <c r="APU121" s="285" t="s">
        <v>376</v>
      </c>
      <c r="APV121" s="285" t="s">
        <v>377</v>
      </c>
      <c r="APW121" s="285" t="s">
        <v>376</v>
      </c>
      <c r="APX121" s="285" t="s">
        <v>377</v>
      </c>
      <c r="APY121" s="285" t="s">
        <v>376</v>
      </c>
      <c r="APZ121" s="285" t="s">
        <v>377</v>
      </c>
      <c r="AQA121" s="285" t="s">
        <v>376</v>
      </c>
      <c r="AQB121" s="285" t="s">
        <v>377</v>
      </c>
      <c r="AQC121" s="285" t="s">
        <v>376</v>
      </c>
      <c r="AQD121" s="285" t="s">
        <v>377</v>
      </c>
      <c r="AQE121" s="285" t="s">
        <v>376</v>
      </c>
      <c r="AQF121" s="285" t="s">
        <v>377</v>
      </c>
      <c r="AQG121" s="285" t="s">
        <v>376</v>
      </c>
      <c r="AQH121" s="285" t="s">
        <v>377</v>
      </c>
      <c r="AQI121" s="285" t="s">
        <v>376</v>
      </c>
      <c r="AQJ121" s="285" t="s">
        <v>377</v>
      </c>
      <c r="AQK121" s="285" t="s">
        <v>376</v>
      </c>
      <c r="AQL121" s="285" t="s">
        <v>377</v>
      </c>
      <c r="AQM121" s="285" t="s">
        <v>376</v>
      </c>
      <c r="AQN121" s="285" t="s">
        <v>377</v>
      </c>
      <c r="AQO121" s="285" t="s">
        <v>376</v>
      </c>
      <c r="AQP121" s="285" t="s">
        <v>377</v>
      </c>
      <c r="AQQ121" s="285" t="s">
        <v>376</v>
      </c>
      <c r="AQR121" s="285" t="s">
        <v>377</v>
      </c>
      <c r="AQS121" s="285" t="s">
        <v>376</v>
      </c>
      <c r="AQT121" s="285" t="s">
        <v>377</v>
      </c>
      <c r="AQU121" s="285" t="s">
        <v>376</v>
      </c>
      <c r="AQV121" s="285" t="s">
        <v>377</v>
      </c>
      <c r="AQW121" s="285" t="s">
        <v>376</v>
      </c>
      <c r="AQX121" s="285" t="s">
        <v>377</v>
      </c>
      <c r="AQY121" s="285" t="s">
        <v>376</v>
      </c>
      <c r="AQZ121" s="285" t="s">
        <v>377</v>
      </c>
      <c r="ARA121" s="285" t="s">
        <v>376</v>
      </c>
      <c r="ARB121" s="285" t="s">
        <v>377</v>
      </c>
      <c r="ARC121" s="285" t="s">
        <v>376</v>
      </c>
      <c r="ARD121" s="285" t="s">
        <v>377</v>
      </c>
      <c r="ARE121" s="285" t="s">
        <v>376</v>
      </c>
      <c r="ARF121" s="285" t="s">
        <v>377</v>
      </c>
      <c r="ARG121" s="285" t="s">
        <v>376</v>
      </c>
      <c r="ARH121" s="285" t="s">
        <v>377</v>
      </c>
      <c r="ARI121" s="285" t="s">
        <v>376</v>
      </c>
      <c r="ARJ121" s="285" t="s">
        <v>377</v>
      </c>
      <c r="ARK121" s="285" t="s">
        <v>376</v>
      </c>
      <c r="ARL121" s="285" t="s">
        <v>377</v>
      </c>
      <c r="ARM121" s="285" t="s">
        <v>376</v>
      </c>
      <c r="ARN121" s="285" t="s">
        <v>377</v>
      </c>
      <c r="ARO121" s="285" t="s">
        <v>376</v>
      </c>
      <c r="ARP121" s="285" t="s">
        <v>377</v>
      </c>
      <c r="ARQ121" s="285" t="s">
        <v>376</v>
      </c>
      <c r="ARR121" s="285" t="s">
        <v>377</v>
      </c>
      <c r="ARS121" s="285" t="s">
        <v>376</v>
      </c>
      <c r="ART121" s="285" t="s">
        <v>377</v>
      </c>
      <c r="ARU121" s="285" t="s">
        <v>376</v>
      </c>
      <c r="ARV121" s="285" t="s">
        <v>377</v>
      </c>
      <c r="ARW121" s="285" t="s">
        <v>376</v>
      </c>
      <c r="ARX121" s="285" t="s">
        <v>377</v>
      </c>
      <c r="ARY121" s="285" t="s">
        <v>376</v>
      </c>
      <c r="ARZ121" s="285" t="s">
        <v>377</v>
      </c>
      <c r="ASA121" s="285" t="s">
        <v>376</v>
      </c>
      <c r="ASB121" s="285" t="s">
        <v>377</v>
      </c>
      <c r="ASC121" s="285" t="s">
        <v>376</v>
      </c>
      <c r="ASD121" s="285" t="s">
        <v>377</v>
      </c>
      <c r="ASE121" s="285" t="s">
        <v>376</v>
      </c>
      <c r="ASF121" s="285" t="s">
        <v>377</v>
      </c>
      <c r="ASG121" s="285" t="s">
        <v>376</v>
      </c>
      <c r="ASH121" s="285" t="s">
        <v>377</v>
      </c>
      <c r="ASI121" s="285" t="s">
        <v>376</v>
      </c>
      <c r="ASJ121" s="285" t="s">
        <v>377</v>
      </c>
      <c r="ASK121" s="285" t="s">
        <v>376</v>
      </c>
      <c r="ASL121" s="285" t="s">
        <v>377</v>
      </c>
      <c r="ASM121" s="285" t="s">
        <v>376</v>
      </c>
      <c r="ASN121" s="285" t="s">
        <v>377</v>
      </c>
      <c r="ASO121" s="285" t="s">
        <v>376</v>
      </c>
      <c r="ASP121" s="285" t="s">
        <v>377</v>
      </c>
      <c r="ASQ121" s="285" t="s">
        <v>376</v>
      </c>
      <c r="ASR121" s="285" t="s">
        <v>377</v>
      </c>
      <c r="ASS121" s="285" t="s">
        <v>376</v>
      </c>
      <c r="AST121" s="285" t="s">
        <v>377</v>
      </c>
      <c r="ASU121" s="285" t="s">
        <v>376</v>
      </c>
      <c r="ASV121" s="285" t="s">
        <v>377</v>
      </c>
      <c r="ASW121" s="285" t="s">
        <v>376</v>
      </c>
      <c r="ASX121" s="285" t="s">
        <v>377</v>
      </c>
      <c r="ASY121" s="285" t="s">
        <v>376</v>
      </c>
      <c r="ASZ121" s="285" t="s">
        <v>377</v>
      </c>
      <c r="ATA121" s="285" t="s">
        <v>376</v>
      </c>
      <c r="ATB121" s="285" t="s">
        <v>377</v>
      </c>
      <c r="ATC121" s="285" t="s">
        <v>376</v>
      </c>
      <c r="ATD121" s="285" t="s">
        <v>377</v>
      </c>
      <c r="ATE121" s="285" t="s">
        <v>376</v>
      </c>
      <c r="ATF121" s="285" t="s">
        <v>377</v>
      </c>
      <c r="ATG121" s="285" t="s">
        <v>376</v>
      </c>
      <c r="ATH121" s="285" t="s">
        <v>377</v>
      </c>
      <c r="ATI121" s="285" t="s">
        <v>376</v>
      </c>
      <c r="ATJ121" s="285" t="s">
        <v>377</v>
      </c>
      <c r="ATK121" s="285" t="s">
        <v>376</v>
      </c>
      <c r="ATL121" s="285" t="s">
        <v>377</v>
      </c>
      <c r="ATM121" s="285" t="s">
        <v>376</v>
      </c>
      <c r="ATN121" s="285" t="s">
        <v>377</v>
      </c>
      <c r="ATO121" s="285" t="s">
        <v>376</v>
      </c>
      <c r="ATP121" s="285" t="s">
        <v>377</v>
      </c>
      <c r="ATQ121" s="285" t="s">
        <v>376</v>
      </c>
      <c r="ATR121" s="285" t="s">
        <v>377</v>
      </c>
      <c r="ATS121" s="285" t="s">
        <v>376</v>
      </c>
      <c r="ATT121" s="285" t="s">
        <v>377</v>
      </c>
      <c r="ATU121" s="285" t="s">
        <v>376</v>
      </c>
      <c r="ATV121" s="285" t="s">
        <v>377</v>
      </c>
      <c r="ATW121" s="285" t="s">
        <v>376</v>
      </c>
      <c r="ATX121" s="285" t="s">
        <v>377</v>
      </c>
      <c r="ATY121" s="285" t="s">
        <v>376</v>
      </c>
      <c r="ATZ121" s="285" t="s">
        <v>377</v>
      </c>
      <c r="AUA121" s="285" t="s">
        <v>376</v>
      </c>
      <c r="AUB121" s="285" t="s">
        <v>377</v>
      </c>
      <c r="AUC121" s="285" t="s">
        <v>376</v>
      </c>
      <c r="AUD121" s="285" t="s">
        <v>377</v>
      </c>
      <c r="AUE121" s="285" t="s">
        <v>376</v>
      </c>
      <c r="AUF121" s="285" t="s">
        <v>377</v>
      </c>
      <c r="AUG121" s="285" t="s">
        <v>376</v>
      </c>
      <c r="AUH121" s="285" t="s">
        <v>377</v>
      </c>
      <c r="AUI121" s="285" t="s">
        <v>376</v>
      </c>
      <c r="AUJ121" s="285" t="s">
        <v>377</v>
      </c>
      <c r="AUK121" s="285" t="s">
        <v>376</v>
      </c>
      <c r="AUL121" s="285" t="s">
        <v>377</v>
      </c>
      <c r="AUM121" s="285" t="s">
        <v>376</v>
      </c>
      <c r="AUN121" s="285" t="s">
        <v>377</v>
      </c>
      <c r="AUO121" s="285" t="s">
        <v>376</v>
      </c>
      <c r="AUP121" s="285" t="s">
        <v>377</v>
      </c>
      <c r="AUQ121" s="285" t="s">
        <v>376</v>
      </c>
      <c r="AUR121" s="285" t="s">
        <v>377</v>
      </c>
      <c r="AUS121" s="285" t="s">
        <v>376</v>
      </c>
      <c r="AUT121" s="285" t="s">
        <v>377</v>
      </c>
      <c r="AUU121" s="285" t="s">
        <v>376</v>
      </c>
      <c r="AUV121" s="285" t="s">
        <v>377</v>
      </c>
      <c r="AUW121" s="285" t="s">
        <v>376</v>
      </c>
      <c r="AUX121" s="285" t="s">
        <v>377</v>
      </c>
      <c r="AUY121" s="285" t="s">
        <v>376</v>
      </c>
      <c r="AUZ121" s="285" t="s">
        <v>377</v>
      </c>
      <c r="AVA121" s="285" t="s">
        <v>376</v>
      </c>
      <c r="AVB121" s="285" t="s">
        <v>377</v>
      </c>
      <c r="AVC121" s="285" t="s">
        <v>376</v>
      </c>
      <c r="AVD121" s="285" t="s">
        <v>377</v>
      </c>
      <c r="AVE121" s="285" t="s">
        <v>376</v>
      </c>
      <c r="AVF121" s="285" t="s">
        <v>377</v>
      </c>
      <c r="AVG121" s="285" t="s">
        <v>376</v>
      </c>
      <c r="AVH121" s="285" t="s">
        <v>377</v>
      </c>
      <c r="AVI121" s="285" t="s">
        <v>376</v>
      </c>
      <c r="AVJ121" s="285" t="s">
        <v>377</v>
      </c>
      <c r="AVK121" s="285" t="s">
        <v>376</v>
      </c>
      <c r="AVL121" s="285" t="s">
        <v>377</v>
      </c>
      <c r="AVM121" s="285" t="s">
        <v>376</v>
      </c>
      <c r="AVN121" s="285" t="s">
        <v>377</v>
      </c>
      <c r="AVO121" s="285" t="s">
        <v>376</v>
      </c>
      <c r="AVP121" s="285" t="s">
        <v>377</v>
      </c>
      <c r="AVQ121" s="285" t="s">
        <v>376</v>
      </c>
      <c r="AVR121" s="285" t="s">
        <v>377</v>
      </c>
      <c r="AVS121" s="285" t="s">
        <v>376</v>
      </c>
      <c r="AVT121" s="285" t="s">
        <v>377</v>
      </c>
      <c r="AVU121" s="285" t="s">
        <v>376</v>
      </c>
      <c r="AVV121" s="285" t="s">
        <v>377</v>
      </c>
      <c r="AVW121" s="285" t="s">
        <v>376</v>
      </c>
      <c r="AVX121" s="285" t="s">
        <v>377</v>
      </c>
      <c r="AVY121" s="285" t="s">
        <v>376</v>
      </c>
      <c r="AVZ121" s="285" t="s">
        <v>377</v>
      </c>
      <c r="AWA121" s="285" t="s">
        <v>376</v>
      </c>
      <c r="AWB121" s="285" t="s">
        <v>377</v>
      </c>
      <c r="AWC121" s="285" t="s">
        <v>376</v>
      </c>
      <c r="AWD121" s="285" t="s">
        <v>377</v>
      </c>
      <c r="AWE121" s="285" t="s">
        <v>376</v>
      </c>
      <c r="AWF121" s="285" t="s">
        <v>377</v>
      </c>
      <c r="AWG121" s="285" t="s">
        <v>376</v>
      </c>
      <c r="AWH121" s="285" t="s">
        <v>377</v>
      </c>
      <c r="AWI121" s="285" t="s">
        <v>376</v>
      </c>
      <c r="AWJ121" s="285" t="s">
        <v>377</v>
      </c>
      <c r="AWK121" s="285" t="s">
        <v>376</v>
      </c>
      <c r="AWL121" s="285" t="s">
        <v>377</v>
      </c>
      <c r="AWM121" s="285" t="s">
        <v>376</v>
      </c>
      <c r="AWN121" s="285" t="s">
        <v>377</v>
      </c>
      <c r="AWO121" s="285" t="s">
        <v>376</v>
      </c>
      <c r="AWP121" s="285" t="s">
        <v>377</v>
      </c>
      <c r="AWQ121" s="285" t="s">
        <v>376</v>
      </c>
      <c r="AWR121" s="285" t="s">
        <v>377</v>
      </c>
      <c r="AWS121" s="285" t="s">
        <v>376</v>
      </c>
      <c r="AWT121" s="285" t="s">
        <v>377</v>
      </c>
      <c r="AWU121" s="285" t="s">
        <v>376</v>
      </c>
      <c r="AWV121" s="285" t="s">
        <v>377</v>
      </c>
      <c r="AWW121" s="285" t="s">
        <v>376</v>
      </c>
      <c r="AWX121" s="285" t="s">
        <v>377</v>
      </c>
      <c r="AWY121" s="285" t="s">
        <v>376</v>
      </c>
      <c r="AWZ121" s="285" t="s">
        <v>377</v>
      </c>
      <c r="AXA121" s="285" t="s">
        <v>376</v>
      </c>
      <c r="AXB121" s="285" t="s">
        <v>377</v>
      </c>
      <c r="AXC121" s="285" t="s">
        <v>376</v>
      </c>
      <c r="AXD121" s="285" t="s">
        <v>377</v>
      </c>
      <c r="AXE121" s="285" t="s">
        <v>376</v>
      </c>
      <c r="AXF121" s="285" t="s">
        <v>377</v>
      </c>
      <c r="AXG121" s="285" t="s">
        <v>376</v>
      </c>
      <c r="AXH121" s="285" t="s">
        <v>377</v>
      </c>
      <c r="AXI121" s="285" t="s">
        <v>376</v>
      </c>
      <c r="AXJ121" s="285" t="s">
        <v>377</v>
      </c>
      <c r="AXK121" s="285" t="s">
        <v>376</v>
      </c>
      <c r="AXL121" s="285" t="s">
        <v>377</v>
      </c>
      <c r="AXM121" s="285" t="s">
        <v>376</v>
      </c>
      <c r="AXN121" s="285" t="s">
        <v>377</v>
      </c>
      <c r="AXO121" s="285" t="s">
        <v>376</v>
      </c>
      <c r="AXP121" s="285" t="s">
        <v>377</v>
      </c>
      <c r="AXQ121" s="285" t="s">
        <v>376</v>
      </c>
      <c r="AXR121" s="285" t="s">
        <v>377</v>
      </c>
      <c r="AXS121" s="285" t="s">
        <v>376</v>
      </c>
      <c r="AXT121" s="285" t="s">
        <v>377</v>
      </c>
      <c r="AXU121" s="285" t="s">
        <v>376</v>
      </c>
      <c r="AXV121" s="285" t="s">
        <v>377</v>
      </c>
      <c r="AXW121" s="285" t="s">
        <v>376</v>
      </c>
      <c r="AXX121" s="285" t="s">
        <v>377</v>
      </c>
      <c r="AXY121" s="285" t="s">
        <v>376</v>
      </c>
      <c r="AXZ121" s="285" t="s">
        <v>377</v>
      </c>
      <c r="AYA121" s="285" t="s">
        <v>376</v>
      </c>
      <c r="AYB121" s="285" t="s">
        <v>377</v>
      </c>
      <c r="AYC121" s="285" t="s">
        <v>376</v>
      </c>
      <c r="AYD121" s="285" t="s">
        <v>377</v>
      </c>
      <c r="AYE121" s="285" t="s">
        <v>376</v>
      </c>
      <c r="AYF121" s="285" t="s">
        <v>377</v>
      </c>
      <c r="AYG121" s="285" t="s">
        <v>376</v>
      </c>
      <c r="AYH121" s="285" t="s">
        <v>377</v>
      </c>
      <c r="AYI121" s="285" t="s">
        <v>376</v>
      </c>
      <c r="AYJ121" s="285" t="s">
        <v>377</v>
      </c>
      <c r="AYK121" s="285" t="s">
        <v>376</v>
      </c>
      <c r="AYL121" s="285" t="s">
        <v>377</v>
      </c>
      <c r="AYM121" s="285" t="s">
        <v>376</v>
      </c>
      <c r="AYN121" s="285" t="s">
        <v>377</v>
      </c>
      <c r="AYO121" s="285" t="s">
        <v>376</v>
      </c>
      <c r="AYP121" s="285" t="s">
        <v>377</v>
      </c>
      <c r="AYQ121" s="285" t="s">
        <v>376</v>
      </c>
      <c r="AYR121" s="285" t="s">
        <v>377</v>
      </c>
      <c r="AYS121" s="285" t="s">
        <v>376</v>
      </c>
      <c r="AYT121" s="285" t="s">
        <v>377</v>
      </c>
      <c r="AYU121" s="285" t="s">
        <v>376</v>
      </c>
      <c r="AYV121" s="285" t="s">
        <v>377</v>
      </c>
      <c r="AYW121" s="285" t="s">
        <v>376</v>
      </c>
      <c r="AYX121" s="285" t="s">
        <v>377</v>
      </c>
      <c r="AYY121" s="285" t="s">
        <v>376</v>
      </c>
      <c r="AYZ121" s="285" t="s">
        <v>377</v>
      </c>
      <c r="AZA121" s="285" t="s">
        <v>376</v>
      </c>
      <c r="AZB121" s="285" t="s">
        <v>377</v>
      </c>
      <c r="AZC121" s="285" t="s">
        <v>376</v>
      </c>
      <c r="AZD121" s="285" t="s">
        <v>377</v>
      </c>
      <c r="AZE121" s="285" t="s">
        <v>376</v>
      </c>
      <c r="AZF121" s="285" t="s">
        <v>377</v>
      </c>
      <c r="AZG121" s="285" t="s">
        <v>376</v>
      </c>
      <c r="AZH121" s="285" t="s">
        <v>377</v>
      </c>
      <c r="AZI121" s="285" t="s">
        <v>376</v>
      </c>
      <c r="AZJ121" s="285" t="s">
        <v>377</v>
      </c>
      <c r="AZK121" s="285" t="s">
        <v>376</v>
      </c>
      <c r="AZL121" s="285" t="s">
        <v>377</v>
      </c>
      <c r="AZM121" s="285" t="s">
        <v>376</v>
      </c>
      <c r="AZN121" s="285" t="s">
        <v>377</v>
      </c>
      <c r="AZO121" s="285" t="s">
        <v>376</v>
      </c>
      <c r="AZP121" s="285" t="s">
        <v>377</v>
      </c>
      <c r="AZQ121" s="285" t="s">
        <v>376</v>
      </c>
      <c r="AZR121" s="285" t="s">
        <v>377</v>
      </c>
      <c r="AZS121" s="285" t="s">
        <v>376</v>
      </c>
      <c r="AZT121" s="285" t="s">
        <v>377</v>
      </c>
      <c r="AZU121" s="285" t="s">
        <v>376</v>
      </c>
      <c r="AZV121" s="285" t="s">
        <v>377</v>
      </c>
      <c r="AZW121" s="285" t="s">
        <v>376</v>
      </c>
      <c r="AZX121" s="285" t="s">
        <v>377</v>
      </c>
      <c r="AZY121" s="285" t="s">
        <v>376</v>
      </c>
      <c r="AZZ121" s="285" t="s">
        <v>377</v>
      </c>
      <c r="BAA121" s="285" t="s">
        <v>376</v>
      </c>
      <c r="BAB121" s="285" t="s">
        <v>377</v>
      </c>
      <c r="BAC121" s="285" t="s">
        <v>376</v>
      </c>
      <c r="BAD121" s="285" t="s">
        <v>377</v>
      </c>
      <c r="BAE121" s="285" t="s">
        <v>376</v>
      </c>
      <c r="BAF121" s="285" t="s">
        <v>377</v>
      </c>
      <c r="BAG121" s="285" t="s">
        <v>376</v>
      </c>
      <c r="BAH121" s="285" t="s">
        <v>377</v>
      </c>
      <c r="BAI121" s="285" t="s">
        <v>376</v>
      </c>
      <c r="BAJ121" s="285" t="s">
        <v>377</v>
      </c>
      <c r="BAK121" s="285" t="s">
        <v>376</v>
      </c>
      <c r="BAL121" s="285" t="s">
        <v>377</v>
      </c>
      <c r="BAM121" s="285" t="s">
        <v>376</v>
      </c>
      <c r="BAN121" s="285" t="s">
        <v>377</v>
      </c>
      <c r="BAO121" s="285" t="s">
        <v>376</v>
      </c>
      <c r="BAP121" s="285" t="s">
        <v>377</v>
      </c>
      <c r="BAQ121" s="285" t="s">
        <v>376</v>
      </c>
      <c r="BAR121" s="285" t="s">
        <v>377</v>
      </c>
      <c r="BAS121" s="285" t="s">
        <v>376</v>
      </c>
      <c r="BAT121" s="285" t="s">
        <v>377</v>
      </c>
      <c r="BAU121" s="285" t="s">
        <v>376</v>
      </c>
      <c r="BAV121" s="285" t="s">
        <v>377</v>
      </c>
      <c r="BAW121" s="285" t="s">
        <v>376</v>
      </c>
      <c r="BAX121" s="285" t="s">
        <v>377</v>
      </c>
      <c r="BAY121" s="285" t="s">
        <v>376</v>
      </c>
      <c r="BAZ121" s="285" t="s">
        <v>377</v>
      </c>
      <c r="BBA121" s="285" t="s">
        <v>376</v>
      </c>
      <c r="BBB121" s="285" t="s">
        <v>377</v>
      </c>
      <c r="BBC121" s="285" t="s">
        <v>376</v>
      </c>
      <c r="BBD121" s="285" t="s">
        <v>377</v>
      </c>
      <c r="BBE121" s="285" t="s">
        <v>376</v>
      </c>
      <c r="BBF121" s="285" t="s">
        <v>377</v>
      </c>
      <c r="BBG121" s="285" t="s">
        <v>376</v>
      </c>
      <c r="BBH121" s="285" t="s">
        <v>377</v>
      </c>
      <c r="BBI121" s="285" t="s">
        <v>376</v>
      </c>
      <c r="BBJ121" s="285" t="s">
        <v>377</v>
      </c>
      <c r="BBK121" s="285" t="s">
        <v>376</v>
      </c>
      <c r="BBL121" s="285" t="s">
        <v>377</v>
      </c>
      <c r="BBM121" s="285" t="s">
        <v>376</v>
      </c>
      <c r="BBN121" s="285" t="s">
        <v>377</v>
      </c>
      <c r="BBO121" s="285" t="s">
        <v>376</v>
      </c>
      <c r="BBP121" s="285" t="s">
        <v>377</v>
      </c>
      <c r="BBQ121" s="285" t="s">
        <v>376</v>
      </c>
      <c r="BBR121" s="285" t="s">
        <v>377</v>
      </c>
      <c r="BBS121" s="285" t="s">
        <v>376</v>
      </c>
      <c r="BBT121" s="285" t="s">
        <v>377</v>
      </c>
      <c r="BBU121" s="285" t="s">
        <v>376</v>
      </c>
      <c r="BBV121" s="285" t="s">
        <v>377</v>
      </c>
      <c r="BBW121" s="285" t="s">
        <v>376</v>
      </c>
      <c r="BBX121" s="285" t="s">
        <v>377</v>
      </c>
      <c r="BBY121" s="285" t="s">
        <v>376</v>
      </c>
      <c r="BBZ121" s="285" t="s">
        <v>377</v>
      </c>
      <c r="BCA121" s="285" t="s">
        <v>376</v>
      </c>
      <c r="BCB121" s="285" t="s">
        <v>377</v>
      </c>
      <c r="BCC121" s="285" t="s">
        <v>376</v>
      </c>
      <c r="BCD121" s="285" t="s">
        <v>377</v>
      </c>
      <c r="BCE121" s="285" t="s">
        <v>376</v>
      </c>
      <c r="BCF121" s="285" t="s">
        <v>377</v>
      </c>
      <c r="BCG121" s="285" t="s">
        <v>376</v>
      </c>
      <c r="BCH121" s="285" t="s">
        <v>377</v>
      </c>
      <c r="BCI121" s="285" t="s">
        <v>376</v>
      </c>
      <c r="BCJ121" s="285" t="s">
        <v>377</v>
      </c>
      <c r="BCK121" s="285" t="s">
        <v>376</v>
      </c>
      <c r="BCL121" s="285" t="s">
        <v>377</v>
      </c>
      <c r="BCM121" s="285" t="s">
        <v>376</v>
      </c>
      <c r="BCN121" s="285" t="s">
        <v>377</v>
      </c>
      <c r="BCO121" s="285" t="s">
        <v>376</v>
      </c>
      <c r="BCP121" s="285" t="s">
        <v>377</v>
      </c>
      <c r="BCQ121" s="285" t="s">
        <v>376</v>
      </c>
      <c r="BCR121" s="285" t="s">
        <v>377</v>
      </c>
      <c r="BCS121" s="285" t="s">
        <v>376</v>
      </c>
      <c r="BCT121" s="285" t="s">
        <v>377</v>
      </c>
      <c r="BCU121" s="285" t="s">
        <v>376</v>
      </c>
      <c r="BCV121" s="285" t="s">
        <v>377</v>
      </c>
      <c r="BCW121" s="285" t="s">
        <v>376</v>
      </c>
      <c r="BCX121" s="285" t="s">
        <v>377</v>
      </c>
      <c r="BCY121" s="285" t="s">
        <v>376</v>
      </c>
      <c r="BCZ121" s="285" t="s">
        <v>377</v>
      </c>
      <c r="BDA121" s="285" t="s">
        <v>376</v>
      </c>
      <c r="BDB121" s="285" t="s">
        <v>377</v>
      </c>
      <c r="BDC121" s="285" t="s">
        <v>376</v>
      </c>
      <c r="BDD121" s="285" t="s">
        <v>377</v>
      </c>
      <c r="BDE121" s="285" t="s">
        <v>376</v>
      </c>
      <c r="BDF121" s="285" t="s">
        <v>377</v>
      </c>
      <c r="BDG121" s="285" t="s">
        <v>376</v>
      </c>
      <c r="BDH121" s="285" t="s">
        <v>377</v>
      </c>
      <c r="BDI121" s="285" t="s">
        <v>376</v>
      </c>
      <c r="BDJ121" s="285" t="s">
        <v>377</v>
      </c>
      <c r="BDK121" s="285" t="s">
        <v>376</v>
      </c>
      <c r="BDL121" s="285" t="s">
        <v>377</v>
      </c>
      <c r="BDM121" s="285" t="s">
        <v>376</v>
      </c>
      <c r="BDN121" s="285" t="s">
        <v>377</v>
      </c>
      <c r="BDO121" s="285" t="s">
        <v>376</v>
      </c>
      <c r="BDP121" s="285" t="s">
        <v>377</v>
      </c>
      <c r="BDQ121" s="285" t="s">
        <v>376</v>
      </c>
      <c r="BDR121" s="285" t="s">
        <v>377</v>
      </c>
      <c r="BDS121" s="285" t="s">
        <v>376</v>
      </c>
      <c r="BDT121" s="285" t="s">
        <v>377</v>
      </c>
      <c r="BDU121" s="285" t="s">
        <v>376</v>
      </c>
      <c r="BDV121" s="285" t="s">
        <v>377</v>
      </c>
      <c r="BDW121" s="285" t="s">
        <v>376</v>
      </c>
      <c r="BDX121" s="285" t="s">
        <v>377</v>
      </c>
      <c r="BDY121" s="285" t="s">
        <v>376</v>
      </c>
      <c r="BDZ121" s="285" t="s">
        <v>377</v>
      </c>
      <c r="BEA121" s="285" t="s">
        <v>376</v>
      </c>
      <c r="BEB121" s="285" t="s">
        <v>377</v>
      </c>
      <c r="BEC121" s="285" t="s">
        <v>376</v>
      </c>
      <c r="BED121" s="285" t="s">
        <v>377</v>
      </c>
      <c r="BEE121" s="285" t="s">
        <v>376</v>
      </c>
      <c r="BEF121" s="285" t="s">
        <v>377</v>
      </c>
      <c r="BEG121" s="285" t="s">
        <v>376</v>
      </c>
      <c r="BEH121" s="285" t="s">
        <v>377</v>
      </c>
      <c r="BEI121" s="285" t="s">
        <v>376</v>
      </c>
      <c r="BEJ121" s="285" t="s">
        <v>377</v>
      </c>
      <c r="BEK121" s="285" t="s">
        <v>376</v>
      </c>
      <c r="BEL121" s="285" t="s">
        <v>377</v>
      </c>
      <c r="BEM121" s="285" t="s">
        <v>376</v>
      </c>
      <c r="BEN121" s="285" t="s">
        <v>377</v>
      </c>
      <c r="BEO121" s="285" t="s">
        <v>376</v>
      </c>
      <c r="BEP121" s="285" t="s">
        <v>377</v>
      </c>
      <c r="BEQ121" s="285" t="s">
        <v>376</v>
      </c>
      <c r="BER121" s="285" t="s">
        <v>377</v>
      </c>
      <c r="BES121" s="285" t="s">
        <v>376</v>
      </c>
      <c r="BET121" s="285" t="s">
        <v>377</v>
      </c>
      <c r="BEU121" s="285" t="s">
        <v>376</v>
      </c>
      <c r="BEV121" s="285" t="s">
        <v>377</v>
      </c>
      <c r="BEW121" s="285" t="s">
        <v>376</v>
      </c>
      <c r="BEX121" s="285" t="s">
        <v>377</v>
      </c>
      <c r="BEY121" s="285" t="s">
        <v>376</v>
      </c>
      <c r="BEZ121" s="285" t="s">
        <v>377</v>
      </c>
      <c r="BFA121" s="285" t="s">
        <v>376</v>
      </c>
      <c r="BFB121" s="285" t="s">
        <v>377</v>
      </c>
      <c r="BFC121" s="285" t="s">
        <v>376</v>
      </c>
      <c r="BFD121" s="285" t="s">
        <v>377</v>
      </c>
      <c r="BFE121" s="285" t="s">
        <v>376</v>
      </c>
      <c r="BFF121" s="285" t="s">
        <v>377</v>
      </c>
      <c r="BFG121" s="285" t="s">
        <v>376</v>
      </c>
      <c r="BFH121" s="285" t="s">
        <v>377</v>
      </c>
      <c r="BFI121" s="285" t="s">
        <v>376</v>
      </c>
      <c r="BFJ121" s="285" t="s">
        <v>377</v>
      </c>
      <c r="BFK121" s="285" t="s">
        <v>376</v>
      </c>
      <c r="BFL121" s="285" t="s">
        <v>377</v>
      </c>
      <c r="BFM121" s="285" t="s">
        <v>376</v>
      </c>
      <c r="BFN121" s="285" t="s">
        <v>377</v>
      </c>
      <c r="BFO121" s="285" t="s">
        <v>376</v>
      </c>
      <c r="BFP121" s="285" t="s">
        <v>377</v>
      </c>
      <c r="BFQ121" s="285" t="s">
        <v>376</v>
      </c>
      <c r="BFR121" s="285" t="s">
        <v>377</v>
      </c>
      <c r="BFS121" s="285" t="s">
        <v>376</v>
      </c>
      <c r="BFT121" s="285" t="s">
        <v>377</v>
      </c>
      <c r="BFU121" s="285" t="s">
        <v>376</v>
      </c>
      <c r="BFV121" s="285" t="s">
        <v>377</v>
      </c>
      <c r="BFW121" s="285" t="s">
        <v>376</v>
      </c>
      <c r="BFX121" s="285" t="s">
        <v>377</v>
      </c>
      <c r="BFY121" s="285" t="s">
        <v>376</v>
      </c>
      <c r="BFZ121" s="285" t="s">
        <v>377</v>
      </c>
      <c r="BGA121" s="285" t="s">
        <v>376</v>
      </c>
      <c r="BGB121" s="285" t="s">
        <v>377</v>
      </c>
      <c r="BGC121" s="285" t="s">
        <v>376</v>
      </c>
      <c r="BGD121" s="285" t="s">
        <v>377</v>
      </c>
      <c r="BGE121" s="285" t="s">
        <v>376</v>
      </c>
      <c r="BGF121" s="285" t="s">
        <v>377</v>
      </c>
      <c r="BGG121" s="285" t="s">
        <v>376</v>
      </c>
      <c r="BGH121" s="285" t="s">
        <v>377</v>
      </c>
      <c r="BGI121" s="285" t="s">
        <v>376</v>
      </c>
      <c r="BGJ121" s="285" t="s">
        <v>377</v>
      </c>
      <c r="BGK121" s="285" t="s">
        <v>376</v>
      </c>
      <c r="BGL121" s="285" t="s">
        <v>377</v>
      </c>
      <c r="BGM121" s="285" t="s">
        <v>376</v>
      </c>
      <c r="BGN121" s="285" t="s">
        <v>377</v>
      </c>
      <c r="BGO121" s="285" t="s">
        <v>376</v>
      </c>
      <c r="BGP121" s="285" t="s">
        <v>377</v>
      </c>
      <c r="BGQ121" s="285" t="s">
        <v>376</v>
      </c>
      <c r="BGR121" s="285" t="s">
        <v>377</v>
      </c>
      <c r="BGS121" s="285" t="s">
        <v>376</v>
      </c>
      <c r="BGT121" s="285" t="s">
        <v>377</v>
      </c>
      <c r="BGU121" s="285" t="s">
        <v>376</v>
      </c>
      <c r="BGV121" s="285" t="s">
        <v>377</v>
      </c>
      <c r="BGW121" s="285" t="s">
        <v>376</v>
      </c>
      <c r="BGX121" s="285" t="s">
        <v>377</v>
      </c>
      <c r="BGY121" s="285" t="s">
        <v>376</v>
      </c>
      <c r="BGZ121" s="285" t="s">
        <v>377</v>
      </c>
      <c r="BHA121" s="285" t="s">
        <v>376</v>
      </c>
      <c r="BHB121" s="285" t="s">
        <v>377</v>
      </c>
      <c r="BHC121" s="285" t="s">
        <v>376</v>
      </c>
      <c r="BHD121" s="285" t="s">
        <v>377</v>
      </c>
      <c r="BHE121" s="285" t="s">
        <v>376</v>
      </c>
      <c r="BHF121" s="285" t="s">
        <v>377</v>
      </c>
      <c r="BHG121" s="285" t="s">
        <v>376</v>
      </c>
      <c r="BHH121" s="285" t="s">
        <v>377</v>
      </c>
      <c r="BHI121" s="285" t="s">
        <v>376</v>
      </c>
      <c r="BHJ121" s="285" t="s">
        <v>377</v>
      </c>
      <c r="BHK121" s="285" t="s">
        <v>376</v>
      </c>
      <c r="BHL121" s="285" t="s">
        <v>377</v>
      </c>
      <c r="BHM121" s="285" t="s">
        <v>376</v>
      </c>
      <c r="BHN121" s="285" t="s">
        <v>377</v>
      </c>
      <c r="BHO121" s="285" t="s">
        <v>376</v>
      </c>
      <c r="BHP121" s="285" t="s">
        <v>377</v>
      </c>
      <c r="BHQ121" s="285" t="s">
        <v>376</v>
      </c>
      <c r="BHR121" s="285" t="s">
        <v>377</v>
      </c>
      <c r="BHS121" s="285" t="s">
        <v>376</v>
      </c>
      <c r="BHT121" s="285" t="s">
        <v>377</v>
      </c>
      <c r="BHU121" s="285" t="s">
        <v>376</v>
      </c>
      <c r="BHV121" s="285" t="s">
        <v>377</v>
      </c>
      <c r="BHW121" s="285" t="s">
        <v>376</v>
      </c>
      <c r="BHX121" s="285" t="s">
        <v>377</v>
      </c>
      <c r="BHY121" s="285" t="s">
        <v>376</v>
      </c>
      <c r="BHZ121" s="285" t="s">
        <v>377</v>
      </c>
      <c r="BIA121" s="285" t="s">
        <v>376</v>
      </c>
      <c r="BIB121" s="285" t="s">
        <v>377</v>
      </c>
      <c r="BIC121" s="285" t="s">
        <v>376</v>
      </c>
      <c r="BID121" s="285" t="s">
        <v>377</v>
      </c>
      <c r="BIE121" s="285" t="s">
        <v>376</v>
      </c>
      <c r="BIF121" s="285" t="s">
        <v>377</v>
      </c>
      <c r="BIG121" s="285" t="s">
        <v>376</v>
      </c>
      <c r="BIH121" s="285" t="s">
        <v>377</v>
      </c>
      <c r="BII121" s="285" t="s">
        <v>376</v>
      </c>
      <c r="BIJ121" s="285" t="s">
        <v>377</v>
      </c>
      <c r="BIK121" s="285" t="s">
        <v>376</v>
      </c>
      <c r="BIL121" s="285" t="s">
        <v>377</v>
      </c>
      <c r="BIM121" s="285" t="s">
        <v>376</v>
      </c>
      <c r="BIN121" s="285" t="s">
        <v>377</v>
      </c>
      <c r="BIO121" s="285" t="s">
        <v>376</v>
      </c>
      <c r="BIP121" s="285" t="s">
        <v>377</v>
      </c>
      <c r="BIQ121" s="285" t="s">
        <v>376</v>
      </c>
      <c r="BIR121" s="285" t="s">
        <v>377</v>
      </c>
      <c r="BIS121" s="285" t="s">
        <v>376</v>
      </c>
      <c r="BIT121" s="285" t="s">
        <v>377</v>
      </c>
      <c r="BIU121" s="285" t="s">
        <v>376</v>
      </c>
      <c r="BIV121" s="285" t="s">
        <v>377</v>
      </c>
      <c r="BIW121" s="285" t="s">
        <v>376</v>
      </c>
      <c r="BIX121" s="285" t="s">
        <v>377</v>
      </c>
      <c r="BIY121" s="285" t="s">
        <v>376</v>
      </c>
      <c r="BIZ121" s="285" t="s">
        <v>377</v>
      </c>
      <c r="BJA121" s="285" t="s">
        <v>376</v>
      </c>
      <c r="BJB121" s="285" t="s">
        <v>377</v>
      </c>
      <c r="BJC121" s="285" t="s">
        <v>376</v>
      </c>
      <c r="BJD121" s="285" t="s">
        <v>377</v>
      </c>
      <c r="BJE121" s="285" t="s">
        <v>376</v>
      </c>
      <c r="BJF121" s="285" t="s">
        <v>377</v>
      </c>
      <c r="BJG121" s="285" t="s">
        <v>376</v>
      </c>
      <c r="BJH121" s="285" t="s">
        <v>377</v>
      </c>
      <c r="BJI121" s="285" t="s">
        <v>376</v>
      </c>
      <c r="BJJ121" s="285" t="s">
        <v>377</v>
      </c>
      <c r="BJK121" s="285" t="s">
        <v>376</v>
      </c>
      <c r="BJL121" s="285" t="s">
        <v>377</v>
      </c>
      <c r="BJM121" s="285" t="s">
        <v>376</v>
      </c>
      <c r="BJN121" s="285" t="s">
        <v>377</v>
      </c>
      <c r="BJO121" s="285" t="s">
        <v>376</v>
      </c>
      <c r="BJP121" s="285" t="s">
        <v>377</v>
      </c>
      <c r="BJQ121" s="285" t="s">
        <v>376</v>
      </c>
      <c r="BJR121" s="285" t="s">
        <v>377</v>
      </c>
      <c r="BJS121" s="285" t="s">
        <v>376</v>
      </c>
      <c r="BJT121" s="285" t="s">
        <v>377</v>
      </c>
      <c r="BJU121" s="285" t="s">
        <v>376</v>
      </c>
      <c r="BJV121" s="285" t="s">
        <v>377</v>
      </c>
      <c r="BJW121" s="285" t="s">
        <v>376</v>
      </c>
      <c r="BJX121" s="285" t="s">
        <v>377</v>
      </c>
      <c r="BJY121" s="285" t="s">
        <v>376</v>
      </c>
      <c r="BJZ121" s="285" t="s">
        <v>377</v>
      </c>
      <c r="BKA121" s="285" t="s">
        <v>376</v>
      </c>
      <c r="BKB121" s="285" t="s">
        <v>377</v>
      </c>
      <c r="BKC121" s="285" t="s">
        <v>376</v>
      </c>
      <c r="BKD121" s="285" t="s">
        <v>377</v>
      </c>
      <c r="BKE121" s="285" t="s">
        <v>376</v>
      </c>
      <c r="BKF121" s="285" t="s">
        <v>377</v>
      </c>
      <c r="BKG121" s="285" t="s">
        <v>376</v>
      </c>
      <c r="BKH121" s="285" t="s">
        <v>377</v>
      </c>
      <c r="BKI121" s="285" t="s">
        <v>376</v>
      </c>
      <c r="BKJ121" s="285" t="s">
        <v>377</v>
      </c>
      <c r="BKK121" s="285" t="s">
        <v>376</v>
      </c>
      <c r="BKL121" s="285" t="s">
        <v>377</v>
      </c>
      <c r="BKM121" s="285" t="s">
        <v>376</v>
      </c>
      <c r="BKN121" s="285" t="s">
        <v>377</v>
      </c>
      <c r="BKO121" s="285" t="s">
        <v>376</v>
      </c>
      <c r="BKP121" s="285" t="s">
        <v>377</v>
      </c>
      <c r="BKQ121" s="285" t="s">
        <v>376</v>
      </c>
      <c r="BKR121" s="285" t="s">
        <v>377</v>
      </c>
      <c r="BKS121" s="285" t="s">
        <v>376</v>
      </c>
      <c r="BKT121" s="285" t="s">
        <v>377</v>
      </c>
      <c r="BKU121" s="285" t="s">
        <v>376</v>
      </c>
      <c r="BKV121" s="285" t="s">
        <v>377</v>
      </c>
      <c r="BKW121" s="285" t="s">
        <v>376</v>
      </c>
      <c r="BKX121" s="285" t="s">
        <v>377</v>
      </c>
      <c r="BKY121" s="285" t="s">
        <v>376</v>
      </c>
      <c r="BKZ121" s="285" t="s">
        <v>377</v>
      </c>
      <c r="BLA121" s="285" t="s">
        <v>376</v>
      </c>
      <c r="BLB121" s="285" t="s">
        <v>377</v>
      </c>
      <c r="BLC121" s="285" t="s">
        <v>376</v>
      </c>
      <c r="BLD121" s="285" t="s">
        <v>377</v>
      </c>
      <c r="BLE121" s="285" t="s">
        <v>376</v>
      </c>
      <c r="BLF121" s="285" t="s">
        <v>377</v>
      </c>
      <c r="BLG121" s="285" t="s">
        <v>376</v>
      </c>
      <c r="BLH121" s="285" t="s">
        <v>377</v>
      </c>
      <c r="BLI121" s="285" t="s">
        <v>376</v>
      </c>
      <c r="BLJ121" s="285" t="s">
        <v>377</v>
      </c>
      <c r="BLK121" s="285" t="s">
        <v>376</v>
      </c>
      <c r="BLL121" s="285" t="s">
        <v>377</v>
      </c>
      <c r="BLM121" s="285" t="s">
        <v>376</v>
      </c>
      <c r="BLN121" s="285" t="s">
        <v>377</v>
      </c>
      <c r="BLO121" s="285" t="s">
        <v>376</v>
      </c>
      <c r="BLP121" s="285" t="s">
        <v>377</v>
      </c>
      <c r="BLQ121" s="285" t="s">
        <v>376</v>
      </c>
      <c r="BLR121" s="285" t="s">
        <v>377</v>
      </c>
      <c r="BLS121" s="285" t="s">
        <v>376</v>
      </c>
      <c r="BLT121" s="285" t="s">
        <v>377</v>
      </c>
      <c r="BLU121" s="285" t="s">
        <v>376</v>
      </c>
      <c r="BLV121" s="285" t="s">
        <v>377</v>
      </c>
      <c r="BLW121" s="285" t="s">
        <v>376</v>
      </c>
      <c r="BLX121" s="285" t="s">
        <v>377</v>
      </c>
      <c r="BLY121" s="285" t="s">
        <v>376</v>
      </c>
      <c r="BLZ121" s="285" t="s">
        <v>377</v>
      </c>
      <c r="BMA121" s="285" t="s">
        <v>376</v>
      </c>
      <c r="BMB121" s="285" t="s">
        <v>377</v>
      </c>
      <c r="BMC121" s="285" t="s">
        <v>376</v>
      </c>
      <c r="BMD121" s="285" t="s">
        <v>377</v>
      </c>
      <c r="BME121" s="285" t="s">
        <v>376</v>
      </c>
      <c r="BMF121" s="285" t="s">
        <v>377</v>
      </c>
      <c r="BMG121" s="285" t="s">
        <v>376</v>
      </c>
      <c r="BMH121" s="285" t="s">
        <v>377</v>
      </c>
      <c r="BMI121" s="285" t="s">
        <v>376</v>
      </c>
      <c r="BMJ121" s="285" t="s">
        <v>377</v>
      </c>
      <c r="BMK121" s="285" t="s">
        <v>376</v>
      </c>
      <c r="BML121" s="285" t="s">
        <v>377</v>
      </c>
      <c r="BMM121" s="285" t="s">
        <v>376</v>
      </c>
      <c r="BMN121" s="285" t="s">
        <v>377</v>
      </c>
      <c r="BMO121" s="285" t="s">
        <v>376</v>
      </c>
      <c r="BMP121" s="285" t="s">
        <v>377</v>
      </c>
      <c r="BMQ121" s="285" t="s">
        <v>376</v>
      </c>
      <c r="BMR121" s="285" t="s">
        <v>377</v>
      </c>
      <c r="BMS121" s="285" t="s">
        <v>376</v>
      </c>
      <c r="BMT121" s="285" t="s">
        <v>377</v>
      </c>
      <c r="BMU121" s="285" t="s">
        <v>376</v>
      </c>
      <c r="BMV121" s="285" t="s">
        <v>377</v>
      </c>
      <c r="BMW121" s="285" t="s">
        <v>376</v>
      </c>
      <c r="BMX121" s="285" t="s">
        <v>377</v>
      </c>
      <c r="BMY121" s="285" t="s">
        <v>376</v>
      </c>
      <c r="BMZ121" s="285" t="s">
        <v>377</v>
      </c>
      <c r="BNA121" s="285" t="s">
        <v>376</v>
      </c>
      <c r="BNB121" s="285" t="s">
        <v>377</v>
      </c>
      <c r="BNC121" s="285" t="s">
        <v>376</v>
      </c>
      <c r="BND121" s="285" t="s">
        <v>377</v>
      </c>
      <c r="BNE121" s="285" t="s">
        <v>376</v>
      </c>
      <c r="BNF121" s="285" t="s">
        <v>377</v>
      </c>
      <c r="BNG121" s="285" t="s">
        <v>376</v>
      </c>
      <c r="BNH121" s="285" t="s">
        <v>377</v>
      </c>
      <c r="BNI121" s="285" t="s">
        <v>376</v>
      </c>
      <c r="BNJ121" s="285" t="s">
        <v>377</v>
      </c>
      <c r="BNK121" s="285" t="s">
        <v>376</v>
      </c>
      <c r="BNL121" s="285" t="s">
        <v>377</v>
      </c>
      <c r="BNM121" s="285" t="s">
        <v>376</v>
      </c>
      <c r="BNN121" s="285" t="s">
        <v>377</v>
      </c>
      <c r="BNO121" s="285" t="s">
        <v>376</v>
      </c>
      <c r="BNP121" s="285" t="s">
        <v>377</v>
      </c>
      <c r="BNQ121" s="285" t="s">
        <v>376</v>
      </c>
      <c r="BNR121" s="285" t="s">
        <v>377</v>
      </c>
      <c r="BNS121" s="285" t="s">
        <v>376</v>
      </c>
      <c r="BNT121" s="285" t="s">
        <v>377</v>
      </c>
      <c r="BNU121" s="285" t="s">
        <v>376</v>
      </c>
      <c r="BNV121" s="285" t="s">
        <v>377</v>
      </c>
      <c r="BNW121" s="285" t="s">
        <v>376</v>
      </c>
      <c r="BNX121" s="285" t="s">
        <v>377</v>
      </c>
      <c r="BNY121" s="285" t="s">
        <v>376</v>
      </c>
      <c r="BNZ121" s="285" t="s">
        <v>377</v>
      </c>
      <c r="BOA121" s="285" t="s">
        <v>376</v>
      </c>
      <c r="BOB121" s="285" t="s">
        <v>377</v>
      </c>
      <c r="BOC121" s="285" t="s">
        <v>376</v>
      </c>
      <c r="BOD121" s="285" t="s">
        <v>377</v>
      </c>
      <c r="BOE121" s="285" t="s">
        <v>376</v>
      </c>
      <c r="BOF121" s="285" t="s">
        <v>377</v>
      </c>
      <c r="BOG121" s="285" t="s">
        <v>376</v>
      </c>
      <c r="BOH121" s="285" t="s">
        <v>377</v>
      </c>
      <c r="BOI121" s="285" t="s">
        <v>376</v>
      </c>
      <c r="BOJ121" s="285" t="s">
        <v>377</v>
      </c>
      <c r="BOK121" s="285" t="s">
        <v>376</v>
      </c>
      <c r="BOL121" s="285" t="s">
        <v>377</v>
      </c>
      <c r="BOM121" s="285" t="s">
        <v>376</v>
      </c>
      <c r="BON121" s="285" t="s">
        <v>377</v>
      </c>
      <c r="BOO121" s="285" t="s">
        <v>376</v>
      </c>
      <c r="BOP121" s="285" t="s">
        <v>377</v>
      </c>
      <c r="BOQ121" s="285" t="s">
        <v>376</v>
      </c>
      <c r="BOR121" s="285" t="s">
        <v>377</v>
      </c>
      <c r="BOS121" s="285" t="s">
        <v>376</v>
      </c>
      <c r="BOT121" s="285" t="s">
        <v>377</v>
      </c>
      <c r="BOU121" s="285" t="s">
        <v>376</v>
      </c>
      <c r="BOV121" s="285" t="s">
        <v>377</v>
      </c>
      <c r="BOW121" s="285" t="s">
        <v>376</v>
      </c>
      <c r="BOX121" s="285" t="s">
        <v>377</v>
      </c>
      <c r="BOY121" s="285" t="s">
        <v>376</v>
      </c>
      <c r="BOZ121" s="285" t="s">
        <v>377</v>
      </c>
      <c r="BPA121" s="285" t="s">
        <v>376</v>
      </c>
      <c r="BPB121" s="285" t="s">
        <v>377</v>
      </c>
      <c r="BPC121" s="285" t="s">
        <v>376</v>
      </c>
      <c r="BPD121" s="285" t="s">
        <v>377</v>
      </c>
      <c r="BPE121" s="285" t="s">
        <v>376</v>
      </c>
      <c r="BPF121" s="285" t="s">
        <v>377</v>
      </c>
      <c r="BPG121" s="285" t="s">
        <v>376</v>
      </c>
      <c r="BPH121" s="285" t="s">
        <v>377</v>
      </c>
      <c r="BPI121" s="285" t="s">
        <v>376</v>
      </c>
      <c r="BPJ121" s="285" t="s">
        <v>377</v>
      </c>
      <c r="BPK121" s="285" t="s">
        <v>376</v>
      </c>
      <c r="BPL121" s="285" t="s">
        <v>377</v>
      </c>
      <c r="BPM121" s="285" t="s">
        <v>376</v>
      </c>
      <c r="BPN121" s="285" t="s">
        <v>377</v>
      </c>
      <c r="BPO121" s="285" t="s">
        <v>376</v>
      </c>
      <c r="BPP121" s="285" t="s">
        <v>377</v>
      </c>
      <c r="BPQ121" s="285" t="s">
        <v>376</v>
      </c>
      <c r="BPR121" s="285" t="s">
        <v>377</v>
      </c>
      <c r="BPS121" s="285" t="s">
        <v>376</v>
      </c>
      <c r="BPT121" s="285" t="s">
        <v>377</v>
      </c>
      <c r="BPU121" s="285" t="s">
        <v>376</v>
      </c>
      <c r="BPV121" s="285" t="s">
        <v>377</v>
      </c>
      <c r="BPW121" s="285" t="s">
        <v>376</v>
      </c>
      <c r="BPX121" s="285" t="s">
        <v>377</v>
      </c>
      <c r="BPY121" s="285" t="s">
        <v>376</v>
      </c>
      <c r="BPZ121" s="285" t="s">
        <v>377</v>
      </c>
      <c r="BQA121" s="285" t="s">
        <v>376</v>
      </c>
      <c r="BQB121" s="285" t="s">
        <v>377</v>
      </c>
      <c r="BQC121" s="285" t="s">
        <v>376</v>
      </c>
      <c r="BQD121" s="285" t="s">
        <v>377</v>
      </c>
      <c r="BQE121" s="285" t="s">
        <v>376</v>
      </c>
      <c r="BQF121" s="285" t="s">
        <v>377</v>
      </c>
      <c r="BQG121" s="285" t="s">
        <v>376</v>
      </c>
      <c r="BQH121" s="285" t="s">
        <v>377</v>
      </c>
      <c r="BQI121" s="285" t="s">
        <v>376</v>
      </c>
      <c r="BQJ121" s="285" t="s">
        <v>377</v>
      </c>
      <c r="BQK121" s="285" t="s">
        <v>376</v>
      </c>
      <c r="BQL121" s="285" t="s">
        <v>377</v>
      </c>
      <c r="BQM121" s="285" t="s">
        <v>376</v>
      </c>
      <c r="BQN121" s="285" t="s">
        <v>377</v>
      </c>
      <c r="BQO121" s="285" t="s">
        <v>376</v>
      </c>
      <c r="BQP121" s="285" t="s">
        <v>377</v>
      </c>
      <c r="BQQ121" s="285" t="s">
        <v>376</v>
      </c>
      <c r="BQR121" s="285" t="s">
        <v>377</v>
      </c>
      <c r="BQS121" s="285" t="s">
        <v>376</v>
      </c>
      <c r="BQT121" s="285" t="s">
        <v>377</v>
      </c>
      <c r="BQU121" s="285" t="s">
        <v>376</v>
      </c>
      <c r="BQV121" s="285" t="s">
        <v>377</v>
      </c>
      <c r="BQW121" s="285" t="s">
        <v>376</v>
      </c>
      <c r="BQX121" s="285" t="s">
        <v>377</v>
      </c>
      <c r="BQY121" s="285" t="s">
        <v>376</v>
      </c>
      <c r="BQZ121" s="285" t="s">
        <v>377</v>
      </c>
      <c r="BRA121" s="285" t="s">
        <v>376</v>
      </c>
      <c r="BRB121" s="285" t="s">
        <v>377</v>
      </c>
      <c r="BRC121" s="285" t="s">
        <v>376</v>
      </c>
      <c r="BRD121" s="285" t="s">
        <v>377</v>
      </c>
      <c r="BRE121" s="285" t="s">
        <v>376</v>
      </c>
      <c r="BRF121" s="285" t="s">
        <v>377</v>
      </c>
      <c r="BRG121" s="285" t="s">
        <v>376</v>
      </c>
      <c r="BRH121" s="285" t="s">
        <v>377</v>
      </c>
      <c r="BRI121" s="285" t="s">
        <v>376</v>
      </c>
      <c r="BRJ121" s="285" t="s">
        <v>377</v>
      </c>
      <c r="BRK121" s="285" t="s">
        <v>376</v>
      </c>
      <c r="BRL121" s="285" t="s">
        <v>377</v>
      </c>
      <c r="BRM121" s="285" t="s">
        <v>376</v>
      </c>
      <c r="BRN121" s="285" t="s">
        <v>377</v>
      </c>
      <c r="BRO121" s="285" t="s">
        <v>376</v>
      </c>
      <c r="BRP121" s="285" t="s">
        <v>377</v>
      </c>
      <c r="BRQ121" s="285" t="s">
        <v>376</v>
      </c>
      <c r="BRR121" s="285" t="s">
        <v>377</v>
      </c>
      <c r="BRS121" s="285" t="s">
        <v>376</v>
      </c>
      <c r="BRT121" s="285" t="s">
        <v>377</v>
      </c>
      <c r="BRU121" s="285" t="s">
        <v>376</v>
      </c>
      <c r="BRV121" s="285" t="s">
        <v>377</v>
      </c>
      <c r="BRW121" s="285" t="s">
        <v>376</v>
      </c>
      <c r="BRX121" s="285" t="s">
        <v>377</v>
      </c>
      <c r="BRY121" s="285" t="s">
        <v>376</v>
      </c>
      <c r="BRZ121" s="285" t="s">
        <v>377</v>
      </c>
      <c r="BSA121" s="285" t="s">
        <v>376</v>
      </c>
      <c r="BSB121" s="285" t="s">
        <v>377</v>
      </c>
      <c r="BSC121" s="285" t="s">
        <v>376</v>
      </c>
      <c r="BSD121" s="285" t="s">
        <v>377</v>
      </c>
      <c r="BSE121" s="285" t="s">
        <v>376</v>
      </c>
      <c r="BSF121" s="285" t="s">
        <v>377</v>
      </c>
      <c r="BSG121" s="285" t="s">
        <v>376</v>
      </c>
      <c r="BSH121" s="285" t="s">
        <v>377</v>
      </c>
      <c r="BSI121" s="285" t="s">
        <v>376</v>
      </c>
      <c r="BSJ121" s="285" t="s">
        <v>377</v>
      </c>
      <c r="BSK121" s="285" t="s">
        <v>376</v>
      </c>
      <c r="BSL121" s="285" t="s">
        <v>377</v>
      </c>
      <c r="BSM121" s="285" t="s">
        <v>376</v>
      </c>
      <c r="BSN121" s="285" t="s">
        <v>377</v>
      </c>
      <c r="BSO121" s="285" t="s">
        <v>376</v>
      </c>
      <c r="BSP121" s="285" t="s">
        <v>377</v>
      </c>
      <c r="BSQ121" s="285" t="s">
        <v>376</v>
      </c>
      <c r="BSR121" s="285" t="s">
        <v>377</v>
      </c>
      <c r="BSS121" s="285" t="s">
        <v>376</v>
      </c>
      <c r="BST121" s="285" t="s">
        <v>377</v>
      </c>
      <c r="BSU121" s="285" t="s">
        <v>376</v>
      </c>
      <c r="BSV121" s="285" t="s">
        <v>377</v>
      </c>
      <c r="BSW121" s="285" t="s">
        <v>376</v>
      </c>
      <c r="BSX121" s="285" t="s">
        <v>377</v>
      </c>
      <c r="BSY121" s="285" t="s">
        <v>376</v>
      </c>
      <c r="BSZ121" s="285" t="s">
        <v>377</v>
      </c>
      <c r="BTA121" s="285" t="s">
        <v>376</v>
      </c>
      <c r="BTB121" s="285" t="s">
        <v>377</v>
      </c>
      <c r="BTC121" s="285" t="s">
        <v>376</v>
      </c>
      <c r="BTD121" s="285" t="s">
        <v>377</v>
      </c>
      <c r="BTE121" s="285" t="s">
        <v>376</v>
      </c>
      <c r="BTF121" s="285" t="s">
        <v>377</v>
      </c>
      <c r="BTG121" s="285" t="s">
        <v>376</v>
      </c>
      <c r="BTH121" s="285" t="s">
        <v>377</v>
      </c>
      <c r="BTI121" s="285" t="s">
        <v>376</v>
      </c>
      <c r="BTJ121" s="285" t="s">
        <v>377</v>
      </c>
      <c r="BTK121" s="285" t="s">
        <v>376</v>
      </c>
      <c r="BTL121" s="285" t="s">
        <v>377</v>
      </c>
      <c r="BTM121" s="285" t="s">
        <v>376</v>
      </c>
      <c r="BTN121" s="285" t="s">
        <v>377</v>
      </c>
      <c r="BTO121" s="285" t="s">
        <v>376</v>
      </c>
      <c r="BTP121" s="285" t="s">
        <v>377</v>
      </c>
      <c r="BTQ121" s="285" t="s">
        <v>376</v>
      </c>
      <c r="BTR121" s="285" t="s">
        <v>377</v>
      </c>
      <c r="BTS121" s="285" t="s">
        <v>376</v>
      </c>
      <c r="BTT121" s="285" t="s">
        <v>377</v>
      </c>
      <c r="BTU121" s="285" t="s">
        <v>376</v>
      </c>
      <c r="BTV121" s="285" t="s">
        <v>377</v>
      </c>
      <c r="BTW121" s="285" t="s">
        <v>376</v>
      </c>
      <c r="BTX121" s="285" t="s">
        <v>377</v>
      </c>
      <c r="BTY121" s="285" t="s">
        <v>376</v>
      </c>
      <c r="BTZ121" s="285" t="s">
        <v>377</v>
      </c>
      <c r="BUA121" s="285" t="s">
        <v>376</v>
      </c>
      <c r="BUB121" s="285" t="s">
        <v>377</v>
      </c>
      <c r="BUC121" s="285" t="s">
        <v>376</v>
      </c>
      <c r="BUD121" s="285" t="s">
        <v>377</v>
      </c>
      <c r="BUE121" s="285" t="s">
        <v>376</v>
      </c>
      <c r="BUF121" s="285" t="s">
        <v>377</v>
      </c>
      <c r="BUG121" s="285" t="s">
        <v>376</v>
      </c>
      <c r="BUH121" s="285" t="s">
        <v>377</v>
      </c>
      <c r="BUI121" s="285" t="s">
        <v>376</v>
      </c>
      <c r="BUJ121" s="285" t="s">
        <v>377</v>
      </c>
      <c r="BUK121" s="285" t="s">
        <v>376</v>
      </c>
      <c r="BUL121" s="285" t="s">
        <v>377</v>
      </c>
      <c r="BUM121" s="285" t="s">
        <v>376</v>
      </c>
      <c r="BUN121" s="285" t="s">
        <v>377</v>
      </c>
      <c r="BUO121" s="285" t="s">
        <v>376</v>
      </c>
      <c r="BUP121" s="285" t="s">
        <v>377</v>
      </c>
      <c r="BUQ121" s="285" t="s">
        <v>376</v>
      </c>
      <c r="BUR121" s="285" t="s">
        <v>377</v>
      </c>
      <c r="BUS121" s="285" t="s">
        <v>376</v>
      </c>
      <c r="BUT121" s="285" t="s">
        <v>377</v>
      </c>
      <c r="BUU121" s="285" t="s">
        <v>376</v>
      </c>
      <c r="BUV121" s="285" t="s">
        <v>377</v>
      </c>
      <c r="BUW121" s="285" t="s">
        <v>376</v>
      </c>
      <c r="BUX121" s="285" t="s">
        <v>377</v>
      </c>
      <c r="BUY121" s="285" t="s">
        <v>376</v>
      </c>
      <c r="BUZ121" s="285" t="s">
        <v>377</v>
      </c>
      <c r="BVA121" s="285" t="s">
        <v>376</v>
      </c>
      <c r="BVB121" s="285" t="s">
        <v>377</v>
      </c>
      <c r="BVC121" s="285" t="s">
        <v>376</v>
      </c>
      <c r="BVD121" s="285" t="s">
        <v>377</v>
      </c>
      <c r="BVE121" s="285" t="s">
        <v>376</v>
      </c>
      <c r="BVF121" s="285" t="s">
        <v>377</v>
      </c>
      <c r="BVG121" s="285" t="s">
        <v>376</v>
      </c>
      <c r="BVH121" s="285" t="s">
        <v>377</v>
      </c>
      <c r="BVI121" s="285" t="s">
        <v>376</v>
      </c>
      <c r="BVJ121" s="285" t="s">
        <v>377</v>
      </c>
      <c r="BVK121" s="285" t="s">
        <v>376</v>
      </c>
      <c r="BVL121" s="285" t="s">
        <v>377</v>
      </c>
      <c r="BVM121" s="285" t="s">
        <v>376</v>
      </c>
      <c r="BVN121" s="285" t="s">
        <v>377</v>
      </c>
      <c r="BVO121" s="285" t="s">
        <v>376</v>
      </c>
      <c r="BVP121" s="285" t="s">
        <v>377</v>
      </c>
      <c r="BVQ121" s="285" t="s">
        <v>376</v>
      </c>
      <c r="BVR121" s="285" t="s">
        <v>377</v>
      </c>
      <c r="BVS121" s="285" t="s">
        <v>376</v>
      </c>
      <c r="BVT121" s="285" t="s">
        <v>377</v>
      </c>
      <c r="BVU121" s="285" t="s">
        <v>376</v>
      </c>
      <c r="BVV121" s="285" t="s">
        <v>377</v>
      </c>
      <c r="BVW121" s="285" t="s">
        <v>376</v>
      </c>
      <c r="BVX121" s="285" t="s">
        <v>377</v>
      </c>
      <c r="BVY121" s="285" t="s">
        <v>376</v>
      </c>
      <c r="BVZ121" s="285" t="s">
        <v>377</v>
      </c>
      <c r="BWA121" s="285" t="s">
        <v>376</v>
      </c>
      <c r="BWB121" s="285" t="s">
        <v>377</v>
      </c>
      <c r="BWC121" s="285" t="s">
        <v>376</v>
      </c>
      <c r="BWD121" s="285" t="s">
        <v>377</v>
      </c>
      <c r="BWE121" s="285" t="s">
        <v>376</v>
      </c>
      <c r="BWF121" s="285" t="s">
        <v>377</v>
      </c>
      <c r="BWG121" s="285" t="s">
        <v>376</v>
      </c>
      <c r="BWH121" s="285" t="s">
        <v>377</v>
      </c>
      <c r="BWI121" s="285" t="s">
        <v>376</v>
      </c>
      <c r="BWJ121" s="285" t="s">
        <v>377</v>
      </c>
      <c r="BWK121" s="285" t="s">
        <v>376</v>
      </c>
      <c r="BWL121" s="285" t="s">
        <v>377</v>
      </c>
      <c r="BWM121" s="285" t="s">
        <v>376</v>
      </c>
      <c r="BWN121" s="285" t="s">
        <v>377</v>
      </c>
      <c r="BWO121" s="285" t="s">
        <v>376</v>
      </c>
      <c r="BWP121" s="285" t="s">
        <v>377</v>
      </c>
      <c r="BWQ121" s="285" t="s">
        <v>376</v>
      </c>
      <c r="BWR121" s="285" t="s">
        <v>377</v>
      </c>
      <c r="BWS121" s="285" t="s">
        <v>376</v>
      </c>
      <c r="BWT121" s="285" t="s">
        <v>377</v>
      </c>
      <c r="BWU121" s="285" t="s">
        <v>376</v>
      </c>
      <c r="BWV121" s="285" t="s">
        <v>377</v>
      </c>
      <c r="BWW121" s="285" t="s">
        <v>376</v>
      </c>
      <c r="BWX121" s="285" t="s">
        <v>377</v>
      </c>
      <c r="BWY121" s="285" t="s">
        <v>376</v>
      </c>
      <c r="BWZ121" s="285" t="s">
        <v>377</v>
      </c>
      <c r="BXA121" s="285" t="s">
        <v>376</v>
      </c>
      <c r="BXB121" s="285" t="s">
        <v>377</v>
      </c>
      <c r="BXC121" s="285" t="s">
        <v>376</v>
      </c>
      <c r="BXD121" s="285" t="s">
        <v>377</v>
      </c>
      <c r="BXE121" s="285" t="s">
        <v>376</v>
      </c>
      <c r="BXF121" s="285" t="s">
        <v>377</v>
      </c>
      <c r="BXG121" s="285" t="s">
        <v>376</v>
      </c>
      <c r="BXH121" s="285" t="s">
        <v>377</v>
      </c>
      <c r="BXI121" s="285" t="s">
        <v>376</v>
      </c>
      <c r="BXJ121" s="285" t="s">
        <v>377</v>
      </c>
      <c r="BXK121" s="285" t="s">
        <v>376</v>
      </c>
      <c r="BXL121" s="285" t="s">
        <v>377</v>
      </c>
      <c r="BXM121" s="285" t="s">
        <v>376</v>
      </c>
      <c r="BXN121" s="285" t="s">
        <v>377</v>
      </c>
      <c r="BXO121" s="285" t="s">
        <v>376</v>
      </c>
      <c r="BXP121" s="285" t="s">
        <v>377</v>
      </c>
      <c r="BXQ121" s="285" t="s">
        <v>376</v>
      </c>
      <c r="BXR121" s="285" t="s">
        <v>377</v>
      </c>
      <c r="BXS121" s="285" t="s">
        <v>376</v>
      </c>
      <c r="BXT121" s="285" t="s">
        <v>377</v>
      </c>
      <c r="BXU121" s="285" t="s">
        <v>376</v>
      </c>
      <c r="BXV121" s="285" t="s">
        <v>377</v>
      </c>
      <c r="BXW121" s="285" t="s">
        <v>376</v>
      </c>
      <c r="BXX121" s="285" t="s">
        <v>377</v>
      </c>
      <c r="BXY121" s="285" t="s">
        <v>376</v>
      </c>
      <c r="BXZ121" s="285" t="s">
        <v>377</v>
      </c>
      <c r="BYA121" s="285" t="s">
        <v>376</v>
      </c>
      <c r="BYB121" s="285" t="s">
        <v>377</v>
      </c>
      <c r="BYC121" s="285" t="s">
        <v>376</v>
      </c>
      <c r="BYD121" s="285" t="s">
        <v>377</v>
      </c>
      <c r="BYE121" s="285" t="s">
        <v>376</v>
      </c>
      <c r="BYF121" s="285" t="s">
        <v>377</v>
      </c>
      <c r="BYG121" s="285" t="s">
        <v>376</v>
      </c>
      <c r="BYH121" s="285" t="s">
        <v>377</v>
      </c>
      <c r="BYI121" s="285" t="s">
        <v>376</v>
      </c>
      <c r="BYJ121" s="285" t="s">
        <v>377</v>
      </c>
      <c r="BYK121" s="285" t="s">
        <v>376</v>
      </c>
      <c r="BYL121" s="285" t="s">
        <v>377</v>
      </c>
      <c r="BYM121" s="285" t="s">
        <v>376</v>
      </c>
      <c r="BYN121" s="285" t="s">
        <v>377</v>
      </c>
      <c r="BYO121" s="285" t="s">
        <v>376</v>
      </c>
      <c r="BYP121" s="285" t="s">
        <v>377</v>
      </c>
      <c r="BYQ121" s="285" t="s">
        <v>376</v>
      </c>
      <c r="BYR121" s="285" t="s">
        <v>377</v>
      </c>
      <c r="BYS121" s="285" t="s">
        <v>376</v>
      </c>
      <c r="BYT121" s="285" t="s">
        <v>377</v>
      </c>
      <c r="BYU121" s="285" t="s">
        <v>376</v>
      </c>
      <c r="BYV121" s="285" t="s">
        <v>377</v>
      </c>
      <c r="BYW121" s="285" t="s">
        <v>376</v>
      </c>
      <c r="BYX121" s="285" t="s">
        <v>377</v>
      </c>
      <c r="BYY121" s="285" t="s">
        <v>376</v>
      </c>
      <c r="BYZ121" s="285" t="s">
        <v>377</v>
      </c>
      <c r="BZA121" s="285" t="s">
        <v>376</v>
      </c>
      <c r="BZB121" s="285" t="s">
        <v>377</v>
      </c>
      <c r="BZC121" s="285" t="s">
        <v>376</v>
      </c>
      <c r="BZD121" s="285" t="s">
        <v>377</v>
      </c>
      <c r="BZE121" s="285" t="s">
        <v>376</v>
      </c>
      <c r="BZF121" s="285" t="s">
        <v>377</v>
      </c>
      <c r="BZG121" s="285" t="s">
        <v>376</v>
      </c>
      <c r="BZH121" s="285" t="s">
        <v>377</v>
      </c>
      <c r="BZI121" s="285" t="s">
        <v>376</v>
      </c>
      <c r="BZJ121" s="285" t="s">
        <v>377</v>
      </c>
      <c r="BZK121" s="285" t="s">
        <v>376</v>
      </c>
      <c r="BZL121" s="285" t="s">
        <v>377</v>
      </c>
      <c r="BZM121" s="285" t="s">
        <v>376</v>
      </c>
      <c r="BZN121" s="285" t="s">
        <v>377</v>
      </c>
      <c r="BZO121" s="285" t="s">
        <v>376</v>
      </c>
      <c r="BZP121" s="285" t="s">
        <v>377</v>
      </c>
      <c r="BZQ121" s="285" t="s">
        <v>376</v>
      </c>
      <c r="BZR121" s="285" t="s">
        <v>377</v>
      </c>
      <c r="BZS121" s="285" t="s">
        <v>376</v>
      </c>
      <c r="BZT121" s="285" t="s">
        <v>377</v>
      </c>
      <c r="BZU121" s="285" t="s">
        <v>376</v>
      </c>
      <c r="BZV121" s="285" t="s">
        <v>377</v>
      </c>
      <c r="BZW121" s="285" t="s">
        <v>376</v>
      </c>
      <c r="BZX121" s="285" t="s">
        <v>377</v>
      </c>
      <c r="BZY121" s="285" t="s">
        <v>376</v>
      </c>
      <c r="BZZ121" s="285" t="s">
        <v>377</v>
      </c>
      <c r="CAA121" s="285" t="s">
        <v>376</v>
      </c>
      <c r="CAB121" s="285" t="s">
        <v>377</v>
      </c>
      <c r="CAC121" s="285" t="s">
        <v>376</v>
      </c>
      <c r="CAD121" s="285" t="s">
        <v>377</v>
      </c>
      <c r="CAE121" s="285" t="s">
        <v>376</v>
      </c>
      <c r="CAF121" s="285" t="s">
        <v>377</v>
      </c>
      <c r="CAG121" s="285" t="s">
        <v>376</v>
      </c>
      <c r="CAH121" s="285" t="s">
        <v>377</v>
      </c>
      <c r="CAI121" s="285" t="s">
        <v>376</v>
      </c>
      <c r="CAJ121" s="285" t="s">
        <v>377</v>
      </c>
      <c r="CAK121" s="285" t="s">
        <v>376</v>
      </c>
      <c r="CAL121" s="285" t="s">
        <v>377</v>
      </c>
      <c r="CAM121" s="285" t="s">
        <v>376</v>
      </c>
      <c r="CAN121" s="285" t="s">
        <v>377</v>
      </c>
      <c r="CAO121" s="285" t="s">
        <v>376</v>
      </c>
      <c r="CAP121" s="285" t="s">
        <v>377</v>
      </c>
      <c r="CAQ121" s="285" t="s">
        <v>376</v>
      </c>
      <c r="CAR121" s="285" t="s">
        <v>377</v>
      </c>
      <c r="CAS121" s="285" t="s">
        <v>376</v>
      </c>
      <c r="CAT121" s="285" t="s">
        <v>377</v>
      </c>
      <c r="CAU121" s="285" t="s">
        <v>376</v>
      </c>
      <c r="CAV121" s="285" t="s">
        <v>377</v>
      </c>
      <c r="CAW121" s="285" t="s">
        <v>376</v>
      </c>
      <c r="CAX121" s="285" t="s">
        <v>377</v>
      </c>
      <c r="CAY121" s="285" t="s">
        <v>376</v>
      </c>
      <c r="CAZ121" s="285" t="s">
        <v>377</v>
      </c>
      <c r="CBA121" s="285" t="s">
        <v>376</v>
      </c>
      <c r="CBB121" s="285" t="s">
        <v>377</v>
      </c>
      <c r="CBC121" s="285" t="s">
        <v>376</v>
      </c>
      <c r="CBD121" s="285" t="s">
        <v>377</v>
      </c>
      <c r="CBE121" s="285" t="s">
        <v>376</v>
      </c>
      <c r="CBF121" s="285" t="s">
        <v>377</v>
      </c>
      <c r="CBG121" s="285" t="s">
        <v>376</v>
      </c>
      <c r="CBH121" s="285" t="s">
        <v>377</v>
      </c>
      <c r="CBI121" s="285" t="s">
        <v>376</v>
      </c>
      <c r="CBJ121" s="285" t="s">
        <v>377</v>
      </c>
      <c r="CBK121" s="285" t="s">
        <v>376</v>
      </c>
      <c r="CBL121" s="285" t="s">
        <v>377</v>
      </c>
      <c r="CBM121" s="285" t="s">
        <v>376</v>
      </c>
      <c r="CBN121" s="285" t="s">
        <v>377</v>
      </c>
      <c r="CBO121" s="285" t="s">
        <v>376</v>
      </c>
      <c r="CBP121" s="285" t="s">
        <v>377</v>
      </c>
      <c r="CBQ121" s="285" t="s">
        <v>376</v>
      </c>
      <c r="CBR121" s="285" t="s">
        <v>377</v>
      </c>
      <c r="CBS121" s="285" t="s">
        <v>376</v>
      </c>
      <c r="CBT121" s="285" t="s">
        <v>377</v>
      </c>
      <c r="CBU121" s="285" t="s">
        <v>376</v>
      </c>
      <c r="CBV121" s="285" t="s">
        <v>377</v>
      </c>
      <c r="CBW121" s="285" t="s">
        <v>376</v>
      </c>
      <c r="CBX121" s="285" t="s">
        <v>377</v>
      </c>
      <c r="CBY121" s="285" t="s">
        <v>376</v>
      </c>
      <c r="CBZ121" s="285" t="s">
        <v>377</v>
      </c>
      <c r="CCA121" s="285" t="s">
        <v>376</v>
      </c>
      <c r="CCB121" s="285" t="s">
        <v>377</v>
      </c>
      <c r="CCC121" s="285" t="s">
        <v>376</v>
      </c>
      <c r="CCD121" s="285" t="s">
        <v>377</v>
      </c>
      <c r="CCE121" s="285" t="s">
        <v>376</v>
      </c>
      <c r="CCF121" s="285" t="s">
        <v>377</v>
      </c>
      <c r="CCG121" s="285" t="s">
        <v>376</v>
      </c>
      <c r="CCH121" s="285" t="s">
        <v>377</v>
      </c>
      <c r="CCI121" s="285" t="s">
        <v>376</v>
      </c>
      <c r="CCJ121" s="285" t="s">
        <v>377</v>
      </c>
      <c r="CCK121" s="285" t="s">
        <v>376</v>
      </c>
      <c r="CCL121" s="285" t="s">
        <v>377</v>
      </c>
      <c r="CCM121" s="285" t="s">
        <v>376</v>
      </c>
      <c r="CCN121" s="285" t="s">
        <v>377</v>
      </c>
      <c r="CCO121" s="285" t="s">
        <v>376</v>
      </c>
      <c r="CCP121" s="285" t="s">
        <v>377</v>
      </c>
      <c r="CCQ121" s="285" t="s">
        <v>376</v>
      </c>
      <c r="CCR121" s="285" t="s">
        <v>377</v>
      </c>
      <c r="CCS121" s="285" t="s">
        <v>376</v>
      </c>
      <c r="CCT121" s="285" t="s">
        <v>377</v>
      </c>
      <c r="CCU121" s="285" t="s">
        <v>376</v>
      </c>
      <c r="CCV121" s="285" t="s">
        <v>377</v>
      </c>
      <c r="CCW121" s="285" t="s">
        <v>376</v>
      </c>
      <c r="CCX121" s="285" t="s">
        <v>377</v>
      </c>
      <c r="CCY121" s="285" t="s">
        <v>376</v>
      </c>
      <c r="CCZ121" s="285" t="s">
        <v>377</v>
      </c>
      <c r="CDA121" s="285" t="s">
        <v>376</v>
      </c>
      <c r="CDB121" s="285" t="s">
        <v>377</v>
      </c>
      <c r="CDC121" s="285" t="s">
        <v>376</v>
      </c>
      <c r="CDD121" s="285" t="s">
        <v>377</v>
      </c>
      <c r="CDE121" s="285" t="s">
        <v>376</v>
      </c>
      <c r="CDF121" s="285" t="s">
        <v>377</v>
      </c>
      <c r="CDG121" s="285" t="s">
        <v>376</v>
      </c>
      <c r="CDH121" s="285" t="s">
        <v>377</v>
      </c>
      <c r="CDI121" s="285" t="s">
        <v>376</v>
      </c>
      <c r="CDJ121" s="285" t="s">
        <v>377</v>
      </c>
      <c r="CDK121" s="285" t="s">
        <v>376</v>
      </c>
      <c r="CDL121" s="285" t="s">
        <v>377</v>
      </c>
      <c r="CDM121" s="285" t="s">
        <v>376</v>
      </c>
      <c r="CDN121" s="285" t="s">
        <v>377</v>
      </c>
      <c r="CDO121" s="285" t="s">
        <v>376</v>
      </c>
      <c r="CDP121" s="285" t="s">
        <v>377</v>
      </c>
      <c r="CDQ121" s="285" t="s">
        <v>376</v>
      </c>
      <c r="CDR121" s="285" t="s">
        <v>377</v>
      </c>
      <c r="CDS121" s="285" t="s">
        <v>376</v>
      </c>
      <c r="CDT121" s="285" t="s">
        <v>377</v>
      </c>
      <c r="CDU121" s="285" t="s">
        <v>376</v>
      </c>
      <c r="CDV121" s="285" t="s">
        <v>377</v>
      </c>
      <c r="CDW121" s="285" t="s">
        <v>376</v>
      </c>
      <c r="CDX121" s="285" t="s">
        <v>377</v>
      </c>
      <c r="CDY121" s="285" t="s">
        <v>376</v>
      </c>
      <c r="CDZ121" s="285" t="s">
        <v>377</v>
      </c>
      <c r="CEA121" s="285" t="s">
        <v>376</v>
      </c>
      <c r="CEB121" s="285" t="s">
        <v>377</v>
      </c>
      <c r="CEC121" s="285" t="s">
        <v>376</v>
      </c>
      <c r="CED121" s="285" t="s">
        <v>377</v>
      </c>
      <c r="CEE121" s="285" t="s">
        <v>376</v>
      </c>
      <c r="CEF121" s="285" t="s">
        <v>377</v>
      </c>
      <c r="CEG121" s="285" t="s">
        <v>376</v>
      </c>
      <c r="CEH121" s="285" t="s">
        <v>377</v>
      </c>
      <c r="CEI121" s="285" t="s">
        <v>376</v>
      </c>
      <c r="CEJ121" s="285" t="s">
        <v>377</v>
      </c>
      <c r="CEK121" s="285" t="s">
        <v>376</v>
      </c>
      <c r="CEL121" s="285" t="s">
        <v>377</v>
      </c>
      <c r="CEM121" s="285" t="s">
        <v>376</v>
      </c>
      <c r="CEN121" s="285" t="s">
        <v>377</v>
      </c>
      <c r="CEO121" s="285" t="s">
        <v>376</v>
      </c>
      <c r="CEP121" s="285" t="s">
        <v>377</v>
      </c>
      <c r="CEQ121" s="285" t="s">
        <v>376</v>
      </c>
      <c r="CER121" s="285" t="s">
        <v>377</v>
      </c>
      <c r="CES121" s="285" t="s">
        <v>376</v>
      </c>
      <c r="CET121" s="285" t="s">
        <v>377</v>
      </c>
      <c r="CEU121" s="285" t="s">
        <v>376</v>
      </c>
      <c r="CEV121" s="285" t="s">
        <v>377</v>
      </c>
      <c r="CEW121" s="285" t="s">
        <v>376</v>
      </c>
      <c r="CEX121" s="285" t="s">
        <v>377</v>
      </c>
      <c r="CEY121" s="285" t="s">
        <v>376</v>
      </c>
      <c r="CEZ121" s="285" t="s">
        <v>377</v>
      </c>
      <c r="CFA121" s="285" t="s">
        <v>376</v>
      </c>
      <c r="CFB121" s="285" t="s">
        <v>377</v>
      </c>
      <c r="CFC121" s="285" t="s">
        <v>376</v>
      </c>
      <c r="CFD121" s="285" t="s">
        <v>377</v>
      </c>
      <c r="CFE121" s="285" t="s">
        <v>376</v>
      </c>
      <c r="CFF121" s="285" t="s">
        <v>377</v>
      </c>
      <c r="CFG121" s="285" t="s">
        <v>376</v>
      </c>
      <c r="CFH121" s="285" t="s">
        <v>377</v>
      </c>
      <c r="CFI121" s="285" t="s">
        <v>376</v>
      </c>
      <c r="CFJ121" s="285" t="s">
        <v>377</v>
      </c>
      <c r="CFK121" s="285" t="s">
        <v>376</v>
      </c>
      <c r="CFL121" s="285" t="s">
        <v>377</v>
      </c>
      <c r="CFM121" s="285" t="s">
        <v>376</v>
      </c>
      <c r="CFN121" s="285" t="s">
        <v>377</v>
      </c>
      <c r="CFO121" s="285" t="s">
        <v>376</v>
      </c>
      <c r="CFP121" s="285" t="s">
        <v>377</v>
      </c>
      <c r="CFQ121" s="285" t="s">
        <v>376</v>
      </c>
      <c r="CFR121" s="285" t="s">
        <v>377</v>
      </c>
      <c r="CFS121" s="285" t="s">
        <v>376</v>
      </c>
      <c r="CFT121" s="285" t="s">
        <v>377</v>
      </c>
      <c r="CFU121" s="285" t="s">
        <v>376</v>
      </c>
      <c r="CFV121" s="285" t="s">
        <v>377</v>
      </c>
      <c r="CFW121" s="285" t="s">
        <v>376</v>
      </c>
      <c r="CFX121" s="285" t="s">
        <v>377</v>
      </c>
      <c r="CFY121" s="285" t="s">
        <v>376</v>
      </c>
      <c r="CFZ121" s="285" t="s">
        <v>377</v>
      </c>
      <c r="CGA121" s="285" t="s">
        <v>376</v>
      </c>
      <c r="CGB121" s="285" t="s">
        <v>377</v>
      </c>
      <c r="CGC121" s="285" t="s">
        <v>376</v>
      </c>
      <c r="CGD121" s="285" t="s">
        <v>377</v>
      </c>
      <c r="CGE121" s="285" t="s">
        <v>376</v>
      </c>
      <c r="CGF121" s="285" t="s">
        <v>377</v>
      </c>
      <c r="CGG121" s="285" t="s">
        <v>376</v>
      </c>
      <c r="CGH121" s="285" t="s">
        <v>377</v>
      </c>
      <c r="CGI121" s="285" t="s">
        <v>376</v>
      </c>
      <c r="CGJ121" s="285" t="s">
        <v>377</v>
      </c>
      <c r="CGK121" s="285" t="s">
        <v>376</v>
      </c>
      <c r="CGL121" s="285" t="s">
        <v>377</v>
      </c>
      <c r="CGM121" s="285" t="s">
        <v>376</v>
      </c>
      <c r="CGN121" s="285" t="s">
        <v>377</v>
      </c>
      <c r="CGO121" s="285" t="s">
        <v>376</v>
      </c>
      <c r="CGP121" s="285" t="s">
        <v>377</v>
      </c>
      <c r="CGQ121" s="285" t="s">
        <v>376</v>
      </c>
      <c r="CGR121" s="285" t="s">
        <v>377</v>
      </c>
      <c r="CGS121" s="285" t="s">
        <v>376</v>
      </c>
      <c r="CGT121" s="285" t="s">
        <v>377</v>
      </c>
      <c r="CGU121" s="285" t="s">
        <v>376</v>
      </c>
      <c r="CGV121" s="285" t="s">
        <v>377</v>
      </c>
      <c r="CGW121" s="285" t="s">
        <v>376</v>
      </c>
      <c r="CGX121" s="285" t="s">
        <v>377</v>
      </c>
      <c r="CGY121" s="285" t="s">
        <v>376</v>
      </c>
      <c r="CGZ121" s="285" t="s">
        <v>377</v>
      </c>
      <c r="CHA121" s="285" t="s">
        <v>376</v>
      </c>
      <c r="CHB121" s="285" t="s">
        <v>377</v>
      </c>
      <c r="CHC121" s="285" t="s">
        <v>376</v>
      </c>
      <c r="CHD121" s="285" t="s">
        <v>377</v>
      </c>
      <c r="CHE121" s="285" t="s">
        <v>376</v>
      </c>
      <c r="CHF121" s="285" t="s">
        <v>377</v>
      </c>
      <c r="CHG121" s="285" t="s">
        <v>376</v>
      </c>
      <c r="CHH121" s="285" t="s">
        <v>377</v>
      </c>
      <c r="CHI121" s="285" t="s">
        <v>376</v>
      </c>
      <c r="CHJ121" s="285" t="s">
        <v>377</v>
      </c>
      <c r="CHK121" s="285" t="s">
        <v>376</v>
      </c>
      <c r="CHL121" s="285" t="s">
        <v>377</v>
      </c>
      <c r="CHM121" s="285" t="s">
        <v>376</v>
      </c>
      <c r="CHN121" s="285" t="s">
        <v>377</v>
      </c>
      <c r="CHO121" s="285" t="s">
        <v>376</v>
      </c>
      <c r="CHP121" s="285" t="s">
        <v>377</v>
      </c>
      <c r="CHQ121" s="285" t="s">
        <v>376</v>
      </c>
      <c r="CHR121" s="285" t="s">
        <v>377</v>
      </c>
      <c r="CHS121" s="285" t="s">
        <v>376</v>
      </c>
      <c r="CHT121" s="285" t="s">
        <v>377</v>
      </c>
      <c r="CHU121" s="285" t="s">
        <v>376</v>
      </c>
      <c r="CHV121" s="285" t="s">
        <v>377</v>
      </c>
      <c r="CHW121" s="285" t="s">
        <v>376</v>
      </c>
      <c r="CHX121" s="285" t="s">
        <v>377</v>
      </c>
      <c r="CHY121" s="285" t="s">
        <v>376</v>
      </c>
      <c r="CHZ121" s="285" t="s">
        <v>377</v>
      </c>
      <c r="CIA121" s="285" t="s">
        <v>376</v>
      </c>
      <c r="CIB121" s="285" t="s">
        <v>377</v>
      </c>
      <c r="CIC121" s="285" t="s">
        <v>376</v>
      </c>
      <c r="CID121" s="285" t="s">
        <v>377</v>
      </c>
      <c r="CIE121" s="285" t="s">
        <v>376</v>
      </c>
      <c r="CIF121" s="285" t="s">
        <v>377</v>
      </c>
      <c r="CIG121" s="285" t="s">
        <v>376</v>
      </c>
      <c r="CIH121" s="285" t="s">
        <v>377</v>
      </c>
      <c r="CII121" s="285" t="s">
        <v>376</v>
      </c>
      <c r="CIJ121" s="285" t="s">
        <v>377</v>
      </c>
      <c r="CIK121" s="285" t="s">
        <v>376</v>
      </c>
      <c r="CIL121" s="285" t="s">
        <v>377</v>
      </c>
      <c r="CIM121" s="285" t="s">
        <v>376</v>
      </c>
      <c r="CIN121" s="285" t="s">
        <v>377</v>
      </c>
      <c r="CIO121" s="285" t="s">
        <v>376</v>
      </c>
      <c r="CIP121" s="285" t="s">
        <v>377</v>
      </c>
      <c r="CIQ121" s="285" t="s">
        <v>376</v>
      </c>
      <c r="CIR121" s="285" t="s">
        <v>377</v>
      </c>
      <c r="CIS121" s="285" t="s">
        <v>376</v>
      </c>
      <c r="CIT121" s="285" t="s">
        <v>377</v>
      </c>
      <c r="CIU121" s="285" t="s">
        <v>376</v>
      </c>
      <c r="CIV121" s="285" t="s">
        <v>377</v>
      </c>
      <c r="CIW121" s="285" t="s">
        <v>376</v>
      </c>
      <c r="CIX121" s="285" t="s">
        <v>377</v>
      </c>
      <c r="CIY121" s="285" t="s">
        <v>376</v>
      </c>
      <c r="CIZ121" s="285" t="s">
        <v>377</v>
      </c>
      <c r="CJA121" s="285" t="s">
        <v>376</v>
      </c>
      <c r="CJB121" s="285" t="s">
        <v>377</v>
      </c>
      <c r="CJC121" s="285" t="s">
        <v>376</v>
      </c>
      <c r="CJD121" s="285" t="s">
        <v>377</v>
      </c>
      <c r="CJE121" s="285" t="s">
        <v>376</v>
      </c>
      <c r="CJF121" s="285" t="s">
        <v>377</v>
      </c>
      <c r="CJG121" s="285" t="s">
        <v>376</v>
      </c>
      <c r="CJH121" s="285" t="s">
        <v>377</v>
      </c>
      <c r="CJI121" s="285" t="s">
        <v>376</v>
      </c>
      <c r="CJJ121" s="285" t="s">
        <v>377</v>
      </c>
      <c r="CJK121" s="285" t="s">
        <v>376</v>
      </c>
      <c r="CJL121" s="285" t="s">
        <v>377</v>
      </c>
      <c r="CJM121" s="285" t="s">
        <v>376</v>
      </c>
      <c r="CJN121" s="285" t="s">
        <v>377</v>
      </c>
      <c r="CJO121" s="285" t="s">
        <v>376</v>
      </c>
      <c r="CJP121" s="285" t="s">
        <v>377</v>
      </c>
      <c r="CJQ121" s="285" t="s">
        <v>376</v>
      </c>
      <c r="CJR121" s="285" t="s">
        <v>377</v>
      </c>
      <c r="CJS121" s="285" t="s">
        <v>376</v>
      </c>
      <c r="CJT121" s="285" t="s">
        <v>377</v>
      </c>
      <c r="CJU121" s="285" t="s">
        <v>376</v>
      </c>
      <c r="CJV121" s="285" t="s">
        <v>377</v>
      </c>
      <c r="CJW121" s="285" t="s">
        <v>376</v>
      </c>
      <c r="CJX121" s="285" t="s">
        <v>377</v>
      </c>
      <c r="CJY121" s="285" t="s">
        <v>376</v>
      </c>
      <c r="CJZ121" s="285" t="s">
        <v>377</v>
      </c>
      <c r="CKA121" s="285" t="s">
        <v>376</v>
      </c>
      <c r="CKB121" s="285" t="s">
        <v>377</v>
      </c>
      <c r="CKC121" s="285" t="s">
        <v>376</v>
      </c>
      <c r="CKD121" s="285" t="s">
        <v>377</v>
      </c>
      <c r="CKE121" s="285" t="s">
        <v>376</v>
      </c>
      <c r="CKF121" s="285" t="s">
        <v>377</v>
      </c>
      <c r="CKG121" s="285" t="s">
        <v>376</v>
      </c>
      <c r="CKH121" s="285" t="s">
        <v>377</v>
      </c>
      <c r="CKI121" s="285" t="s">
        <v>376</v>
      </c>
      <c r="CKJ121" s="285" t="s">
        <v>377</v>
      </c>
      <c r="CKK121" s="285" t="s">
        <v>376</v>
      </c>
      <c r="CKL121" s="285" t="s">
        <v>377</v>
      </c>
      <c r="CKM121" s="285" t="s">
        <v>376</v>
      </c>
      <c r="CKN121" s="285" t="s">
        <v>377</v>
      </c>
      <c r="CKO121" s="285" t="s">
        <v>376</v>
      </c>
      <c r="CKP121" s="285" t="s">
        <v>377</v>
      </c>
      <c r="CKQ121" s="285" t="s">
        <v>376</v>
      </c>
      <c r="CKR121" s="285" t="s">
        <v>377</v>
      </c>
      <c r="CKS121" s="285" t="s">
        <v>376</v>
      </c>
      <c r="CKT121" s="285" t="s">
        <v>377</v>
      </c>
      <c r="CKU121" s="285" t="s">
        <v>376</v>
      </c>
      <c r="CKV121" s="285" t="s">
        <v>377</v>
      </c>
      <c r="CKW121" s="285" t="s">
        <v>376</v>
      </c>
      <c r="CKX121" s="285" t="s">
        <v>377</v>
      </c>
      <c r="CKY121" s="285" t="s">
        <v>376</v>
      </c>
      <c r="CKZ121" s="285" t="s">
        <v>377</v>
      </c>
      <c r="CLA121" s="285" t="s">
        <v>376</v>
      </c>
      <c r="CLB121" s="285" t="s">
        <v>377</v>
      </c>
      <c r="CLC121" s="285" t="s">
        <v>376</v>
      </c>
      <c r="CLD121" s="285" t="s">
        <v>377</v>
      </c>
      <c r="CLE121" s="285" t="s">
        <v>376</v>
      </c>
      <c r="CLF121" s="285" t="s">
        <v>377</v>
      </c>
      <c r="CLG121" s="285" t="s">
        <v>376</v>
      </c>
      <c r="CLH121" s="285" t="s">
        <v>377</v>
      </c>
      <c r="CLI121" s="285" t="s">
        <v>376</v>
      </c>
      <c r="CLJ121" s="285" t="s">
        <v>377</v>
      </c>
      <c r="CLK121" s="285" t="s">
        <v>376</v>
      </c>
      <c r="CLL121" s="285" t="s">
        <v>377</v>
      </c>
      <c r="CLM121" s="285" t="s">
        <v>376</v>
      </c>
      <c r="CLN121" s="285" t="s">
        <v>377</v>
      </c>
      <c r="CLO121" s="285" t="s">
        <v>376</v>
      </c>
      <c r="CLP121" s="285" t="s">
        <v>377</v>
      </c>
      <c r="CLQ121" s="285" t="s">
        <v>376</v>
      </c>
      <c r="CLR121" s="285" t="s">
        <v>377</v>
      </c>
      <c r="CLS121" s="285" t="s">
        <v>376</v>
      </c>
      <c r="CLT121" s="285" t="s">
        <v>377</v>
      </c>
      <c r="CLU121" s="285" t="s">
        <v>376</v>
      </c>
      <c r="CLV121" s="285" t="s">
        <v>377</v>
      </c>
      <c r="CLW121" s="285" t="s">
        <v>376</v>
      </c>
      <c r="CLX121" s="285" t="s">
        <v>377</v>
      </c>
      <c r="CLY121" s="285" t="s">
        <v>376</v>
      </c>
      <c r="CLZ121" s="285" t="s">
        <v>377</v>
      </c>
      <c r="CMA121" s="285" t="s">
        <v>376</v>
      </c>
      <c r="CMB121" s="285" t="s">
        <v>377</v>
      </c>
      <c r="CMC121" s="285" t="s">
        <v>376</v>
      </c>
      <c r="CMD121" s="285" t="s">
        <v>377</v>
      </c>
      <c r="CME121" s="285" t="s">
        <v>376</v>
      </c>
      <c r="CMF121" s="285" t="s">
        <v>377</v>
      </c>
      <c r="CMG121" s="285" t="s">
        <v>376</v>
      </c>
      <c r="CMH121" s="285" t="s">
        <v>377</v>
      </c>
      <c r="CMI121" s="285" t="s">
        <v>376</v>
      </c>
      <c r="CMJ121" s="285" t="s">
        <v>377</v>
      </c>
      <c r="CMK121" s="285" t="s">
        <v>376</v>
      </c>
      <c r="CML121" s="285" t="s">
        <v>377</v>
      </c>
      <c r="CMM121" s="285" t="s">
        <v>376</v>
      </c>
      <c r="CMN121" s="285" t="s">
        <v>377</v>
      </c>
      <c r="CMO121" s="285" t="s">
        <v>376</v>
      </c>
      <c r="CMP121" s="285" t="s">
        <v>377</v>
      </c>
      <c r="CMQ121" s="285" t="s">
        <v>376</v>
      </c>
      <c r="CMR121" s="285" t="s">
        <v>377</v>
      </c>
      <c r="CMS121" s="285" t="s">
        <v>376</v>
      </c>
      <c r="CMT121" s="285" t="s">
        <v>377</v>
      </c>
      <c r="CMU121" s="285" t="s">
        <v>376</v>
      </c>
      <c r="CMV121" s="285" t="s">
        <v>377</v>
      </c>
      <c r="CMW121" s="285" t="s">
        <v>376</v>
      </c>
      <c r="CMX121" s="285" t="s">
        <v>377</v>
      </c>
      <c r="CMY121" s="285" t="s">
        <v>376</v>
      </c>
      <c r="CMZ121" s="285" t="s">
        <v>377</v>
      </c>
      <c r="CNA121" s="285" t="s">
        <v>376</v>
      </c>
      <c r="CNB121" s="285" t="s">
        <v>377</v>
      </c>
      <c r="CNC121" s="285" t="s">
        <v>376</v>
      </c>
      <c r="CND121" s="285" t="s">
        <v>377</v>
      </c>
      <c r="CNE121" s="285" t="s">
        <v>376</v>
      </c>
      <c r="CNF121" s="285" t="s">
        <v>377</v>
      </c>
      <c r="CNG121" s="285" t="s">
        <v>376</v>
      </c>
      <c r="CNH121" s="285" t="s">
        <v>377</v>
      </c>
      <c r="CNI121" s="285" t="s">
        <v>376</v>
      </c>
      <c r="CNJ121" s="285" t="s">
        <v>377</v>
      </c>
      <c r="CNK121" s="285" t="s">
        <v>376</v>
      </c>
      <c r="CNL121" s="285" t="s">
        <v>377</v>
      </c>
      <c r="CNM121" s="285" t="s">
        <v>376</v>
      </c>
      <c r="CNN121" s="285" t="s">
        <v>377</v>
      </c>
      <c r="CNO121" s="285" t="s">
        <v>376</v>
      </c>
      <c r="CNP121" s="285" t="s">
        <v>377</v>
      </c>
      <c r="CNQ121" s="285" t="s">
        <v>376</v>
      </c>
      <c r="CNR121" s="285" t="s">
        <v>377</v>
      </c>
      <c r="CNS121" s="285" t="s">
        <v>376</v>
      </c>
      <c r="CNT121" s="285" t="s">
        <v>377</v>
      </c>
      <c r="CNU121" s="285" t="s">
        <v>376</v>
      </c>
      <c r="CNV121" s="285" t="s">
        <v>377</v>
      </c>
      <c r="CNW121" s="285" t="s">
        <v>376</v>
      </c>
      <c r="CNX121" s="285" t="s">
        <v>377</v>
      </c>
      <c r="CNY121" s="285" t="s">
        <v>376</v>
      </c>
      <c r="CNZ121" s="285" t="s">
        <v>377</v>
      </c>
      <c r="COA121" s="285" t="s">
        <v>376</v>
      </c>
      <c r="COB121" s="285" t="s">
        <v>377</v>
      </c>
      <c r="COC121" s="285" t="s">
        <v>376</v>
      </c>
      <c r="COD121" s="285" t="s">
        <v>377</v>
      </c>
      <c r="COE121" s="285" t="s">
        <v>376</v>
      </c>
      <c r="COF121" s="285" t="s">
        <v>377</v>
      </c>
      <c r="COG121" s="285" t="s">
        <v>376</v>
      </c>
      <c r="COH121" s="285" t="s">
        <v>377</v>
      </c>
      <c r="COI121" s="285" t="s">
        <v>376</v>
      </c>
      <c r="COJ121" s="285" t="s">
        <v>377</v>
      </c>
      <c r="COK121" s="285" t="s">
        <v>376</v>
      </c>
      <c r="COL121" s="285" t="s">
        <v>377</v>
      </c>
      <c r="COM121" s="285" t="s">
        <v>376</v>
      </c>
      <c r="CON121" s="285" t="s">
        <v>377</v>
      </c>
      <c r="COO121" s="285" t="s">
        <v>376</v>
      </c>
      <c r="COP121" s="285" t="s">
        <v>377</v>
      </c>
      <c r="COQ121" s="285" t="s">
        <v>376</v>
      </c>
      <c r="COR121" s="285" t="s">
        <v>377</v>
      </c>
      <c r="COS121" s="285" t="s">
        <v>376</v>
      </c>
      <c r="COT121" s="285" t="s">
        <v>377</v>
      </c>
      <c r="COU121" s="285" t="s">
        <v>376</v>
      </c>
      <c r="COV121" s="285" t="s">
        <v>377</v>
      </c>
      <c r="COW121" s="285" t="s">
        <v>376</v>
      </c>
      <c r="COX121" s="285" t="s">
        <v>377</v>
      </c>
      <c r="COY121" s="285" t="s">
        <v>376</v>
      </c>
      <c r="COZ121" s="285" t="s">
        <v>377</v>
      </c>
      <c r="CPA121" s="285" t="s">
        <v>376</v>
      </c>
      <c r="CPB121" s="285" t="s">
        <v>377</v>
      </c>
      <c r="CPC121" s="285" t="s">
        <v>376</v>
      </c>
      <c r="CPD121" s="285" t="s">
        <v>377</v>
      </c>
      <c r="CPE121" s="285" t="s">
        <v>376</v>
      </c>
      <c r="CPF121" s="285" t="s">
        <v>377</v>
      </c>
      <c r="CPG121" s="285" t="s">
        <v>376</v>
      </c>
      <c r="CPH121" s="285" t="s">
        <v>377</v>
      </c>
      <c r="CPI121" s="285" t="s">
        <v>376</v>
      </c>
      <c r="CPJ121" s="285" t="s">
        <v>377</v>
      </c>
      <c r="CPK121" s="285" t="s">
        <v>376</v>
      </c>
      <c r="CPL121" s="285" t="s">
        <v>377</v>
      </c>
      <c r="CPM121" s="285" t="s">
        <v>376</v>
      </c>
      <c r="CPN121" s="285" t="s">
        <v>377</v>
      </c>
      <c r="CPO121" s="285" t="s">
        <v>376</v>
      </c>
      <c r="CPP121" s="285" t="s">
        <v>377</v>
      </c>
      <c r="CPQ121" s="285" t="s">
        <v>376</v>
      </c>
      <c r="CPR121" s="285" t="s">
        <v>377</v>
      </c>
      <c r="CPS121" s="285" t="s">
        <v>376</v>
      </c>
      <c r="CPT121" s="285" t="s">
        <v>377</v>
      </c>
      <c r="CPU121" s="285" t="s">
        <v>376</v>
      </c>
      <c r="CPV121" s="285" t="s">
        <v>377</v>
      </c>
      <c r="CPW121" s="285" t="s">
        <v>376</v>
      </c>
      <c r="CPX121" s="285" t="s">
        <v>377</v>
      </c>
      <c r="CPY121" s="285" t="s">
        <v>376</v>
      </c>
      <c r="CPZ121" s="285" t="s">
        <v>377</v>
      </c>
      <c r="CQA121" s="285" t="s">
        <v>376</v>
      </c>
      <c r="CQB121" s="285" t="s">
        <v>377</v>
      </c>
      <c r="CQC121" s="285" t="s">
        <v>376</v>
      </c>
      <c r="CQD121" s="285" t="s">
        <v>377</v>
      </c>
      <c r="CQE121" s="285" t="s">
        <v>376</v>
      </c>
      <c r="CQF121" s="285" t="s">
        <v>377</v>
      </c>
      <c r="CQG121" s="285" t="s">
        <v>376</v>
      </c>
      <c r="CQH121" s="285" t="s">
        <v>377</v>
      </c>
      <c r="CQI121" s="285" t="s">
        <v>376</v>
      </c>
      <c r="CQJ121" s="285" t="s">
        <v>377</v>
      </c>
      <c r="CQK121" s="285" t="s">
        <v>376</v>
      </c>
      <c r="CQL121" s="285" t="s">
        <v>377</v>
      </c>
      <c r="CQM121" s="285" t="s">
        <v>376</v>
      </c>
      <c r="CQN121" s="285" t="s">
        <v>377</v>
      </c>
      <c r="CQO121" s="285" t="s">
        <v>376</v>
      </c>
      <c r="CQP121" s="285" t="s">
        <v>377</v>
      </c>
      <c r="CQQ121" s="285" t="s">
        <v>376</v>
      </c>
      <c r="CQR121" s="285" t="s">
        <v>377</v>
      </c>
      <c r="CQS121" s="285" t="s">
        <v>376</v>
      </c>
      <c r="CQT121" s="285" t="s">
        <v>377</v>
      </c>
      <c r="CQU121" s="285" t="s">
        <v>376</v>
      </c>
      <c r="CQV121" s="285" t="s">
        <v>377</v>
      </c>
      <c r="CQW121" s="285" t="s">
        <v>376</v>
      </c>
      <c r="CQX121" s="285" t="s">
        <v>377</v>
      </c>
      <c r="CQY121" s="285" t="s">
        <v>376</v>
      </c>
      <c r="CQZ121" s="285" t="s">
        <v>377</v>
      </c>
      <c r="CRA121" s="285" t="s">
        <v>376</v>
      </c>
      <c r="CRB121" s="285" t="s">
        <v>377</v>
      </c>
      <c r="CRC121" s="285" t="s">
        <v>376</v>
      </c>
      <c r="CRD121" s="285" t="s">
        <v>377</v>
      </c>
      <c r="CRE121" s="285" t="s">
        <v>376</v>
      </c>
      <c r="CRF121" s="285" t="s">
        <v>377</v>
      </c>
      <c r="CRG121" s="285" t="s">
        <v>376</v>
      </c>
      <c r="CRH121" s="285" t="s">
        <v>377</v>
      </c>
      <c r="CRI121" s="285" t="s">
        <v>376</v>
      </c>
      <c r="CRJ121" s="285" t="s">
        <v>377</v>
      </c>
      <c r="CRK121" s="285" t="s">
        <v>376</v>
      </c>
      <c r="CRL121" s="285" t="s">
        <v>377</v>
      </c>
      <c r="CRM121" s="285" t="s">
        <v>376</v>
      </c>
      <c r="CRN121" s="285" t="s">
        <v>377</v>
      </c>
      <c r="CRO121" s="285" t="s">
        <v>376</v>
      </c>
      <c r="CRP121" s="285" t="s">
        <v>377</v>
      </c>
      <c r="CRQ121" s="285" t="s">
        <v>376</v>
      </c>
      <c r="CRR121" s="285" t="s">
        <v>377</v>
      </c>
      <c r="CRS121" s="285" t="s">
        <v>376</v>
      </c>
      <c r="CRT121" s="285" t="s">
        <v>377</v>
      </c>
      <c r="CRU121" s="285" t="s">
        <v>376</v>
      </c>
      <c r="CRV121" s="285" t="s">
        <v>377</v>
      </c>
      <c r="CRW121" s="285" t="s">
        <v>376</v>
      </c>
      <c r="CRX121" s="285" t="s">
        <v>377</v>
      </c>
      <c r="CRY121" s="285" t="s">
        <v>376</v>
      </c>
      <c r="CRZ121" s="285" t="s">
        <v>377</v>
      </c>
      <c r="CSA121" s="285" t="s">
        <v>376</v>
      </c>
      <c r="CSB121" s="285" t="s">
        <v>377</v>
      </c>
      <c r="CSC121" s="285" t="s">
        <v>376</v>
      </c>
      <c r="CSD121" s="285" t="s">
        <v>377</v>
      </c>
      <c r="CSE121" s="285" t="s">
        <v>376</v>
      </c>
      <c r="CSF121" s="285" t="s">
        <v>377</v>
      </c>
      <c r="CSG121" s="285" t="s">
        <v>376</v>
      </c>
      <c r="CSH121" s="285" t="s">
        <v>377</v>
      </c>
      <c r="CSI121" s="285" t="s">
        <v>376</v>
      </c>
      <c r="CSJ121" s="285" t="s">
        <v>377</v>
      </c>
      <c r="CSK121" s="285" t="s">
        <v>376</v>
      </c>
      <c r="CSL121" s="285" t="s">
        <v>377</v>
      </c>
      <c r="CSM121" s="285" t="s">
        <v>376</v>
      </c>
      <c r="CSN121" s="285" t="s">
        <v>377</v>
      </c>
      <c r="CSO121" s="285" t="s">
        <v>376</v>
      </c>
      <c r="CSP121" s="285" t="s">
        <v>377</v>
      </c>
      <c r="CSQ121" s="285" t="s">
        <v>376</v>
      </c>
      <c r="CSR121" s="285" t="s">
        <v>377</v>
      </c>
      <c r="CSS121" s="285" t="s">
        <v>376</v>
      </c>
      <c r="CST121" s="285" t="s">
        <v>377</v>
      </c>
      <c r="CSU121" s="285" t="s">
        <v>376</v>
      </c>
      <c r="CSV121" s="285" t="s">
        <v>377</v>
      </c>
      <c r="CSW121" s="285" t="s">
        <v>376</v>
      </c>
      <c r="CSX121" s="285" t="s">
        <v>377</v>
      </c>
      <c r="CSY121" s="285" t="s">
        <v>376</v>
      </c>
      <c r="CSZ121" s="285" t="s">
        <v>377</v>
      </c>
      <c r="CTA121" s="285" t="s">
        <v>376</v>
      </c>
      <c r="CTB121" s="285" t="s">
        <v>377</v>
      </c>
      <c r="CTC121" s="285" t="s">
        <v>376</v>
      </c>
      <c r="CTD121" s="285" t="s">
        <v>377</v>
      </c>
      <c r="CTE121" s="285" t="s">
        <v>376</v>
      </c>
      <c r="CTF121" s="285" t="s">
        <v>377</v>
      </c>
      <c r="CTG121" s="285" t="s">
        <v>376</v>
      </c>
      <c r="CTH121" s="285" t="s">
        <v>377</v>
      </c>
      <c r="CTI121" s="285" t="s">
        <v>376</v>
      </c>
      <c r="CTJ121" s="285" t="s">
        <v>377</v>
      </c>
      <c r="CTK121" s="285" t="s">
        <v>376</v>
      </c>
      <c r="CTL121" s="285" t="s">
        <v>377</v>
      </c>
      <c r="CTM121" s="285" t="s">
        <v>376</v>
      </c>
      <c r="CTN121" s="285" t="s">
        <v>377</v>
      </c>
      <c r="CTO121" s="285" t="s">
        <v>376</v>
      </c>
      <c r="CTP121" s="285" t="s">
        <v>377</v>
      </c>
      <c r="CTQ121" s="285" t="s">
        <v>376</v>
      </c>
      <c r="CTR121" s="285" t="s">
        <v>377</v>
      </c>
      <c r="CTS121" s="285" t="s">
        <v>376</v>
      </c>
      <c r="CTT121" s="285" t="s">
        <v>377</v>
      </c>
      <c r="CTU121" s="285" t="s">
        <v>376</v>
      </c>
      <c r="CTV121" s="285" t="s">
        <v>377</v>
      </c>
      <c r="CTW121" s="285" t="s">
        <v>376</v>
      </c>
      <c r="CTX121" s="285" t="s">
        <v>377</v>
      </c>
      <c r="CTY121" s="285" t="s">
        <v>376</v>
      </c>
      <c r="CTZ121" s="285" t="s">
        <v>377</v>
      </c>
      <c r="CUA121" s="285" t="s">
        <v>376</v>
      </c>
      <c r="CUB121" s="285" t="s">
        <v>377</v>
      </c>
      <c r="CUC121" s="285" t="s">
        <v>376</v>
      </c>
      <c r="CUD121" s="285" t="s">
        <v>377</v>
      </c>
      <c r="CUE121" s="285" t="s">
        <v>376</v>
      </c>
      <c r="CUF121" s="285" t="s">
        <v>377</v>
      </c>
      <c r="CUG121" s="285" t="s">
        <v>376</v>
      </c>
      <c r="CUH121" s="285" t="s">
        <v>377</v>
      </c>
      <c r="CUI121" s="285" t="s">
        <v>376</v>
      </c>
      <c r="CUJ121" s="285" t="s">
        <v>377</v>
      </c>
      <c r="CUK121" s="285" t="s">
        <v>376</v>
      </c>
      <c r="CUL121" s="285" t="s">
        <v>377</v>
      </c>
      <c r="CUM121" s="285" t="s">
        <v>376</v>
      </c>
      <c r="CUN121" s="285" t="s">
        <v>377</v>
      </c>
      <c r="CUO121" s="285" t="s">
        <v>376</v>
      </c>
      <c r="CUP121" s="285" t="s">
        <v>377</v>
      </c>
      <c r="CUQ121" s="285" t="s">
        <v>376</v>
      </c>
      <c r="CUR121" s="285" t="s">
        <v>377</v>
      </c>
      <c r="CUS121" s="285" t="s">
        <v>376</v>
      </c>
      <c r="CUT121" s="285" t="s">
        <v>377</v>
      </c>
      <c r="CUU121" s="285" t="s">
        <v>376</v>
      </c>
      <c r="CUV121" s="285" t="s">
        <v>377</v>
      </c>
      <c r="CUW121" s="285" t="s">
        <v>376</v>
      </c>
      <c r="CUX121" s="285" t="s">
        <v>377</v>
      </c>
      <c r="CUY121" s="285" t="s">
        <v>376</v>
      </c>
      <c r="CUZ121" s="285" t="s">
        <v>377</v>
      </c>
      <c r="CVA121" s="285" t="s">
        <v>376</v>
      </c>
      <c r="CVB121" s="285" t="s">
        <v>377</v>
      </c>
      <c r="CVC121" s="285" t="s">
        <v>376</v>
      </c>
      <c r="CVD121" s="285" t="s">
        <v>377</v>
      </c>
      <c r="CVE121" s="285" t="s">
        <v>376</v>
      </c>
      <c r="CVF121" s="285" t="s">
        <v>377</v>
      </c>
      <c r="CVG121" s="285" t="s">
        <v>376</v>
      </c>
      <c r="CVH121" s="285" t="s">
        <v>377</v>
      </c>
      <c r="CVI121" s="285" t="s">
        <v>376</v>
      </c>
      <c r="CVJ121" s="285" t="s">
        <v>377</v>
      </c>
      <c r="CVK121" s="285" t="s">
        <v>376</v>
      </c>
      <c r="CVL121" s="285" t="s">
        <v>377</v>
      </c>
      <c r="CVM121" s="285" t="s">
        <v>376</v>
      </c>
      <c r="CVN121" s="285" t="s">
        <v>377</v>
      </c>
      <c r="CVO121" s="285" t="s">
        <v>376</v>
      </c>
      <c r="CVP121" s="285" t="s">
        <v>377</v>
      </c>
      <c r="CVQ121" s="285" t="s">
        <v>376</v>
      </c>
      <c r="CVR121" s="285" t="s">
        <v>377</v>
      </c>
      <c r="CVS121" s="285" t="s">
        <v>376</v>
      </c>
      <c r="CVT121" s="285" t="s">
        <v>377</v>
      </c>
      <c r="CVU121" s="285" t="s">
        <v>376</v>
      </c>
      <c r="CVV121" s="285" t="s">
        <v>377</v>
      </c>
      <c r="CVW121" s="285" t="s">
        <v>376</v>
      </c>
      <c r="CVX121" s="285" t="s">
        <v>377</v>
      </c>
      <c r="CVY121" s="285" t="s">
        <v>376</v>
      </c>
      <c r="CVZ121" s="285" t="s">
        <v>377</v>
      </c>
      <c r="CWA121" s="285" t="s">
        <v>376</v>
      </c>
      <c r="CWB121" s="285" t="s">
        <v>377</v>
      </c>
      <c r="CWC121" s="285" t="s">
        <v>376</v>
      </c>
      <c r="CWD121" s="285" t="s">
        <v>377</v>
      </c>
      <c r="CWE121" s="285" t="s">
        <v>376</v>
      </c>
      <c r="CWF121" s="285" t="s">
        <v>377</v>
      </c>
      <c r="CWG121" s="285" t="s">
        <v>376</v>
      </c>
      <c r="CWH121" s="285" t="s">
        <v>377</v>
      </c>
      <c r="CWI121" s="285" t="s">
        <v>376</v>
      </c>
      <c r="CWJ121" s="285" t="s">
        <v>377</v>
      </c>
      <c r="CWK121" s="285" t="s">
        <v>376</v>
      </c>
      <c r="CWL121" s="285" t="s">
        <v>377</v>
      </c>
      <c r="CWM121" s="285" t="s">
        <v>376</v>
      </c>
      <c r="CWN121" s="285" t="s">
        <v>377</v>
      </c>
      <c r="CWO121" s="285" t="s">
        <v>376</v>
      </c>
      <c r="CWP121" s="285" t="s">
        <v>377</v>
      </c>
      <c r="CWQ121" s="285" t="s">
        <v>376</v>
      </c>
      <c r="CWR121" s="285" t="s">
        <v>377</v>
      </c>
      <c r="CWS121" s="285" t="s">
        <v>376</v>
      </c>
      <c r="CWT121" s="285" t="s">
        <v>377</v>
      </c>
      <c r="CWU121" s="285" t="s">
        <v>376</v>
      </c>
      <c r="CWV121" s="285" t="s">
        <v>377</v>
      </c>
      <c r="CWW121" s="285" t="s">
        <v>376</v>
      </c>
      <c r="CWX121" s="285" t="s">
        <v>377</v>
      </c>
      <c r="CWY121" s="285" t="s">
        <v>376</v>
      </c>
      <c r="CWZ121" s="285" t="s">
        <v>377</v>
      </c>
      <c r="CXA121" s="285" t="s">
        <v>376</v>
      </c>
      <c r="CXB121" s="285" t="s">
        <v>377</v>
      </c>
      <c r="CXC121" s="285" t="s">
        <v>376</v>
      </c>
      <c r="CXD121" s="285" t="s">
        <v>377</v>
      </c>
      <c r="CXE121" s="285" t="s">
        <v>376</v>
      </c>
      <c r="CXF121" s="285" t="s">
        <v>377</v>
      </c>
      <c r="CXG121" s="285" t="s">
        <v>376</v>
      </c>
      <c r="CXH121" s="285" t="s">
        <v>377</v>
      </c>
      <c r="CXI121" s="285" t="s">
        <v>376</v>
      </c>
      <c r="CXJ121" s="285" t="s">
        <v>377</v>
      </c>
      <c r="CXK121" s="285" t="s">
        <v>376</v>
      </c>
      <c r="CXL121" s="285" t="s">
        <v>377</v>
      </c>
      <c r="CXM121" s="285" t="s">
        <v>376</v>
      </c>
      <c r="CXN121" s="285" t="s">
        <v>377</v>
      </c>
      <c r="CXO121" s="285" t="s">
        <v>376</v>
      </c>
      <c r="CXP121" s="285" t="s">
        <v>377</v>
      </c>
      <c r="CXQ121" s="285" t="s">
        <v>376</v>
      </c>
      <c r="CXR121" s="285" t="s">
        <v>377</v>
      </c>
      <c r="CXS121" s="285" t="s">
        <v>376</v>
      </c>
      <c r="CXT121" s="285" t="s">
        <v>377</v>
      </c>
      <c r="CXU121" s="285" t="s">
        <v>376</v>
      </c>
      <c r="CXV121" s="285" t="s">
        <v>377</v>
      </c>
      <c r="CXW121" s="285" t="s">
        <v>376</v>
      </c>
      <c r="CXX121" s="285" t="s">
        <v>377</v>
      </c>
      <c r="CXY121" s="285" t="s">
        <v>376</v>
      </c>
      <c r="CXZ121" s="285" t="s">
        <v>377</v>
      </c>
      <c r="CYA121" s="285" t="s">
        <v>376</v>
      </c>
      <c r="CYB121" s="285" t="s">
        <v>377</v>
      </c>
      <c r="CYC121" s="285" t="s">
        <v>376</v>
      </c>
      <c r="CYD121" s="285" t="s">
        <v>377</v>
      </c>
      <c r="CYE121" s="285" t="s">
        <v>376</v>
      </c>
      <c r="CYF121" s="285" t="s">
        <v>377</v>
      </c>
      <c r="CYG121" s="285" t="s">
        <v>376</v>
      </c>
      <c r="CYH121" s="285" t="s">
        <v>377</v>
      </c>
      <c r="CYI121" s="285" t="s">
        <v>376</v>
      </c>
      <c r="CYJ121" s="285" t="s">
        <v>377</v>
      </c>
      <c r="CYK121" s="285" t="s">
        <v>376</v>
      </c>
      <c r="CYL121" s="285" t="s">
        <v>377</v>
      </c>
      <c r="CYM121" s="285" t="s">
        <v>376</v>
      </c>
      <c r="CYN121" s="285" t="s">
        <v>377</v>
      </c>
      <c r="CYO121" s="285" t="s">
        <v>376</v>
      </c>
      <c r="CYP121" s="285" t="s">
        <v>377</v>
      </c>
      <c r="CYQ121" s="285" t="s">
        <v>376</v>
      </c>
      <c r="CYR121" s="285" t="s">
        <v>377</v>
      </c>
      <c r="CYS121" s="285" t="s">
        <v>376</v>
      </c>
      <c r="CYT121" s="285" t="s">
        <v>377</v>
      </c>
      <c r="CYU121" s="285" t="s">
        <v>376</v>
      </c>
      <c r="CYV121" s="285" t="s">
        <v>377</v>
      </c>
      <c r="CYW121" s="285" t="s">
        <v>376</v>
      </c>
      <c r="CYX121" s="285" t="s">
        <v>377</v>
      </c>
      <c r="CYY121" s="285" t="s">
        <v>376</v>
      </c>
      <c r="CYZ121" s="285" t="s">
        <v>377</v>
      </c>
      <c r="CZA121" s="285" t="s">
        <v>376</v>
      </c>
      <c r="CZB121" s="285" t="s">
        <v>377</v>
      </c>
      <c r="CZC121" s="285" t="s">
        <v>376</v>
      </c>
      <c r="CZD121" s="285" t="s">
        <v>377</v>
      </c>
      <c r="CZE121" s="285" t="s">
        <v>376</v>
      </c>
      <c r="CZF121" s="285" t="s">
        <v>377</v>
      </c>
      <c r="CZG121" s="285" t="s">
        <v>376</v>
      </c>
      <c r="CZH121" s="285" t="s">
        <v>377</v>
      </c>
      <c r="CZI121" s="285" t="s">
        <v>376</v>
      </c>
      <c r="CZJ121" s="285" t="s">
        <v>377</v>
      </c>
      <c r="CZK121" s="285" t="s">
        <v>376</v>
      </c>
      <c r="CZL121" s="285" t="s">
        <v>377</v>
      </c>
      <c r="CZM121" s="285" t="s">
        <v>376</v>
      </c>
      <c r="CZN121" s="285" t="s">
        <v>377</v>
      </c>
      <c r="CZO121" s="285" t="s">
        <v>376</v>
      </c>
      <c r="CZP121" s="285" t="s">
        <v>377</v>
      </c>
      <c r="CZQ121" s="285" t="s">
        <v>376</v>
      </c>
      <c r="CZR121" s="285" t="s">
        <v>377</v>
      </c>
      <c r="CZS121" s="285" t="s">
        <v>376</v>
      </c>
      <c r="CZT121" s="285" t="s">
        <v>377</v>
      </c>
      <c r="CZU121" s="285" t="s">
        <v>376</v>
      </c>
      <c r="CZV121" s="285" t="s">
        <v>377</v>
      </c>
      <c r="CZW121" s="285" t="s">
        <v>376</v>
      </c>
      <c r="CZX121" s="285" t="s">
        <v>377</v>
      </c>
      <c r="CZY121" s="285" t="s">
        <v>376</v>
      </c>
      <c r="CZZ121" s="285" t="s">
        <v>377</v>
      </c>
      <c r="DAA121" s="285" t="s">
        <v>376</v>
      </c>
      <c r="DAB121" s="285" t="s">
        <v>377</v>
      </c>
      <c r="DAC121" s="285" t="s">
        <v>376</v>
      </c>
      <c r="DAD121" s="285" t="s">
        <v>377</v>
      </c>
      <c r="DAE121" s="285" t="s">
        <v>376</v>
      </c>
      <c r="DAF121" s="285" t="s">
        <v>377</v>
      </c>
      <c r="DAG121" s="285" t="s">
        <v>376</v>
      </c>
      <c r="DAH121" s="285" t="s">
        <v>377</v>
      </c>
      <c r="DAI121" s="285" t="s">
        <v>376</v>
      </c>
      <c r="DAJ121" s="285" t="s">
        <v>377</v>
      </c>
      <c r="DAK121" s="285" t="s">
        <v>376</v>
      </c>
      <c r="DAL121" s="285" t="s">
        <v>377</v>
      </c>
      <c r="DAM121" s="285" t="s">
        <v>376</v>
      </c>
      <c r="DAN121" s="285" t="s">
        <v>377</v>
      </c>
      <c r="DAO121" s="285" t="s">
        <v>376</v>
      </c>
      <c r="DAP121" s="285" t="s">
        <v>377</v>
      </c>
      <c r="DAQ121" s="285" t="s">
        <v>376</v>
      </c>
      <c r="DAR121" s="285" t="s">
        <v>377</v>
      </c>
      <c r="DAS121" s="285" t="s">
        <v>376</v>
      </c>
      <c r="DAT121" s="285" t="s">
        <v>377</v>
      </c>
      <c r="DAU121" s="285" t="s">
        <v>376</v>
      </c>
      <c r="DAV121" s="285" t="s">
        <v>377</v>
      </c>
      <c r="DAW121" s="285" t="s">
        <v>376</v>
      </c>
      <c r="DAX121" s="285" t="s">
        <v>377</v>
      </c>
      <c r="DAY121" s="285" t="s">
        <v>376</v>
      </c>
      <c r="DAZ121" s="285" t="s">
        <v>377</v>
      </c>
      <c r="DBA121" s="285" t="s">
        <v>376</v>
      </c>
      <c r="DBB121" s="285" t="s">
        <v>377</v>
      </c>
      <c r="DBC121" s="285" t="s">
        <v>376</v>
      </c>
      <c r="DBD121" s="285" t="s">
        <v>377</v>
      </c>
      <c r="DBE121" s="285" t="s">
        <v>376</v>
      </c>
      <c r="DBF121" s="285" t="s">
        <v>377</v>
      </c>
      <c r="DBG121" s="285" t="s">
        <v>376</v>
      </c>
      <c r="DBH121" s="285" t="s">
        <v>377</v>
      </c>
      <c r="DBI121" s="285" t="s">
        <v>376</v>
      </c>
      <c r="DBJ121" s="285" t="s">
        <v>377</v>
      </c>
      <c r="DBK121" s="285" t="s">
        <v>376</v>
      </c>
      <c r="DBL121" s="285" t="s">
        <v>377</v>
      </c>
      <c r="DBM121" s="285" t="s">
        <v>376</v>
      </c>
      <c r="DBN121" s="285" t="s">
        <v>377</v>
      </c>
      <c r="DBO121" s="285" t="s">
        <v>376</v>
      </c>
      <c r="DBP121" s="285" t="s">
        <v>377</v>
      </c>
      <c r="DBQ121" s="285" t="s">
        <v>376</v>
      </c>
      <c r="DBR121" s="285" t="s">
        <v>377</v>
      </c>
      <c r="DBS121" s="285" t="s">
        <v>376</v>
      </c>
      <c r="DBT121" s="285" t="s">
        <v>377</v>
      </c>
      <c r="DBU121" s="285" t="s">
        <v>376</v>
      </c>
      <c r="DBV121" s="285" t="s">
        <v>377</v>
      </c>
      <c r="DBW121" s="285" t="s">
        <v>376</v>
      </c>
      <c r="DBX121" s="285" t="s">
        <v>377</v>
      </c>
      <c r="DBY121" s="285" t="s">
        <v>376</v>
      </c>
      <c r="DBZ121" s="285" t="s">
        <v>377</v>
      </c>
      <c r="DCA121" s="285" t="s">
        <v>376</v>
      </c>
      <c r="DCB121" s="285" t="s">
        <v>377</v>
      </c>
      <c r="DCC121" s="285" t="s">
        <v>376</v>
      </c>
      <c r="DCD121" s="285" t="s">
        <v>377</v>
      </c>
      <c r="DCE121" s="285" t="s">
        <v>376</v>
      </c>
      <c r="DCF121" s="285" t="s">
        <v>377</v>
      </c>
      <c r="DCG121" s="285" t="s">
        <v>376</v>
      </c>
      <c r="DCH121" s="285" t="s">
        <v>377</v>
      </c>
      <c r="DCI121" s="285" t="s">
        <v>376</v>
      </c>
      <c r="DCJ121" s="285" t="s">
        <v>377</v>
      </c>
      <c r="DCK121" s="285" t="s">
        <v>376</v>
      </c>
      <c r="DCL121" s="285" t="s">
        <v>377</v>
      </c>
      <c r="DCM121" s="285" t="s">
        <v>376</v>
      </c>
      <c r="DCN121" s="285" t="s">
        <v>377</v>
      </c>
      <c r="DCO121" s="285" t="s">
        <v>376</v>
      </c>
      <c r="DCP121" s="285" t="s">
        <v>377</v>
      </c>
      <c r="DCQ121" s="285" t="s">
        <v>376</v>
      </c>
      <c r="DCR121" s="285" t="s">
        <v>377</v>
      </c>
      <c r="DCS121" s="285" t="s">
        <v>376</v>
      </c>
      <c r="DCT121" s="285" t="s">
        <v>377</v>
      </c>
      <c r="DCU121" s="285" t="s">
        <v>376</v>
      </c>
      <c r="DCV121" s="285" t="s">
        <v>377</v>
      </c>
      <c r="DCW121" s="285" t="s">
        <v>376</v>
      </c>
      <c r="DCX121" s="285" t="s">
        <v>377</v>
      </c>
      <c r="DCY121" s="285" t="s">
        <v>376</v>
      </c>
      <c r="DCZ121" s="285" t="s">
        <v>377</v>
      </c>
      <c r="DDA121" s="285" t="s">
        <v>376</v>
      </c>
      <c r="DDB121" s="285" t="s">
        <v>377</v>
      </c>
      <c r="DDC121" s="285" t="s">
        <v>376</v>
      </c>
      <c r="DDD121" s="285" t="s">
        <v>377</v>
      </c>
      <c r="DDE121" s="285" t="s">
        <v>376</v>
      </c>
      <c r="DDF121" s="285" t="s">
        <v>377</v>
      </c>
      <c r="DDG121" s="285" t="s">
        <v>376</v>
      </c>
      <c r="DDH121" s="285" t="s">
        <v>377</v>
      </c>
      <c r="DDI121" s="285" t="s">
        <v>376</v>
      </c>
      <c r="DDJ121" s="285" t="s">
        <v>377</v>
      </c>
      <c r="DDK121" s="285" t="s">
        <v>376</v>
      </c>
      <c r="DDL121" s="285" t="s">
        <v>377</v>
      </c>
      <c r="DDM121" s="285" t="s">
        <v>376</v>
      </c>
      <c r="DDN121" s="285" t="s">
        <v>377</v>
      </c>
      <c r="DDO121" s="285" t="s">
        <v>376</v>
      </c>
      <c r="DDP121" s="285" t="s">
        <v>377</v>
      </c>
      <c r="DDQ121" s="285" t="s">
        <v>376</v>
      </c>
      <c r="DDR121" s="285" t="s">
        <v>377</v>
      </c>
      <c r="DDS121" s="285" t="s">
        <v>376</v>
      </c>
      <c r="DDT121" s="285" t="s">
        <v>377</v>
      </c>
      <c r="DDU121" s="285" t="s">
        <v>376</v>
      </c>
      <c r="DDV121" s="285" t="s">
        <v>377</v>
      </c>
      <c r="DDW121" s="285" t="s">
        <v>376</v>
      </c>
      <c r="DDX121" s="285" t="s">
        <v>377</v>
      </c>
      <c r="DDY121" s="285" t="s">
        <v>376</v>
      </c>
      <c r="DDZ121" s="285" t="s">
        <v>377</v>
      </c>
      <c r="DEA121" s="285" t="s">
        <v>376</v>
      </c>
      <c r="DEB121" s="285" t="s">
        <v>377</v>
      </c>
      <c r="DEC121" s="285" t="s">
        <v>376</v>
      </c>
      <c r="DED121" s="285" t="s">
        <v>377</v>
      </c>
      <c r="DEE121" s="285" t="s">
        <v>376</v>
      </c>
      <c r="DEF121" s="285" t="s">
        <v>377</v>
      </c>
      <c r="DEG121" s="285" t="s">
        <v>376</v>
      </c>
      <c r="DEH121" s="285" t="s">
        <v>377</v>
      </c>
      <c r="DEI121" s="285" t="s">
        <v>376</v>
      </c>
      <c r="DEJ121" s="285" t="s">
        <v>377</v>
      </c>
      <c r="DEK121" s="285" t="s">
        <v>376</v>
      </c>
      <c r="DEL121" s="285" t="s">
        <v>377</v>
      </c>
      <c r="DEM121" s="285" t="s">
        <v>376</v>
      </c>
      <c r="DEN121" s="285" t="s">
        <v>377</v>
      </c>
      <c r="DEO121" s="285" t="s">
        <v>376</v>
      </c>
      <c r="DEP121" s="285" t="s">
        <v>377</v>
      </c>
      <c r="DEQ121" s="285" t="s">
        <v>376</v>
      </c>
      <c r="DER121" s="285" t="s">
        <v>377</v>
      </c>
      <c r="DES121" s="285" t="s">
        <v>376</v>
      </c>
      <c r="DET121" s="285" t="s">
        <v>377</v>
      </c>
      <c r="DEU121" s="285" t="s">
        <v>376</v>
      </c>
      <c r="DEV121" s="285" t="s">
        <v>377</v>
      </c>
      <c r="DEW121" s="285" t="s">
        <v>376</v>
      </c>
      <c r="DEX121" s="285" t="s">
        <v>377</v>
      </c>
      <c r="DEY121" s="285" t="s">
        <v>376</v>
      </c>
      <c r="DEZ121" s="285" t="s">
        <v>377</v>
      </c>
      <c r="DFA121" s="285" t="s">
        <v>376</v>
      </c>
      <c r="DFB121" s="285" t="s">
        <v>377</v>
      </c>
      <c r="DFC121" s="285" t="s">
        <v>376</v>
      </c>
      <c r="DFD121" s="285" t="s">
        <v>377</v>
      </c>
      <c r="DFE121" s="285" t="s">
        <v>376</v>
      </c>
      <c r="DFF121" s="285" t="s">
        <v>377</v>
      </c>
      <c r="DFG121" s="285" t="s">
        <v>376</v>
      </c>
      <c r="DFH121" s="285" t="s">
        <v>377</v>
      </c>
      <c r="DFI121" s="285" t="s">
        <v>376</v>
      </c>
      <c r="DFJ121" s="285" t="s">
        <v>377</v>
      </c>
      <c r="DFK121" s="285" t="s">
        <v>376</v>
      </c>
      <c r="DFL121" s="285" t="s">
        <v>377</v>
      </c>
      <c r="DFM121" s="285" t="s">
        <v>376</v>
      </c>
      <c r="DFN121" s="285" t="s">
        <v>377</v>
      </c>
      <c r="DFO121" s="285" t="s">
        <v>376</v>
      </c>
      <c r="DFP121" s="285" t="s">
        <v>377</v>
      </c>
      <c r="DFQ121" s="285" t="s">
        <v>376</v>
      </c>
      <c r="DFR121" s="285" t="s">
        <v>377</v>
      </c>
      <c r="DFS121" s="285" t="s">
        <v>376</v>
      </c>
      <c r="DFT121" s="285" t="s">
        <v>377</v>
      </c>
      <c r="DFU121" s="285" t="s">
        <v>376</v>
      </c>
      <c r="DFV121" s="285" t="s">
        <v>377</v>
      </c>
      <c r="DFW121" s="285" t="s">
        <v>376</v>
      </c>
      <c r="DFX121" s="285" t="s">
        <v>377</v>
      </c>
      <c r="DFY121" s="285" t="s">
        <v>376</v>
      </c>
      <c r="DFZ121" s="285" t="s">
        <v>377</v>
      </c>
      <c r="DGA121" s="285" t="s">
        <v>376</v>
      </c>
      <c r="DGB121" s="285" t="s">
        <v>377</v>
      </c>
      <c r="DGC121" s="285" t="s">
        <v>376</v>
      </c>
      <c r="DGD121" s="285" t="s">
        <v>377</v>
      </c>
      <c r="DGE121" s="285" t="s">
        <v>376</v>
      </c>
      <c r="DGF121" s="285" t="s">
        <v>377</v>
      </c>
      <c r="DGG121" s="285" t="s">
        <v>376</v>
      </c>
      <c r="DGH121" s="285" t="s">
        <v>377</v>
      </c>
      <c r="DGI121" s="285" t="s">
        <v>376</v>
      </c>
      <c r="DGJ121" s="285" t="s">
        <v>377</v>
      </c>
      <c r="DGK121" s="285" t="s">
        <v>376</v>
      </c>
      <c r="DGL121" s="285" t="s">
        <v>377</v>
      </c>
      <c r="DGM121" s="285" t="s">
        <v>376</v>
      </c>
      <c r="DGN121" s="285" t="s">
        <v>377</v>
      </c>
      <c r="DGO121" s="285" t="s">
        <v>376</v>
      </c>
      <c r="DGP121" s="285" t="s">
        <v>377</v>
      </c>
      <c r="DGQ121" s="285" t="s">
        <v>376</v>
      </c>
      <c r="DGR121" s="285" t="s">
        <v>377</v>
      </c>
      <c r="DGS121" s="285" t="s">
        <v>376</v>
      </c>
      <c r="DGT121" s="285" t="s">
        <v>377</v>
      </c>
      <c r="DGU121" s="285" t="s">
        <v>376</v>
      </c>
      <c r="DGV121" s="285" t="s">
        <v>377</v>
      </c>
      <c r="DGW121" s="285" t="s">
        <v>376</v>
      </c>
      <c r="DGX121" s="285" t="s">
        <v>377</v>
      </c>
      <c r="DGY121" s="285" t="s">
        <v>376</v>
      </c>
      <c r="DGZ121" s="285" t="s">
        <v>377</v>
      </c>
      <c r="DHA121" s="285" t="s">
        <v>376</v>
      </c>
      <c r="DHB121" s="285" t="s">
        <v>377</v>
      </c>
      <c r="DHC121" s="285" t="s">
        <v>376</v>
      </c>
      <c r="DHD121" s="285" t="s">
        <v>377</v>
      </c>
      <c r="DHE121" s="285" t="s">
        <v>376</v>
      </c>
      <c r="DHF121" s="285" t="s">
        <v>377</v>
      </c>
      <c r="DHG121" s="285" t="s">
        <v>376</v>
      </c>
      <c r="DHH121" s="285" t="s">
        <v>377</v>
      </c>
      <c r="DHI121" s="285" t="s">
        <v>376</v>
      </c>
      <c r="DHJ121" s="285" t="s">
        <v>377</v>
      </c>
      <c r="DHK121" s="285" t="s">
        <v>376</v>
      </c>
      <c r="DHL121" s="285" t="s">
        <v>377</v>
      </c>
      <c r="DHM121" s="285" t="s">
        <v>376</v>
      </c>
      <c r="DHN121" s="285" t="s">
        <v>377</v>
      </c>
      <c r="DHO121" s="285" t="s">
        <v>376</v>
      </c>
      <c r="DHP121" s="285" t="s">
        <v>377</v>
      </c>
      <c r="DHQ121" s="285" t="s">
        <v>376</v>
      </c>
      <c r="DHR121" s="285" t="s">
        <v>377</v>
      </c>
      <c r="DHS121" s="285" t="s">
        <v>376</v>
      </c>
      <c r="DHT121" s="285" t="s">
        <v>377</v>
      </c>
      <c r="DHU121" s="285" t="s">
        <v>376</v>
      </c>
      <c r="DHV121" s="285" t="s">
        <v>377</v>
      </c>
      <c r="DHW121" s="285" t="s">
        <v>376</v>
      </c>
      <c r="DHX121" s="285" t="s">
        <v>377</v>
      </c>
      <c r="DHY121" s="285" t="s">
        <v>376</v>
      </c>
      <c r="DHZ121" s="285" t="s">
        <v>377</v>
      </c>
      <c r="DIA121" s="285" t="s">
        <v>376</v>
      </c>
      <c r="DIB121" s="285" t="s">
        <v>377</v>
      </c>
      <c r="DIC121" s="285" t="s">
        <v>376</v>
      </c>
      <c r="DID121" s="285" t="s">
        <v>377</v>
      </c>
      <c r="DIE121" s="285" t="s">
        <v>376</v>
      </c>
      <c r="DIF121" s="285" t="s">
        <v>377</v>
      </c>
      <c r="DIG121" s="285" t="s">
        <v>376</v>
      </c>
      <c r="DIH121" s="285" t="s">
        <v>377</v>
      </c>
      <c r="DII121" s="285" t="s">
        <v>376</v>
      </c>
      <c r="DIJ121" s="285" t="s">
        <v>377</v>
      </c>
      <c r="DIK121" s="285" t="s">
        <v>376</v>
      </c>
      <c r="DIL121" s="285" t="s">
        <v>377</v>
      </c>
      <c r="DIM121" s="285" t="s">
        <v>376</v>
      </c>
      <c r="DIN121" s="285" t="s">
        <v>377</v>
      </c>
      <c r="DIO121" s="285" t="s">
        <v>376</v>
      </c>
      <c r="DIP121" s="285" t="s">
        <v>377</v>
      </c>
      <c r="DIQ121" s="285" t="s">
        <v>376</v>
      </c>
      <c r="DIR121" s="285" t="s">
        <v>377</v>
      </c>
      <c r="DIS121" s="285" t="s">
        <v>376</v>
      </c>
      <c r="DIT121" s="285" t="s">
        <v>377</v>
      </c>
      <c r="DIU121" s="285" t="s">
        <v>376</v>
      </c>
      <c r="DIV121" s="285" t="s">
        <v>377</v>
      </c>
      <c r="DIW121" s="285" t="s">
        <v>376</v>
      </c>
      <c r="DIX121" s="285" t="s">
        <v>377</v>
      </c>
      <c r="DIY121" s="285" t="s">
        <v>376</v>
      </c>
      <c r="DIZ121" s="285" t="s">
        <v>377</v>
      </c>
      <c r="DJA121" s="285" t="s">
        <v>376</v>
      </c>
      <c r="DJB121" s="285" t="s">
        <v>377</v>
      </c>
      <c r="DJC121" s="285" t="s">
        <v>376</v>
      </c>
      <c r="DJD121" s="285" t="s">
        <v>377</v>
      </c>
      <c r="DJE121" s="285" t="s">
        <v>376</v>
      </c>
      <c r="DJF121" s="285" t="s">
        <v>377</v>
      </c>
      <c r="DJG121" s="285" t="s">
        <v>376</v>
      </c>
      <c r="DJH121" s="285" t="s">
        <v>377</v>
      </c>
      <c r="DJI121" s="285" t="s">
        <v>376</v>
      </c>
      <c r="DJJ121" s="285" t="s">
        <v>377</v>
      </c>
      <c r="DJK121" s="285" t="s">
        <v>376</v>
      </c>
      <c r="DJL121" s="285" t="s">
        <v>377</v>
      </c>
      <c r="DJM121" s="285" t="s">
        <v>376</v>
      </c>
      <c r="DJN121" s="285" t="s">
        <v>377</v>
      </c>
      <c r="DJO121" s="285" t="s">
        <v>376</v>
      </c>
      <c r="DJP121" s="285" t="s">
        <v>377</v>
      </c>
      <c r="DJQ121" s="285" t="s">
        <v>376</v>
      </c>
      <c r="DJR121" s="285" t="s">
        <v>377</v>
      </c>
      <c r="DJS121" s="285" t="s">
        <v>376</v>
      </c>
      <c r="DJT121" s="285" t="s">
        <v>377</v>
      </c>
      <c r="DJU121" s="285" t="s">
        <v>376</v>
      </c>
      <c r="DJV121" s="285" t="s">
        <v>377</v>
      </c>
      <c r="DJW121" s="285" t="s">
        <v>376</v>
      </c>
      <c r="DJX121" s="285" t="s">
        <v>377</v>
      </c>
      <c r="DJY121" s="285" t="s">
        <v>376</v>
      </c>
      <c r="DJZ121" s="285" t="s">
        <v>377</v>
      </c>
      <c r="DKA121" s="285" t="s">
        <v>376</v>
      </c>
      <c r="DKB121" s="285" t="s">
        <v>377</v>
      </c>
      <c r="DKC121" s="285" t="s">
        <v>376</v>
      </c>
      <c r="DKD121" s="285" t="s">
        <v>377</v>
      </c>
      <c r="DKE121" s="285" t="s">
        <v>376</v>
      </c>
      <c r="DKF121" s="285" t="s">
        <v>377</v>
      </c>
      <c r="DKG121" s="285" t="s">
        <v>376</v>
      </c>
      <c r="DKH121" s="285" t="s">
        <v>377</v>
      </c>
      <c r="DKI121" s="285" t="s">
        <v>376</v>
      </c>
      <c r="DKJ121" s="285" t="s">
        <v>377</v>
      </c>
      <c r="DKK121" s="285" t="s">
        <v>376</v>
      </c>
      <c r="DKL121" s="285" t="s">
        <v>377</v>
      </c>
      <c r="DKM121" s="285" t="s">
        <v>376</v>
      </c>
      <c r="DKN121" s="285" t="s">
        <v>377</v>
      </c>
      <c r="DKO121" s="285" t="s">
        <v>376</v>
      </c>
      <c r="DKP121" s="285" t="s">
        <v>377</v>
      </c>
      <c r="DKQ121" s="285" t="s">
        <v>376</v>
      </c>
      <c r="DKR121" s="285" t="s">
        <v>377</v>
      </c>
      <c r="DKS121" s="285" t="s">
        <v>376</v>
      </c>
      <c r="DKT121" s="285" t="s">
        <v>377</v>
      </c>
      <c r="DKU121" s="285" t="s">
        <v>376</v>
      </c>
      <c r="DKV121" s="285" t="s">
        <v>377</v>
      </c>
      <c r="DKW121" s="285" t="s">
        <v>376</v>
      </c>
      <c r="DKX121" s="285" t="s">
        <v>377</v>
      </c>
      <c r="DKY121" s="285" t="s">
        <v>376</v>
      </c>
      <c r="DKZ121" s="285" t="s">
        <v>377</v>
      </c>
      <c r="DLA121" s="285" t="s">
        <v>376</v>
      </c>
      <c r="DLB121" s="285" t="s">
        <v>377</v>
      </c>
      <c r="DLC121" s="285" t="s">
        <v>376</v>
      </c>
      <c r="DLD121" s="285" t="s">
        <v>377</v>
      </c>
      <c r="DLE121" s="285" t="s">
        <v>376</v>
      </c>
      <c r="DLF121" s="285" t="s">
        <v>377</v>
      </c>
      <c r="DLG121" s="285" t="s">
        <v>376</v>
      </c>
      <c r="DLH121" s="285" t="s">
        <v>377</v>
      </c>
      <c r="DLI121" s="285" t="s">
        <v>376</v>
      </c>
      <c r="DLJ121" s="285" t="s">
        <v>377</v>
      </c>
      <c r="DLK121" s="285" t="s">
        <v>376</v>
      </c>
      <c r="DLL121" s="285" t="s">
        <v>377</v>
      </c>
      <c r="DLM121" s="285" t="s">
        <v>376</v>
      </c>
      <c r="DLN121" s="285" t="s">
        <v>377</v>
      </c>
      <c r="DLO121" s="285" t="s">
        <v>376</v>
      </c>
      <c r="DLP121" s="285" t="s">
        <v>377</v>
      </c>
      <c r="DLQ121" s="285" t="s">
        <v>376</v>
      </c>
      <c r="DLR121" s="285" t="s">
        <v>377</v>
      </c>
      <c r="DLS121" s="285" t="s">
        <v>376</v>
      </c>
      <c r="DLT121" s="285" t="s">
        <v>377</v>
      </c>
      <c r="DLU121" s="285" t="s">
        <v>376</v>
      </c>
      <c r="DLV121" s="285" t="s">
        <v>377</v>
      </c>
      <c r="DLW121" s="285" t="s">
        <v>376</v>
      </c>
      <c r="DLX121" s="285" t="s">
        <v>377</v>
      </c>
      <c r="DLY121" s="285" t="s">
        <v>376</v>
      </c>
      <c r="DLZ121" s="285" t="s">
        <v>377</v>
      </c>
      <c r="DMA121" s="285" t="s">
        <v>376</v>
      </c>
      <c r="DMB121" s="285" t="s">
        <v>377</v>
      </c>
      <c r="DMC121" s="285" t="s">
        <v>376</v>
      </c>
      <c r="DMD121" s="285" t="s">
        <v>377</v>
      </c>
      <c r="DME121" s="285" t="s">
        <v>376</v>
      </c>
      <c r="DMF121" s="285" t="s">
        <v>377</v>
      </c>
      <c r="DMG121" s="285" t="s">
        <v>376</v>
      </c>
      <c r="DMH121" s="285" t="s">
        <v>377</v>
      </c>
      <c r="DMI121" s="285" t="s">
        <v>376</v>
      </c>
      <c r="DMJ121" s="285" t="s">
        <v>377</v>
      </c>
      <c r="DMK121" s="285" t="s">
        <v>376</v>
      </c>
      <c r="DML121" s="285" t="s">
        <v>377</v>
      </c>
      <c r="DMM121" s="285" t="s">
        <v>376</v>
      </c>
      <c r="DMN121" s="285" t="s">
        <v>377</v>
      </c>
      <c r="DMO121" s="285" t="s">
        <v>376</v>
      </c>
      <c r="DMP121" s="285" t="s">
        <v>377</v>
      </c>
      <c r="DMQ121" s="285" t="s">
        <v>376</v>
      </c>
      <c r="DMR121" s="285" t="s">
        <v>377</v>
      </c>
      <c r="DMS121" s="285" t="s">
        <v>376</v>
      </c>
      <c r="DMT121" s="285" t="s">
        <v>377</v>
      </c>
      <c r="DMU121" s="285" t="s">
        <v>376</v>
      </c>
      <c r="DMV121" s="285" t="s">
        <v>377</v>
      </c>
      <c r="DMW121" s="285" t="s">
        <v>376</v>
      </c>
      <c r="DMX121" s="285" t="s">
        <v>377</v>
      </c>
      <c r="DMY121" s="285" t="s">
        <v>376</v>
      </c>
      <c r="DMZ121" s="285" t="s">
        <v>377</v>
      </c>
      <c r="DNA121" s="285" t="s">
        <v>376</v>
      </c>
      <c r="DNB121" s="285" t="s">
        <v>377</v>
      </c>
      <c r="DNC121" s="285" t="s">
        <v>376</v>
      </c>
      <c r="DND121" s="285" t="s">
        <v>377</v>
      </c>
      <c r="DNE121" s="285" t="s">
        <v>376</v>
      </c>
      <c r="DNF121" s="285" t="s">
        <v>377</v>
      </c>
      <c r="DNG121" s="285" t="s">
        <v>376</v>
      </c>
      <c r="DNH121" s="285" t="s">
        <v>377</v>
      </c>
      <c r="DNI121" s="285" t="s">
        <v>376</v>
      </c>
      <c r="DNJ121" s="285" t="s">
        <v>377</v>
      </c>
      <c r="DNK121" s="285" t="s">
        <v>376</v>
      </c>
      <c r="DNL121" s="285" t="s">
        <v>377</v>
      </c>
      <c r="DNM121" s="285" t="s">
        <v>376</v>
      </c>
      <c r="DNN121" s="285" t="s">
        <v>377</v>
      </c>
      <c r="DNO121" s="285" t="s">
        <v>376</v>
      </c>
      <c r="DNP121" s="285" t="s">
        <v>377</v>
      </c>
      <c r="DNQ121" s="285" t="s">
        <v>376</v>
      </c>
      <c r="DNR121" s="285" t="s">
        <v>377</v>
      </c>
      <c r="DNS121" s="285" t="s">
        <v>376</v>
      </c>
      <c r="DNT121" s="285" t="s">
        <v>377</v>
      </c>
      <c r="DNU121" s="285" t="s">
        <v>376</v>
      </c>
      <c r="DNV121" s="285" t="s">
        <v>377</v>
      </c>
      <c r="DNW121" s="285" t="s">
        <v>376</v>
      </c>
      <c r="DNX121" s="285" t="s">
        <v>377</v>
      </c>
      <c r="DNY121" s="285" t="s">
        <v>376</v>
      </c>
      <c r="DNZ121" s="285" t="s">
        <v>377</v>
      </c>
      <c r="DOA121" s="285" t="s">
        <v>376</v>
      </c>
      <c r="DOB121" s="285" t="s">
        <v>377</v>
      </c>
      <c r="DOC121" s="285" t="s">
        <v>376</v>
      </c>
      <c r="DOD121" s="285" t="s">
        <v>377</v>
      </c>
      <c r="DOE121" s="285" t="s">
        <v>376</v>
      </c>
      <c r="DOF121" s="285" t="s">
        <v>377</v>
      </c>
      <c r="DOG121" s="285" t="s">
        <v>376</v>
      </c>
      <c r="DOH121" s="285" t="s">
        <v>377</v>
      </c>
      <c r="DOI121" s="285" t="s">
        <v>376</v>
      </c>
      <c r="DOJ121" s="285" t="s">
        <v>377</v>
      </c>
      <c r="DOK121" s="285" t="s">
        <v>376</v>
      </c>
      <c r="DOL121" s="285" t="s">
        <v>377</v>
      </c>
      <c r="DOM121" s="285" t="s">
        <v>376</v>
      </c>
      <c r="DON121" s="285" t="s">
        <v>377</v>
      </c>
      <c r="DOO121" s="285" t="s">
        <v>376</v>
      </c>
      <c r="DOP121" s="285" t="s">
        <v>377</v>
      </c>
      <c r="DOQ121" s="285" t="s">
        <v>376</v>
      </c>
      <c r="DOR121" s="285" t="s">
        <v>377</v>
      </c>
      <c r="DOS121" s="285" t="s">
        <v>376</v>
      </c>
      <c r="DOT121" s="285" t="s">
        <v>377</v>
      </c>
      <c r="DOU121" s="285" t="s">
        <v>376</v>
      </c>
      <c r="DOV121" s="285" t="s">
        <v>377</v>
      </c>
      <c r="DOW121" s="285" t="s">
        <v>376</v>
      </c>
      <c r="DOX121" s="285" t="s">
        <v>377</v>
      </c>
      <c r="DOY121" s="285" t="s">
        <v>376</v>
      </c>
      <c r="DOZ121" s="285" t="s">
        <v>377</v>
      </c>
      <c r="DPA121" s="285" t="s">
        <v>376</v>
      </c>
      <c r="DPB121" s="285" t="s">
        <v>377</v>
      </c>
      <c r="DPC121" s="285" t="s">
        <v>376</v>
      </c>
      <c r="DPD121" s="285" t="s">
        <v>377</v>
      </c>
      <c r="DPE121" s="285" t="s">
        <v>376</v>
      </c>
      <c r="DPF121" s="285" t="s">
        <v>377</v>
      </c>
      <c r="DPG121" s="285" t="s">
        <v>376</v>
      </c>
      <c r="DPH121" s="285" t="s">
        <v>377</v>
      </c>
      <c r="DPI121" s="285" t="s">
        <v>376</v>
      </c>
      <c r="DPJ121" s="285" t="s">
        <v>377</v>
      </c>
      <c r="DPK121" s="285" t="s">
        <v>376</v>
      </c>
      <c r="DPL121" s="285" t="s">
        <v>377</v>
      </c>
      <c r="DPM121" s="285" t="s">
        <v>376</v>
      </c>
      <c r="DPN121" s="285" t="s">
        <v>377</v>
      </c>
      <c r="DPO121" s="285" t="s">
        <v>376</v>
      </c>
      <c r="DPP121" s="285" t="s">
        <v>377</v>
      </c>
      <c r="DPQ121" s="285" t="s">
        <v>376</v>
      </c>
      <c r="DPR121" s="285" t="s">
        <v>377</v>
      </c>
      <c r="DPS121" s="285" t="s">
        <v>376</v>
      </c>
      <c r="DPT121" s="285" t="s">
        <v>377</v>
      </c>
      <c r="DPU121" s="285" t="s">
        <v>376</v>
      </c>
      <c r="DPV121" s="285" t="s">
        <v>377</v>
      </c>
      <c r="DPW121" s="285" t="s">
        <v>376</v>
      </c>
      <c r="DPX121" s="285" t="s">
        <v>377</v>
      </c>
      <c r="DPY121" s="285" t="s">
        <v>376</v>
      </c>
      <c r="DPZ121" s="285" t="s">
        <v>377</v>
      </c>
      <c r="DQA121" s="285" t="s">
        <v>376</v>
      </c>
      <c r="DQB121" s="285" t="s">
        <v>377</v>
      </c>
      <c r="DQC121" s="285" t="s">
        <v>376</v>
      </c>
      <c r="DQD121" s="285" t="s">
        <v>377</v>
      </c>
      <c r="DQE121" s="285" t="s">
        <v>376</v>
      </c>
      <c r="DQF121" s="285" t="s">
        <v>377</v>
      </c>
      <c r="DQG121" s="285" t="s">
        <v>376</v>
      </c>
      <c r="DQH121" s="285" t="s">
        <v>377</v>
      </c>
      <c r="DQI121" s="285" t="s">
        <v>376</v>
      </c>
      <c r="DQJ121" s="285" t="s">
        <v>377</v>
      </c>
      <c r="DQK121" s="285" t="s">
        <v>376</v>
      </c>
      <c r="DQL121" s="285" t="s">
        <v>377</v>
      </c>
      <c r="DQM121" s="285" t="s">
        <v>376</v>
      </c>
      <c r="DQN121" s="285" t="s">
        <v>377</v>
      </c>
      <c r="DQO121" s="285" t="s">
        <v>376</v>
      </c>
      <c r="DQP121" s="285" t="s">
        <v>377</v>
      </c>
      <c r="DQQ121" s="285" t="s">
        <v>376</v>
      </c>
      <c r="DQR121" s="285" t="s">
        <v>377</v>
      </c>
      <c r="DQS121" s="285" t="s">
        <v>376</v>
      </c>
      <c r="DQT121" s="285" t="s">
        <v>377</v>
      </c>
      <c r="DQU121" s="285" t="s">
        <v>376</v>
      </c>
      <c r="DQV121" s="285" t="s">
        <v>377</v>
      </c>
      <c r="DQW121" s="285" t="s">
        <v>376</v>
      </c>
      <c r="DQX121" s="285" t="s">
        <v>377</v>
      </c>
      <c r="DQY121" s="285" t="s">
        <v>376</v>
      </c>
      <c r="DQZ121" s="285" t="s">
        <v>377</v>
      </c>
      <c r="DRA121" s="285" t="s">
        <v>376</v>
      </c>
      <c r="DRB121" s="285" t="s">
        <v>377</v>
      </c>
      <c r="DRC121" s="285" t="s">
        <v>376</v>
      </c>
      <c r="DRD121" s="285" t="s">
        <v>377</v>
      </c>
      <c r="DRE121" s="285" t="s">
        <v>376</v>
      </c>
      <c r="DRF121" s="285" t="s">
        <v>377</v>
      </c>
      <c r="DRG121" s="285" t="s">
        <v>376</v>
      </c>
      <c r="DRH121" s="285" t="s">
        <v>377</v>
      </c>
      <c r="DRI121" s="285" t="s">
        <v>376</v>
      </c>
      <c r="DRJ121" s="285" t="s">
        <v>377</v>
      </c>
      <c r="DRK121" s="285" t="s">
        <v>376</v>
      </c>
      <c r="DRL121" s="285" t="s">
        <v>377</v>
      </c>
      <c r="DRM121" s="285" t="s">
        <v>376</v>
      </c>
      <c r="DRN121" s="285" t="s">
        <v>377</v>
      </c>
      <c r="DRO121" s="285" t="s">
        <v>376</v>
      </c>
      <c r="DRP121" s="285" t="s">
        <v>377</v>
      </c>
      <c r="DRQ121" s="285" t="s">
        <v>376</v>
      </c>
      <c r="DRR121" s="285" t="s">
        <v>377</v>
      </c>
      <c r="DRS121" s="285" t="s">
        <v>376</v>
      </c>
      <c r="DRT121" s="285" t="s">
        <v>377</v>
      </c>
      <c r="DRU121" s="285" t="s">
        <v>376</v>
      </c>
      <c r="DRV121" s="285" t="s">
        <v>377</v>
      </c>
      <c r="DRW121" s="285" t="s">
        <v>376</v>
      </c>
      <c r="DRX121" s="285" t="s">
        <v>377</v>
      </c>
      <c r="DRY121" s="285" t="s">
        <v>376</v>
      </c>
      <c r="DRZ121" s="285" t="s">
        <v>377</v>
      </c>
      <c r="DSA121" s="285" t="s">
        <v>376</v>
      </c>
      <c r="DSB121" s="285" t="s">
        <v>377</v>
      </c>
      <c r="DSC121" s="285" t="s">
        <v>376</v>
      </c>
      <c r="DSD121" s="285" t="s">
        <v>377</v>
      </c>
      <c r="DSE121" s="285" t="s">
        <v>376</v>
      </c>
      <c r="DSF121" s="285" t="s">
        <v>377</v>
      </c>
      <c r="DSG121" s="285" t="s">
        <v>376</v>
      </c>
      <c r="DSH121" s="285" t="s">
        <v>377</v>
      </c>
      <c r="DSI121" s="285" t="s">
        <v>376</v>
      </c>
      <c r="DSJ121" s="285" t="s">
        <v>377</v>
      </c>
      <c r="DSK121" s="285" t="s">
        <v>376</v>
      </c>
      <c r="DSL121" s="285" t="s">
        <v>377</v>
      </c>
      <c r="DSM121" s="285" t="s">
        <v>376</v>
      </c>
      <c r="DSN121" s="285" t="s">
        <v>377</v>
      </c>
      <c r="DSO121" s="285" t="s">
        <v>376</v>
      </c>
      <c r="DSP121" s="285" t="s">
        <v>377</v>
      </c>
      <c r="DSQ121" s="285" t="s">
        <v>376</v>
      </c>
      <c r="DSR121" s="285" t="s">
        <v>377</v>
      </c>
      <c r="DSS121" s="285" t="s">
        <v>376</v>
      </c>
      <c r="DST121" s="285" t="s">
        <v>377</v>
      </c>
      <c r="DSU121" s="285" t="s">
        <v>376</v>
      </c>
      <c r="DSV121" s="285" t="s">
        <v>377</v>
      </c>
      <c r="DSW121" s="285" t="s">
        <v>376</v>
      </c>
      <c r="DSX121" s="285" t="s">
        <v>377</v>
      </c>
      <c r="DSY121" s="285" t="s">
        <v>376</v>
      </c>
      <c r="DSZ121" s="285" t="s">
        <v>377</v>
      </c>
      <c r="DTA121" s="285" t="s">
        <v>376</v>
      </c>
      <c r="DTB121" s="285" t="s">
        <v>377</v>
      </c>
      <c r="DTC121" s="285" t="s">
        <v>376</v>
      </c>
      <c r="DTD121" s="285" t="s">
        <v>377</v>
      </c>
      <c r="DTE121" s="285" t="s">
        <v>376</v>
      </c>
      <c r="DTF121" s="285" t="s">
        <v>377</v>
      </c>
      <c r="DTG121" s="285" t="s">
        <v>376</v>
      </c>
      <c r="DTH121" s="285" t="s">
        <v>377</v>
      </c>
      <c r="DTI121" s="285" t="s">
        <v>376</v>
      </c>
      <c r="DTJ121" s="285" t="s">
        <v>377</v>
      </c>
      <c r="DTK121" s="285" t="s">
        <v>376</v>
      </c>
      <c r="DTL121" s="285" t="s">
        <v>377</v>
      </c>
      <c r="DTM121" s="285" t="s">
        <v>376</v>
      </c>
      <c r="DTN121" s="285" t="s">
        <v>377</v>
      </c>
      <c r="DTO121" s="285" t="s">
        <v>376</v>
      </c>
      <c r="DTP121" s="285" t="s">
        <v>377</v>
      </c>
      <c r="DTQ121" s="285" t="s">
        <v>376</v>
      </c>
      <c r="DTR121" s="285" t="s">
        <v>377</v>
      </c>
      <c r="DTS121" s="285" t="s">
        <v>376</v>
      </c>
      <c r="DTT121" s="285" t="s">
        <v>377</v>
      </c>
      <c r="DTU121" s="285" t="s">
        <v>376</v>
      </c>
      <c r="DTV121" s="285" t="s">
        <v>377</v>
      </c>
      <c r="DTW121" s="285" t="s">
        <v>376</v>
      </c>
      <c r="DTX121" s="285" t="s">
        <v>377</v>
      </c>
      <c r="DTY121" s="285" t="s">
        <v>376</v>
      </c>
      <c r="DTZ121" s="285" t="s">
        <v>377</v>
      </c>
      <c r="DUA121" s="285" t="s">
        <v>376</v>
      </c>
      <c r="DUB121" s="285" t="s">
        <v>377</v>
      </c>
      <c r="DUC121" s="285" t="s">
        <v>376</v>
      </c>
      <c r="DUD121" s="285" t="s">
        <v>377</v>
      </c>
      <c r="DUE121" s="285" t="s">
        <v>376</v>
      </c>
      <c r="DUF121" s="285" t="s">
        <v>377</v>
      </c>
      <c r="DUG121" s="285" t="s">
        <v>376</v>
      </c>
      <c r="DUH121" s="285" t="s">
        <v>377</v>
      </c>
      <c r="DUI121" s="285" t="s">
        <v>376</v>
      </c>
      <c r="DUJ121" s="285" t="s">
        <v>377</v>
      </c>
      <c r="DUK121" s="285" t="s">
        <v>376</v>
      </c>
      <c r="DUL121" s="285" t="s">
        <v>377</v>
      </c>
      <c r="DUM121" s="285" t="s">
        <v>376</v>
      </c>
      <c r="DUN121" s="285" t="s">
        <v>377</v>
      </c>
      <c r="DUO121" s="285" t="s">
        <v>376</v>
      </c>
      <c r="DUP121" s="285" t="s">
        <v>377</v>
      </c>
      <c r="DUQ121" s="285" t="s">
        <v>376</v>
      </c>
      <c r="DUR121" s="285" t="s">
        <v>377</v>
      </c>
      <c r="DUS121" s="285" t="s">
        <v>376</v>
      </c>
      <c r="DUT121" s="285" t="s">
        <v>377</v>
      </c>
      <c r="DUU121" s="285" t="s">
        <v>376</v>
      </c>
      <c r="DUV121" s="285" t="s">
        <v>377</v>
      </c>
      <c r="DUW121" s="285" t="s">
        <v>376</v>
      </c>
      <c r="DUX121" s="285" t="s">
        <v>377</v>
      </c>
      <c r="DUY121" s="285" t="s">
        <v>376</v>
      </c>
      <c r="DUZ121" s="285" t="s">
        <v>377</v>
      </c>
      <c r="DVA121" s="285" t="s">
        <v>376</v>
      </c>
      <c r="DVB121" s="285" t="s">
        <v>377</v>
      </c>
      <c r="DVC121" s="285" t="s">
        <v>376</v>
      </c>
      <c r="DVD121" s="285" t="s">
        <v>377</v>
      </c>
      <c r="DVE121" s="285" t="s">
        <v>376</v>
      </c>
      <c r="DVF121" s="285" t="s">
        <v>377</v>
      </c>
      <c r="DVG121" s="285" t="s">
        <v>376</v>
      </c>
      <c r="DVH121" s="285" t="s">
        <v>377</v>
      </c>
      <c r="DVI121" s="285" t="s">
        <v>376</v>
      </c>
      <c r="DVJ121" s="285" t="s">
        <v>377</v>
      </c>
      <c r="DVK121" s="285" t="s">
        <v>376</v>
      </c>
      <c r="DVL121" s="285" t="s">
        <v>377</v>
      </c>
      <c r="DVM121" s="285" t="s">
        <v>376</v>
      </c>
      <c r="DVN121" s="285" t="s">
        <v>377</v>
      </c>
      <c r="DVO121" s="285" t="s">
        <v>376</v>
      </c>
      <c r="DVP121" s="285" t="s">
        <v>377</v>
      </c>
      <c r="DVQ121" s="285" t="s">
        <v>376</v>
      </c>
      <c r="DVR121" s="285" t="s">
        <v>377</v>
      </c>
      <c r="DVS121" s="285" t="s">
        <v>376</v>
      </c>
      <c r="DVT121" s="285" t="s">
        <v>377</v>
      </c>
      <c r="DVU121" s="285" t="s">
        <v>376</v>
      </c>
      <c r="DVV121" s="285" t="s">
        <v>377</v>
      </c>
      <c r="DVW121" s="285" t="s">
        <v>376</v>
      </c>
      <c r="DVX121" s="285" t="s">
        <v>377</v>
      </c>
      <c r="DVY121" s="285" t="s">
        <v>376</v>
      </c>
      <c r="DVZ121" s="285" t="s">
        <v>377</v>
      </c>
      <c r="DWA121" s="285" t="s">
        <v>376</v>
      </c>
      <c r="DWB121" s="285" t="s">
        <v>377</v>
      </c>
      <c r="DWC121" s="285" t="s">
        <v>376</v>
      </c>
      <c r="DWD121" s="285" t="s">
        <v>377</v>
      </c>
      <c r="DWE121" s="285" t="s">
        <v>376</v>
      </c>
      <c r="DWF121" s="285" t="s">
        <v>377</v>
      </c>
      <c r="DWG121" s="285" t="s">
        <v>376</v>
      </c>
      <c r="DWH121" s="285" t="s">
        <v>377</v>
      </c>
      <c r="DWI121" s="285" t="s">
        <v>376</v>
      </c>
      <c r="DWJ121" s="285" t="s">
        <v>377</v>
      </c>
      <c r="DWK121" s="285" t="s">
        <v>376</v>
      </c>
      <c r="DWL121" s="285" t="s">
        <v>377</v>
      </c>
      <c r="DWM121" s="285" t="s">
        <v>376</v>
      </c>
      <c r="DWN121" s="285" t="s">
        <v>377</v>
      </c>
      <c r="DWO121" s="285" t="s">
        <v>376</v>
      </c>
      <c r="DWP121" s="285" t="s">
        <v>377</v>
      </c>
      <c r="DWQ121" s="285" t="s">
        <v>376</v>
      </c>
      <c r="DWR121" s="285" t="s">
        <v>377</v>
      </c>
      <c r="DWS121" s="285" t="s">
        <v>376</v>
      </c>
      <c r="DWT121" s="285" t="s">
        <v>377</v>
      </c>
      <c r="DWU121" s="285" t="s">
        <v>376</v>
      </c>
      <c r="DWV121" s="285" t="s">
        <v>377</v>
      </c>
      <c r="DWW121" s="285" t="s">
        <v>376</v>
      </c>
      <c r="DWX121" s="285" t="s">
        <v>377</v>
      </c>
      <c r="DWY121" s="285" t="s">
        <v>376</v>
      </c>
      <c r="DWZ121" s="285" t="s">
        <v>377</v>
      </c>
      <c r="DXA121" s="285" t="s">
        <v>376</v>
      </c>
      <c r="DXB121" s="285" t="s">
        <v>377</v>
      </c>
      <c r="DXC121" s="285" t="s">
        <v>376</v>
      </c>
      <c r="DXD121" s="285" t="s">
        <v>377</v>
      </c>
      <c r="DXE121" s="285" t="s">
        <v>376</v>
      </c>
      <c r="DXF121" s="285" t="s">
        <v>377</v>
      </c>
      <c r="DXG121" s="285" t="s">
        <v>376</v>
      </c>
      <c r="DXH121" s="285" t="s">
        <v>377</v>
      </c>
      <c r="DXI121" s="285" t="s">
        <v>376</v>
      </c>
      <c r="DXJ121" s="285" t="s">
        <v>377</v>
      </c>
      <c r="DXK121" s="285" t="s">
        <v>376</v>
      </c>
      <c r="DXL121" s="285" t="s">
        <v>377</v>
      </c>
      <c r="DXM121" s="285" t="s">
        <v>376</v>
      </c>
      <c r="DXN121" s="285" t="s">
        <v>377</v>
      </c>
      <c r="DXO121" s="285" t="s">
        <v>376</v>
      </c>
      <c r="DXP121" s="285" t="s">
        <v>377</v>
      </c>
      <c r="DXQ121" s="285" t="s">
        <v>376</v>
      </c>
      <c r="DXR121" s="285" t="s">
        <v>377</v>
      </c>
      <c r="DXS121" s="285" t="s">
        <v>376</v>
      </c>
      <c r="DXT121" s="285" t="s">
        <v>377</v>
      </c>
      <c r="DXU121" s="285" t="s">
        <v>376</v>
      </c>
      <c r="DXV121" s="285" t="s">
        <v>377</v>
      </c>
      <c r="DXW121" s="285" t="s">
        <v>376</v>
      </c>
      <c r="DXX121" s="285" t="s">
        <v>377</v>
      </c>
      <c r="DXY121" s="285" t="s">
        <v>376</v>
      </c>
      <c r="DXZ121" s="285" t="s">
        <v>377</v>
      </c>
      <c r="DYA121" s="285" t="s">
        <v>376</v>
      </c>
      <c r="DYB121" s="285" t="s">
        <v>377</v>
      </c>
      <c r="DYC121" s="285" t="s">
        <v>376</v>
      </c>
      <c r="DYD121" s="285" t="s">
        <v>377</v>
      </c>
      <c r="DYE121" s="285" t="s">
        <v>376</v>
      </c>
      <c r="DYF121" s="285" t="s">
        <v>377</v>
      </c>
      <c r="DYG121" s="285" t="s">
        <v>376</v>
      </c>
      <c r="DYH121" s="285" t="s">
        <v>377</v>
      </c>
      <c r="DYI121" s="285" t="s">
        <v>376</v>
      </c>
      <c r="DYJ121" s="285" t="s">
        <v>377</v>
      </c>
      <c r="DYK121" s="285" t="s">
        <v>376</v>
      </c>
      <c r="DYL121" s="285" t="s">
        <v>377</v>
      </c>
      <c r="DYM121" s="285" t="s">
        <v>376</v>
      </c>
      <c r="DYN121" s="285" t="s">
        <v>377</v>
      </c>
      <c r="DYO121" s="285" t="s">
        <v>376</v>
      </c>
      <c r="DYP121" s="285" t="s">
        <v>377</v>
      </c>
      <c r="DYQ121" s="285" t="s">
        <v>376</v>
      </c>
      <c r="DYR121" s="285" t="s">
        <v>377</v>
      </c>
      <c r="DYS121" s="285" t="s">
        <v>376</v>
      </c>
      <c r="DYT121" s="285" t="s">
        <v>377</v>
      </c>
      <c r="DYU121" s="285" t="s">
        <v>376</v>
      </c>
      <c r="DYV121" s="285" t="s">
        <v>377</v>
      </c>
      <c r="DYW121" s="285" t="s">
        <v>376</v>
      </c>
      <c r="DYX121" s="285" t="s">
        <v>377</v>
      </c>
      <c r="DYY121" s="285" t="s">
        <v>376</v>
      </c>
      <c r="DYZ121" s="285" t="s">
        <v>377</v>
      </c>
      <c r="DZA121" s="285" t="s">
        <v>376</v>
      </c>
      <c r="DZB121" s="285" t="s">
        <v>377</v>
      </c>
      <c r="DZC121" s="285" t="s">
        <v>376</v>
      </c>
      <c r="DZD121" s="285" t="s">
        <v>377</v>
      </c>
      <c r="DZE121" s="285" t="s">
        <v>376</v>
      </c>
      <c r="DZF121" s="285" t="s">
        <v>377</v>
      </c>
      <c r="DZG121" s="285" t="s">
        <v>376</v>
      </c>
      <c r="DZH121" s="285" t="s">
        <v>377</v>
      </c>
      <c r="DZI121" s="285" t="s">
        <v>376</v>
      </c>
      <c r="DZJ121" s="285" t="s">
        <v>377</v>
      </c>
      <c r="DZK121" s="285" t="s">
        <v>376</v>
      </c>
      <c r="DZL121" s="285" t="s">
        <v>377</v>
      </c>
      <c r="DZM121" s="285" t="s">
        <v>376</v>
      </c>
      <c r="DZN121" s="285" t="s">
        <v>377</v>
      </c>
      <c r="DZO121" s="285" t="s">
        <v>376</v>
      </c>
      <c r="DZP121" s="285" t="s">
        <v>377</v>
      </c>
      <c r="DZQ121" s="285" t="s">
        <v>376</v>
      </c>
      <c r="DZR121" s="285" t="s">
        <v>377</v>
      </c>
      <c r="DZS121" s="285" t="s">
        <v>376</v>
      </c>
      <c r="DZT121" s="285" t="s">
        <v>377</v>
      </c>
      <c r="DZU121" s="285" t="s">
        <v>376</v>
      </c>
      <c r="DZV121" s="285" t="s">
        <v>377</v>
      </c>
      <c r="DZW121" s="285" t="s">
        <v>376</v>
      </c>
      <c r="DZX121" s="285" t="s">
        <v>377</v>
      </c>
      <c r="DZY121" s="285" t="s">
        <v>376</v>
      </c>
      <c r="DZZ121" s="285" t="s">
        <v>377</v>
      </c>
      <c r="EAA121" s="285" t="s">
        <v>376</v>
      </c>
      <c r="EAB121" s="285" t="s">
        <v>377</v>
      </c>
      <c r="EAC121" s="285" t="s">
        <v>376</v>
      </c>
      <c r="EAD121" s="285" t="s">
        <v>377</v>
      </c>
      <c r="EAE121" s="285" t="s">
        <v>376</v>
      </c>
      <c r="EAF121" s="285" t="s">
        <v>377</v>
      </c>
      <c r="EAG121" s="285" t="s">
        <v>376</v>
      </c>
      <c r="EAH121" s="285" t="s">
        <v>377</v>
      </c>
      <c r="EAI121" s="285" t="s">
        <v>376</v>
      </c>
      <c r="EAJ121" s="285" t="s">
        <v>377</v>
      </c>
      <c r="EAK121" s="285" t="s">
        <v>376</v>
      </c>
      <c r="EAL121" s="285" t="s">
        <v>377</v>
      </c>
      <c r="EAM121" s="285" t="s">
        <v>376</v>
      </c>
      <c r="EAN121" s="285" t="s">
        <v>377</v>
      </c>
      <c r="EAO121" s="285" t="s">
        <v>376</v>
      </c>
      <c r="EAP121" s="285" t="s">
        <v>377</v>
      </c>
      <c r="EAQ121" s="285" t="s">
        <v>376</v>
      </c>
      <c r="EAR121" s="285" t="s">
        <v>377</v>
      </c>
      <c r="EAS121" s="285" t="s">
        <v>376</v>
      </c>
      <c r="EAT121" s="285" t="s">
        <v>377</v>
      </c>
      <c r="EAU121" s="285" t="s">
        <v>376</v>
      </c>
      <c r="EAV121" s="285" t="s">
        <v>377</v>
      </c>
      <c r="EAW121" s="285" t="s">
        <v>376</v>
      </c>
      <c r="EAX121" s="285" t="s">
        <v>377</v>
      </c>
      <c r="EAY121" s="285" t="s">
        <v>376</v>
      </c>
      <c r="EAZ121" s="285" t="s">
        <v>377</v>
      </c>
      <c r="EBA121" s="285" t="s">
        <v>376</v>
      </c>
      <c r="EBB121" s="285" t="s">
        <v>377</v>
      </c>
      <c r="EBC121" s="285" t="s">
        <v>376</v>
      </c>
      <c r="EBD121" s="285" t="s">
        <v>377</v>
      </c>
      <c r="EBE121" s="285" t="s">
        <v>376</v>
      </c>
      <c r="EBF121" s="285" t="s">
        <v>377</v>
      </c>
      <c r="EBG121" s="285" t="s">
        <v>376</v>
      </c>
      <c r="EBH121" s="285" t="s">
        <v>377</v>
      </c>
      <c r="EBI121" s="285" t="s">
        <v>376</v>
      </c>
      <c r="EBJ121" s="285" t="s">
        <v>377</v>
      </c>
      <c r="EBK121" s="285" t="s">
        <v>376</v>
      </c>
      <c r="EBL121" s="285" t="s">
        <v>377</v>
      </c>
      <c r="EBM121" s="285" t="s">
        <v>376</v>
      </c>
      <c r="EBN121" s="285" t="s">
        <v>377</v>
      </c>
      <c r="EBO121" s="285" t="s">
        <v>376</v>
      </c>
      <c r="EBP121" s="285" t="s">
        <v>377</v>
      </c>
      <c r="EBQ121" s="285" t="s">
        <v>376</v>
      </c>
      <c r="EBR121" s="285" t="s">
        <v>377</v>
      </c>
      <c r="EBS121" s="285" t="s">
        <v>376</v>
      </c>
      <c r="EBT121" s="285" t="s">
        <v>377</v>
      </c>
      <c r="EBU121" s="285" t="s">
        <v>376</v>
      </c>
      <c r="EBV121" s="285" t="s">
        <v>377</v>
      </c>
      <c r="EBW121" s="285" t="s">
        <v>376</v>
      </c>
      <c r="EBX121" s="285" t="s">
        <v>377</v>
      </c>
      <c r="EBY121" s="285" t="s">
        <v>376</v>
      </c>
      <c r="EBZ121" s="285" t="s">
        <v>377</v>
      </c>
      <c r="ECA121" s="285" t="s">
        <v>376</v>
      </c>
      <c r="ECB121" s="285" t="s">
        <v>377</v>
      </c>
      <c r="ECC121" s="285" t="s">
        <v>376</v>
      </c>
      <c r="ECD121" s="285" t="s">
        <v>377</v>
      </c>
      <c r="ECE121" s="285" t="s">
        <v>376</v>
      </c>
      <c r="ECF121" s="285" t="s">
        <v>377</v>
      </c>
      <c r="ECG121" s="285" t="s">
        <v>376</v>
      </c>
      <c r="ECH121" s="285" t="s">
        <v>377</v>
      </c>
      <c r="ECI121" s="285" t="s">
        <v>376</v>
      </c>
      <c r="ECJ121" s="285" t="s">
        <v>377</v>
      </c>
      <c r="ECK121" s="285" t="s">
        <v>376</v>
      </c>
      <c r="ECL121" s="285" t="s">
        <v>377</v>
      </c>
      <c r="ECM121" s="285" t="s">
        <v>376</v>
      </c>
      <c r="ECN121" s="285" t="s">
        <v>377</v>
      </c>
      <c r="ECO121" s="285" t="s">
        <v>376</v>
      </c>
      <c r="ECP121" s="285" t="s">
        <v>377</v>
      </c>
      <c r="ECQ121" s="285" t="s">
        <v>376</v>
      </c>
      <c r="ECR121" s="285" t="s">
        <v>377</v>
      </c>
      <c r="ECS121" s="285" t="s">
        <v>376</v>
      </c>
      <c r="ECT121" s="285" t="s">
        <v>377</v>
      </c>
      <c r="ECU121" s="285" t="s">
        <v>376</v>
      </c>
      <c r="ECV121" s="285" t="s">
        <v>377</v>
      </c>
      <c r="ECW121" s="285" t="s">
        <v>376</v>
      </c>
      <c r="ECX121" s="285" t="s">
        <v>377</v>
      </c>
      <c r="ECY121" s="285" t="s">
        <v>376</v>
      </c>
      <c r="ECZ121" s="285" t="s">
        <v>377</v>
      </c>
      <c r="EDA121" s="285" t="s">
        <v>376</v>
      </c>
      <c r="EDB121" s="285" t="s">
        <v>377</v>
      </c>
      <c r="EDC121" s="285" t="s">
        <v>376</v>
      </c>
      <c r="EDD121" s="285" t="s">
        <v>377</v>
      </c>
      <c r="EDE121" s="285" t="s">
        <v>376</v>
      </c>
      <c r="EDF121" s="285" t="s">
        <v>377</v>
      </c>
      <c r="EDG121" s="285" t="s">
        <v>376</v>
      </c>
      <c r="EDH121" s="285" t="s">
        <v>377</v>
      </c>
      <c r="EDI121" s="285" t="s">
        <v>376</v>
      </c>
      <c r="EDJ121" s="285" t="s">
        <v>377</v>
      </c>
      <c r="EDK121" s="285" t="s">
        <v>376</v>
      </c>
      <c r="EDL121" s="285" t="s">
        <v>377</v>
      </c>
      <c r="EDM121" s="285" t="s">
        <v>376</v>
      </c>
      <c r="EDN121" s="285" t="s">
        <v>377</v>
      </c>
      <c r="EDO121" s="285" t="s">
        <v>376</v>
      </c>
      <c r="EDP121" s="285" t="s">
        <v>377</v>
      </c>
      <c r="EDQ121" s="285" t="s">
        <v>376</v>
      </c>
      <c r="EDR121" s="285" t="s">
        <v>377</v>
      </c>
      <c r="EDS121" s="285" t="s">
        <v>376</v>
      </c>
      <c r="EDT121" s="285" t="s">
        <v>377</v>
      </c>
      <c r="EDU121" s="285" t="s">
        <v>376</v>
      </c>
      <c r="EDV121" s="285" t="s">
        <v>377</v>
      </c>
      <c r="EDW121" s="285" t="s">
        <v>376</v>
      </c>
      <c r="EDX121" s="285" t="s">
        <v>377</v>
      </c>
      <c r="EDY121" s="285" t="s">
        <v>376</v>
      </c>
      <c r="EDZ121" s="285" t="s">
        <v>377</v>
      </c>
      <c r="EEA121" s="285" t="s">
        <v>376</v>
      </c>
      <c r="EEB121" s="285" t="s">
        <v>377</v>
      </c>
      <c r="EEC121" s="285" t="s">
        <v>376</v>
      </c>
      <c r="EED121" s="285" t="s">
        <v>377</v>
      </c>
      <c r="EEE121" s="285" t="s">
        <v>376</v>
      </c>
      <c r="EEF121" s="285" t="s">
        <v>377</v>
      </c>
      <c r="EEG121" s="285" t="s">
        <v>376</v>
      </c>
      <c r="EEH121" s="285" t="s">
        <v>377</v>
      </c>
      <c r="EEI121" s="285" t="s">
        <v>376</v>
      </c>
      <c r="EEJ121" s="285" t="s">
        <v>377</v>
      </c>
      <c r="EEK121" s="285" t="s">
        <v>376</v>
      </c>
      <c r="EEL121" s="285" t="s">
        <v>377</v>
      </c>
      <c r="EEM121" s="285" t="s">
        <v>376</v>
      </c>
      <c r="EEN121" s="285" t="s">
        <v>377</v>
      </c>
      <c r="EEO121" s="285" t="s">
        <v>376</v>
      </c>
      <c r="EEP121" s="285" t="s">
        <v>377</v>
      </c>
      <c r="EEQ121" s="285" t="s">
        <v>376</v>
      </c>
      <c r="EER121" s="285" t="s">
        <v>377</v>
      </c>
      <c r="EES121" s="285" t="s">
        <v>376</v>
      </c>
      <c r="EET121" s="285" t="s">
        <v>377</v>
      </c>
      <c r="EEU121" s="285" t="s">
        <v>376</v>
      </c>
      <c r="EEV121" s="285" t="s">
        <v>377</v>
      </c>
      <c r="EEW121" s="285" t="s">
        <v>376</v>
      </c>
      <c r="EEX121" s="285" t="s">
        <v>377</v>
      </c>
      <c r="EEY121" s="285" t="s">
        <v>376</v>
      </c>
      <c r="EEZ121" s="285" t="s">
        <v>377</v>
      </c>
      <c r="EFA121" s="285" t="s">
        <v>376</v>
      </c>
      <c r="EFB121" s="285" t="s">
        <v>377</v>
      </c>
      <c r="EFC121" s="285" t="s">
        <v>376</v>
      </c>
      <c r="EFD121" s="285" t="s">
        <v>377</v>
      </c>
      <c r="EFE121" s="285" t="s">
        <v>376</v>
      </c>
      <c r="EFF121" s="285" t="s">
        <v>377</v>
      </c>
      <c r="EFG121" s="285" t="s">
        <v>376</v>
      </c>
      <c r="EFH121" s="285" t="s">
        <v>377</v>
      </c>
      <c r="EFI121" s="285" t="s">
        <v>376</v>
      </c>
      <c r="EFJ121" s="285" t="s">
        <v>377</v>
      </c>
      <c r="EFK121" s="285" t="s">
        <v>376</v>
      </c>
      <c r="EFL121" s="285" t="s">
        <v>377</v>
      </c>
      <c r="EFM121" s="285" t="s">
        <v>376</v>
      </c>
      <c r="EFN121" s="285" t="s">
        <v>377</v>
      </c>
      <c r="EFO121" s="285" t="s">
        <v>376</v>
      </c>
      <c r="EFP121" s="285" t="s">
        <v>377</v>
      </c>
      <c r="EFQ121" s="285" t="s">
        <v>376</v>
      </c>
      <c r="EFR121" s="285" t="s">
        <v>377</v>
      </c>
      <c r="EFS121" s="285" t="s">
        <v>376</v>
      </c>
      <c r="EFT121" s="285" t="s">
        <v>377</v>
      </c>
      <c r="EFU121" s="285" t="s">
        <v>376</v>
      </c>
      <c r="EFV121" s="285" t="s">
        <v>377</v>
      </c>
      <c r="EFW121" s="285" t="s">
        <v>376</v>
      </c>
      <c r="EFX121" s="285" t="s">
        <v>377</v>
      </c>
      <c r="EFY121" s="285" t="s">
        <v>376</v>
      </c>
      <c r="EFZ121" s="285" t="s">
        <v>377</v>
      </c>
      <c r="EGA121" s="285" t="s">
        <v>376</v>
      </c>
      <c r="EGB121" s="285" t="s">
        <v>377</v>
      </c>
      <c r="EGC121" s="285" t="s">
        <v>376</v>
      </c>
      <c r="EGD121" s="285" t="s">
        <v>377</v>
      </c>
      <c r="EGE121" s="285" t="s">
        <v>376</v>
      </c>
      <c r="EGF121" s="285" t="s">
        <v>377</v>
      </c>
      <c r="EGG121" s="285" t="s">
        <v>376</v>
      </c>
      <c r="EGH121" s="285" t="s">
        <v>377</v>
      </c>
      <c r="EGI121" s="285" t="s">
        <v>376</v>
      </c>
      <c r="EGJ121" s="285" t="s">
        <v>377</v>
      </c>
      <c r="EGK121" s="285" t="s">
        <v>376</v>
      </c>
      <c r="EGL121" s="285" t="s">
        <v>377</v>
      </c>
      <c r="EGM121" s="285" t="s">
        <v>376</v>
      </c>
      <c r="EGN121" s="285" t="s">
        <v>377</v>
      </c>
      <c r="EGO121" s="285" t="s">
        <v>376</v>
      </c>
      <c r="EGP121" s="285" t="s">
        <v>377</v>
      </c>
      <c r="EGQ121" s="285" t="s">
        <v>376</v>
      </c>
      <c r="EGR121" s="285" t="s">
        <v>377</v>
      </c>
      <c r="EGS121" s="285" t="s">
        <v>376</v>
      </c>
      <c r="EGT121" s="285" t="s">
        <v>377</v>
      </c>
      <c r="EGU121" s="285" t="s">
        <v>376</v>
      </c>
      <c r="EGV121" s="285" t="s">
        <v>377</v>
      </c>
      <c r="EGW121" s="285" t="s">
        <v>376</v>
      </c>
      <c r="EGX121" s="285" t="s">
        <v>377</v>
      </c>
      <c r="EGY121" s="285" t="s">
        <v>376</v>
      </c>
      <c r="EGZ121" s="285" t="s">
        <v>377</v>
      </c>
      <c r="EHA121" s="285" t="s">
        <v>376</v>
      </c>
      <c r="EHB121" s="285" t="s">
        <v>377</v>
      </c>
      <c r="EHC121" s="285" t="s">
        <v>376</v>
      </c>
      <c r="EHD121" s="285" t="s">
        <v>377</v>
      </c>
      <c r="EHE121" s="285" t="s">
        <v>376</v>
      </c>
      <c r="EHF121" s="285" t="s">
        <v>377</v>
      </c>
      <c r="EHG121" s="285" t="s">
        <v>376</v>
      </c>
      <c r="EHH121" s="285" t="s">
        <v>377</v>
      </c>
      <c r="EHI121" s="285" t="s">
        <v>376</v>
      </c>
      <c r="EHJ121" s="285" t="s">
        <v>377</v>
      </c>
      <c r="EHK121" s="285" t="s">
        <v>376</v>
      </c>
      <c r="EHL121" s="285" t="s">
        <v>377</v>
      </c>
      <c r="EHM121" s="285" t="s">
        <v>376</v>
      </c>
      <c r="EHN121" s="285" t="s">
        <v>377</v>
      </c>
      <c r="EHO121" s="285" t="s">
        <v>376</v>
      </c>
      <c r="EHP121" s="285" t="s">
        <v>377</v>
      </c>
      <c r="EHQ121" s="285" t="s">
        <v>376</v>
      </c>
      <c r="EHR121" s="285" t="s">
        <v>377</v>
      </c>
      <c r="EHS121" s="285" t="s">
        <v>376</v>
      </c>
      <c r="EHT121" s="285" t="s">
        <v>377</v>
      </c>
      <c r="EHU121" s="285" t="s">
        <v>376</v>
      </c>
      <c r="EHV121" s="285" t="s">
        <v>377</v>
      </c>
      <c r="EHW121" s="285" t="s">
        <v>376</v>
      </c>
      <c r="EHX121" s="285" t="s">
        <v>377</v>
      </c>
      <c r="EHY121" s="285" t="s">
        <v>376</v>
      </c>
      <c r="EHZ121" s="285" t="s">
        <v>377</v>
      </c>
      <c r="EIA121" s="285" t="s">
        <v>376</v>
      </c>
      <c r="EIB121" s="285" t="s">
        <v>377</v>
      </c>
      <c r="EIC121" s="285" t="s">
        <v>376</v>
      </c>
      <c r="EID121" s="285" t="s">
        <v>377</v>
      </c>
      <c r="EIE121" s="285" t="s">
        <v>376</v>
      </c>
      <c r="EIF121" s="285" t="s">
        <v>377</v>
      </c>
      <c r="EIG121" s="285" t="s">
        <v>376</v>
      </c>
      <c r="EIH121" s="285" t="s">
        <v>377</v>
      </c>
      <c r="EII121" s="285" t="s">
        <v>376</v>
      </c>
      <c r="EIJ121" s="285" t="s">
        <v>377</v>
      </c>
      <c r="EIK121" s="285" t="s">
        <v>376</v>
      </c>
      <c r="EIL121" s="285" t="s">
        <v>377</v>
      </c>
      <c r="EIM121" s="285" t="s">
        <v>376</v>
      </c>
      <c r="EIN121" s="285" t="s">
        <v>377</v>
      </c>
      <c r="EIO121" s="285" t="s">
        <v>376</v>
      </c>
      <c r="EIP121" s="285" t="s">
        <v>377</v>
      </c>
      <c r="EIQ121" s="285" t="s">
        <v>376</v>
      </c>
      <c r="EIR121" s="285" t="s">
        <v>377</v>
      </c>
      <c r="EIS121" s="285" t="s">
        <v>376</v>
      </c>
      <c r="EIT121" s="285" t="s">
        <v>377</v>
      </c>
      <c r="EIU121" s="285" t="s">
        <v>376</v>
      </c>
      <c r="EIV121" s="285" t="s">
        <v>377</v>
      </c>
      <c r="EIW121" s="285" t="s">
        <v>376</v>
      </c>
      <c r="EIX121" s="285" t="s">
        <v>377</v>
      </c>
      <c r="EIY121" s="285" t="s">
        <v>376</v>
      </c>
      <c r="EIZ121" s="285" t="s">
        <v>377</v>
      </c>
      <c r="EJA121" s="285" t="s">
        <v>376</v>
      </c>
      <c r="EJB121" s="285" t="s">
        <v>377</v>
      </c>
      <c r="EJC121" s="285" t="s">
        <v>376</v>
      </c>
      <c r="EJD121" s="285" t="s">
        <v>377</v>
      </c>
      <c r="EJE121" s="285" t="s">
        <v>376</v>
      </c>
      <c r="EJF121" s="285" t="s">
        <v>377</v>
      </c>
      <c r="EJG121" s="285" t="s">
        <v>376</v>
      </c>
      <c r="EJH121" s="285" t="s">
        <v>377</v>
      </c>
      <c r="EJI121" s="285" t="s">
        <v>376</v>
      </c>
      <c r="EJJ121" s="285" t="s">
        <v>377</v>
      </c>
      <c r="EJK121" s="285" t="s">
        <v>376</v>
      </c>
      <c r="EJL121" s="285" t="s">
        <v>377</v>
      </c>
      <c r="EJM121" s="285" t="s">
        <v>376</v>
      </c>
      <c r="EJN121" s="285" t="s">
        <v>377</v>
      </c>
      <c r="EJO121" s="285" t="s">
        <v>376</v>
      </c>
      <c r="EJP121" s="285" t="s">
        <v>377</v>
      </c>
      <c r="EJQ121" s="285" t="s">
        <v>376</v>
      </c>
      <c r="EJR121" s="285" t="s">
        <v>377</v>
      </c>
      <c r="EJS121" s="285" t="s">
        <v>376</v>
      </c>
      <c r="EJT121" s="285" t="s">
        <v>377</v>
      </c>
      <c r="EJU121" s="285" t="s">
        <v>376</v>
      </c>
      <c r="EJV121" s="285" t="s">
        <v>377</v>
      </c>
      <c r="EJW121" s="285" t="s">
        <v>376</v>
      </c>
      <c r="EJX121" s="285" t="s">
        <v>377</v>
      </c>
      <c r="EJY121" s="285" t="s">
        <v>376</v>
      </c>
      <c r="EJZ121" s="285" t="s">
        <v>377</v>
      </c>
      <c r="EKA121" s="285" t="s">
        <v>376</v>
      </c>
      <c r="EKB121" s="285" t="s">
        <v>377</v>
      </c>
      <c r="EKC121" s="285" t="s">
        <v>376</v>
      </c>
      <c r="EKD121" s="285" t="s">
        <v>377</v>
      </c>
      <c r="EKE121" s="285" t="s">
        <v>376</v>
      </c>
      <c r="EKF121" s="285" t="s">
        <v>377</v>
      </c>
      <c r="EKG121" s="285" t="s">
        <v>376</v>
      </c>
      <c r="EKH121" s="285" t="s">
        <v>377</v>
      </c>
      <c r="EKI121" s="285" t="s">
        <v>376</v>
      </c>
      <c r="EKJ121" s="285" t="s">
        <v>377</v>
      </c>
      <c r="EKK121" s="285" t="s">
        <v>376</v>
      </c>
      <c r="EKL121" s="285" t="s">
        <v>377</v>
      </c>
      <c r="EKM121" s="285" t="s">
        <v>376</v>
      </c>
      <c r="EKN121" s="285" t="s">
        <v>377</v>
      </c>
      <c r="EKO121" s="285" t="s">
        <v>376</v>
      </c>
      <c r="EKP121" s="285" t="s">
        <v>377</v>
      </c>
      <c r="EKQ121" s="285" t="s">
        <v>376</v>
      </c>
      <c r="EKR121" s="285" t="s">
        <v>377</v>
      </c>
      <c r="EKS121" s="285" t="s">
        <v>376</v>
      </c>
      <c r="EKT121" s="285" t="s">
        <v>377</v>
      </c>
      <c r="EKU121" s="285" t="s">
        <v>376</v>
      </c>
      <c r="EKV121" s="285" t="s">
        <v>377</v>
      </c>
      <c r="EKW121" s="285" t="s">
        <v>376</v>
      </c>
      <c r="EKX121" s="285" t="s">
        <v>377</v>
      </c>
      <c r="EKY121" s="285" t="s">
        <v>376</v>
      </c>
      <c r="EKZ121" s="285" t="s">
        <v>377</v>
      </c>
      <c r="ELA121" s="285" t="s">
        <v>376</v>
      </c>
      <c r="ELB121" s="285" t="s">
        <v>377</v>
      </c>
      <c r="ELC121" s="285" t="s">
        <v>376</v>
      </c>
      <c r="ELD121" s="285" t="s">
        <v>377</v>
      </c>
      <c r="ELE121" s="285" t="s">
        <v>376</v>
      </c>
      <c r="ELF121" s="285" t="s">
        <v>377</v>
      </c>
      <c r="ELG121" s="285" t="s">
        <v>376</v>
      </c>
      <c r="ELH121" s="285" t="s">
        <v>377</v>
      </c>
      <c r="ELI121" s="285" t="s">
        <v>376</v>
      </c>
      <c r="ELJ121" s="285" t="s">
        <v>377</v>
      </c>
      <c r="ELK121" s="285" t="s">
        <v>376</v>
      </c>
      <c r="ELL121" s="285" t="s">
        <v>377</v>
      </c>
      <c r="ELM121" s="285" t="s">
        <v>376</v>
      </c>
      <c r="ELN121" s="285" t="s">
        <v>377</v>
      </c>
      <c r="ELO121" s="285" t="s">
        <v>376</v>
      </c>
      <c r="ELP121" s="285" t="s">
        <v>377</v>
      </c>
      <c r="ELQ121" s="285" t="s">
        <v>376</v>
      </c>
      <c r="ELR121" s="285" t="s">
        <v>377</v>
      </c>
      <c r="ELS121" s="285" t="s">
        <v>376</v>
      </c>
      <c r="ELT121" s="285" t="s">
        <v>377</v>
      </c>
      <c r="ELU121" s="285" t="s">
        <v>376</v>
      </c>
      <c r="ELV121" s="285" t="s">
        <v>377</v>
      </c>
      <c r="ELW121" s="285" t="s">
        <v>376</v>
      </c>
      <c r="ELX121" s="285" t="s">
        <v>377</v>
      </c>
      <c r="ELY121" s="285" t="s">
        <v>376</v>
      </c>
      <c r="ELZ121" s="285" t="s">
        <v>377</v>
      </c>
      <c r="EMA121" s="285" t="s">
        <v>376</v>
      </c>
      <c r="EMB121" s="285" t="s">
        <v>377</v>
      </c>
      <c r="EMC121" s="285" t="s">
        <v>376</v>
      </c>
      <c r="EMD121" s="285" t="s">
        <v>377</v>
      </c>
      <c r="EME121" s="285" t="s">
        <v>376</v>
      </c>
      <c r="EMF121" s="285" t="s">
        <v>377</v>
      </c>
      <c r="EMG121" s="285" t="s">
        <v>376</v>
      </c>
      <c r="EMH121" s="285" t="s">
        <v>377</v>
      </c>
      <c r="EMI121" s="285" t="s">
        <v>376</v>
      </c>
      <c r="EMJ121" s="285" t="s">
        <v>377</v>
      </c>
      <c r="EMK121" s="285" t="s">
        <v>376</v>
      </c>
      <c r="EML121" s="285" t="s">
        <v>377</v>
      </c>
      <c r="EMM121" s="285" t="s">
        <v>376</v>
      </c>
      <c r="EMN121" s="285" t="s">
        <v>377</v>
      </c>
      <c r="EMO121" s="285" t="s">
        <v>376</v>
      </c>
      <c r="EMP121" s="285" t="s">
        <v>377</v>
      </c>
      <c r="EMQ121" s="285" t="s">
        <v>376</v>
      </c>
      <c r="EMR121" s="285" t="s">
        <v>377</v>
      </c>
      <c r="EMS121" s="285" t="s">
        <v>376</v>
      </c>
      <c r="EMT121" s="285" t="s">
        <v>377</v>
      </c>
      <c r="EMU121" s="285" t="s">
        <v>376</v>
      </c>
      <c r="EMV121" s="285" t="s">
        <v>377</v>
      </c>
      <c r="EMW121" s="285" t="s">
        <v>376</v>
      </c>
      <c r="EMX121" s="285" t="s">
        <v>377</v>
      </c>
      <c r="EMY121" s="285" t="s">
        <v>376</v>
      </c>
      <c r="EMZ121" s="285" t="s">
        <v>377</v>
      </c>
      <c r="ENA121" s="285" t="s">
        <v>376</v>
      </c>
      <c r="ENB121" s="285" t="s">
        <v>377</v>
      </c>
      <c r="ENC121" s="285" t="s">
        <v>376</v>
      </c>
      <c r="END121" s="285" t="s">
        <v>377</v>
      </c>
      <c r="ENE121" s="285" t="s">
        <v>376</v>
      </c>
      <c r="ENF121" s="285" t="s">
        <v>377</v>
      </c>
      <c r="ENG121" s="285" t="s">
        <v>376</v>
      </c>
      <c r="ENH121" s="285" t="s">
        <v>377</v>
      </c>
      <c r="ENI121" s="285" t="s">
        <v>376</v>
      </c>
      <c r="ENJ121" s="285" t="s">
        <v>377</v>
      </c>
      <c r="ENK121" s="285" t="s">
        <v>376</v>
      </c>
      <c r="ENL121" s="285" t="s">
        <v>377</v>
      </c>
      <c r="ENM121" s="285" t="s">
        <v>376</v>
      </c>
      <c r="ENN121" s="285" t="s">
        <v>377</v>
      </c>
      <c r="ENO121" s="285" t="s">
        <v>376</v>
      </c>
      <c r="ENP121" s="285" t="s">
        <v>377</v>
      </c>
      <c r="ENQ121" s="285" t="s">
        <v>376</v>
      </c>
      <c r="ENR121" s="285" t="s">
        <v>377</v>
      </c>
      <c r="ENS121" s="285" t="s">
        <v>376</v>
      </c>
      <c r="ENT121" s="285" t="s">
        <v>377</v>
      </c>
      <c r="ENU121" s="285" t="s">
        <v>376</v>
      </c>
      <c r="ENV121" s="285" t="s">
        <v>377</v>
      </c>
      <c r="ENW121" s="285" t="s">
        <v>376</v>
      </c>
      <c r="ENX121" s="285" t="s">
        <v>377</v>
      </c>
      <c r="ENY121" s="285" t="s">
        <v>376</v>
      </c>
      <c r="ENZ121" s="285" t="s">
        <v>377</v>
      </c>
      <c r="EOA121" s="285" t="s">
        <v>376</v>
      </c>
      <c r="EOB121" s="285" t="s">
        <v>377</v>
      </c>
      <c r="EOC121" s="285" t="s">
        <v>376</v>
      </c>
      <c r="EOD121" s="285" t="s">
        <v>377</v>
      </c>
      <c r="EOE121" s="285" t="s">
        <v>376</v>
      </c>
      <c r="EOF121" s="285" t="s">
        <v>377</v>
      </c>
      <c r="EOG121" s="285" t="s">
        <v>376</v>
      </c>
      <c r="EOH121" s="285" t="s">
        <v>377</v>
      </c>
      <c r="EOI121" s="285" t="s">
        <v>376</v>
      </c>
      <c r="EOJ121" s="285" t="s">
        <v>377</v>
      </c>
      <c r="EOK121" s="285" t="s">
        <v>376</v>
      </c>
      <c r="EOL121" s="285" t="s">
        <v>377</v>
      </c>
      <c r="EOM121" s="285" t="s">
        <v>376</v>
      </c>
      <c r="EON121" s="285" t="s">
        <v>377</v>
      </c>
      <c r="EOO121" s="285" t="s">
        <v>376</v>
      </c>
      <c r="EOP121" s="285" t="s">
        <v>377</v>
      </c>
      <c r="EOQ121" s="285" t="s">
        <v>376</v>
      </c>
      <c r="EOR121" s="285" t="s">
        <v>377</v>
      </c>
      <c r="EOS121" s="285" t="s">
        <v>376</v>
      </c>
      <c r="EOT121" s="285" t="s">
        <v>377</v>
      </c>
      <c r="EOU121" s="285" t="s">
        <v>376</v>
      </c>
      <c r="EOV121" s="285" t="s">
        <v>377</v>
      </c>
      <c r="EOW121" s="285" t="s">
        <v>376</v>
      </c>
      <c r="EOX121" s="285" t="s">
        <v>377</v>
      </c>
      <c r="EOY121" s="285" t="s">
        <v>376</v>
      </c>
      <c r="EOZ121" s="285" t="s">
        <v>377</v>
      </c>
      <c r="EPA121" s="285" t="s">
        <v>376</v>
      </c>
      <c r="EPB121" s="285" t="s">
        <v>377</v>
      </c>
      <c r="EPC121" s="285" t="s">
        <v>376</v>
      </c>
      <c r="EPD121" s="285" t="s">
        <v>377</v>
      </c>
      <c r="EPE121" s="285" t="s">
        <v>376</v>
      </c>
      <c r="EPF121" s="285" t="s">
        <v>377</v>
      </c>
      <c r="EPG121" s="285" t="s">
        <v>376</v>
      </c>
      <c r="EPH121" s="285" t="s">
        <v>377</v>
      </c>
      <c r="EPI121" s="285" t="s">
        <v>376</v>
      </c>
      <c r="EPJ121" s="285" t="s">
        <v>377</v>
      </c>
      <c r="EPK121" s="285" t="s">
        <v>376</v>
      </c>
      <c r="EPL121" s="285" t="s">
        <v>377</v>
      </c>
      <c r="EPM121" s="285" t="s">
        <v>376</v>
      </c>
      <c r="EPN121" s="285" t="s">
        <v>377</v>
      </c>
      <c r="EPO121" s="285" t="s">
        <v>376</v>
      </c>
      <c r="EPP121" s="285" t="s">
        <v>377</v>
      </c>
      <c r="EPQ121" s="285" t="s">
        <v>376</v>
      </c>
      <c r="EPR121" s="285" t="s">
        <v>377</v>
      </c>
      <c r="EPS121" s="285" t="s">
        <v>376</v>
      </c>
      <c r="EPT121" s="285" t="s">
        <v>377</v>
      </c>
      <c r="EPU121" s="285" t="s">
        <v>376</v>
      </c>
      <c r="EPV121" s="285" t="s">
        <v>377</v>
      </c>
      <c r="EPW121" s="285" t="s">
        <v>376</v>
      </c>
      <c r="EPX121" s="285" t="s">
        <v>377</v>
      </c>
      <c r="EPY121" s="285" t="s">
        <v>376</v>
      </c>
      <c r="EPZ121" s="285" t="s">
        <v>377</v>
      </c>
      <c r="EQA121" s="285" t="s">
        <v>376</v>
      </c>
      <c r="EQB121" s="285" t="s">
        <v>377</v>
      </c>
      <c r="EQC121" s="285" t="s">
        <v>376</v>
      </c>
      <c r="EQD121" s="285" t="s">
        <v>377</v>
      </c>
      <c r="EQE121" s="285" t="s">
        <v>376</v>
      </c>
      <c r="EQF121" s="285" t="s">
        <v>377</v>
      </c>
      <c r="EQG121" s="285" t="s">
        <v>376</v>
      </c>
      <c r="EQH121" s="285" t="s">
        <v>377</v>
      </c>
      <c r="EQI121" s="285" t="s">
        <v>376</v>
      </c>
      <c r="EQJ121" s="285" t="s">
        <v>377</v>
      </c>
      <c r="EQK121" s="285" t="s">
        <v>376</v>
      </c>
      <c r="EQL121" s="285" t="s">
        <v>377</v>
      </c>
      <c r="EQM121" s="285" t="s">
        <v>376</v>
      </c>
      <c r="EQN121" s="285" t="s">
        <v>377</v>
      </c>
      <c r="EQO121" s="285" t="s">
        <v>376</v>
      </c>
      <c r="EQP121" s="285" t="s">
        <v>377</v>
      </c>
      <c r="EQQ121" s="285" t="s">
        <v>376</v>
      </c>
      <c r="EQR121" s="285" t="s">
        <v>377</v>
      </c>
      <c r="EQS121" s="285" t="s">
        <v>376</v>
      </c>
      <c r="EQT121" s="285" t="s">
        <v>377</v>
      </c>
      <c r="EQU121" s="285" t="s">
        <v>376</v>
      </c>
      <c r="EQV121" s="285" t="s">
        <v>377</v>
      </c>
      <c r="EQW121" s="285" t="s">
        <v>376</v>
      </c>
      <c r="EQX121" s="285" t="s">
        <v>377</v>
      </c>
      <c r="EQY121" s="285" t="s">
        <v>376</v>
      </c>
      <c r="EQZ121" s="285" t="s">
        <v>377</v>
      </c>
      <c r="ERA121" s="285" t="s">
        <v>376</v>
      </c>
      <c r="ERB121" s="285" t="s">
        <v>377</v>
      </c>
      <c r="ERC121" s="285" t="s">
        <v>376</v>
      </c>
      <c r="ERD121" s="285" t="s">
        <v>377</v>
      </c>
      <c r="ERE121" s="285" t="s">
        <v>376</v>
      </c>
      <c r="ERF121" s="285" t="s">
        <v>377</v>
      </c>
      <c r="ERG121" s="285" t="s">
        <v>376</v>
      </c>
      <c r="ERH121" s="285" t="s">
        <v>377</v>
      </c>
      <c r="ERI121" s="285" t="s">
        <v>376</v>
      </c>
      <c r="ERJ121" s="285" t="s">
        <v>377</v>
      </c>
      <c r="ERK121" s="285" t="s">
        <v>376</v>
      </c>
      <c r="ERL121" s="285" t="s">
        <v>377</v>
      </c>
      <c r="ERM121" s="285" t="s">
        <v>376</v>
      </c>
      <c r="ERN121" s="285" t="s">
        <v>377</v>
      </c>
      <c r="ERO121" s="285" t="s">
        <v>376</v>
      </c>
      <c r="ERP121" s="285" t="s">
        <v>377</v>
      </c>
      <c r="ERQ121" s="285" t="s">
        <v>376</v>
      </c>
      <c r="ERR121" s="285" t="s">
        <v>377</v>
      </c>
      <c r="ERS121" s="285" t="s">
        <v>376</v>
      </c>
      <c r="ERT121" s="285" t="s">
        <v>377</v>
      </c>
      <c r="ERU121" s="285" t="s">
        <v>376</v>
      </c>
      <c r="ERV121" s="285" t="s">
        <v>377</v>
      </c>
      <c r="ERW121" s="285" t="s">
        <v>376</v>
      </c>
      <c r="ERX121" s="285" t="s">
        <v>377</v>
      </c>
      <c r="ERY121" s="285" t="s">
        <v>376</v>
      </c>
      <c r="ERZ121" s="285" t="s">
        <v>377</v>
      </c>
      <c r="ESA121" s="285" t="s">
        <v>376</v>
      </c>
      <c r="ESB121" s="285" t="s">
        <v>377</v>
      </c>
      <c r="ESC121" s="285" t="s">
        <v>376</v>
      </c>
      <c r="ESD121" s="285" t="s">
        <v>377</v>
      </c>
      <c r="ESE121" s="285" t="s">
        <v>376</v>
      </c>
      <c r="ESF121" s="285" t="s">
        <v>377</v>
      </c>
      <c r="ESG121" s="285" t="s">
        <v>376</v>
      </c>
      <c r="ESH121" s="285" t="s">
        <v>377</v>
      </c>
      <c r="ESI121" s="285" t="s">
        <v>376</v>
      </c>
      <c r="ESJ121" s="285" t="s">
        <v>377</v>
      </c>
      <c r="ESK121" s="285" t="s">
        <v>376</v>
      </c>
      <c r="ESL121" s="285" t="s">
        <v>377</v>
      </c>
      <c r="ESM121" s="285" t="s">
        <v>376</v>
      </c>
      <c r="ESN121" s="285" t="s">
        <v>377</v>
      </c>
      <c r="ESO121" s="285" t="s">
        <v>376</v>
      </c>
      <c r="ESP121" s="285" t="s">
        <v>377</v>
      </c>
      <c r="ESQ121" s="285" t="s">
        <v>376</v>
      </c>
      <c r="ESR121" s="285" t="s">
        <v>377</v>
      </c>
      <c r="ESS121" s="285" t="s">
        <v>376</v>
      </c>
      <c r="EST121" s="285" t="s">
        <v>377</v>
      </c>
      <c r="ESU121" s="285" t="s">
        <v>376</v>
      </c>
      <c r="ESV121" s="285" t="s">
        <v>377</v>
      </c>
      <c r="ESW121" s="285" t="s">
        <v>376</v>
      </c>
      <c r="ESX121" s="285" t="s">
        <v>377</v>
      </c>
      <c r="ESY121" s="285" t="s">
        <v>376</v>
      </c>
      <c r="ESZ121" s="285" t="s">
        <v>377</v>
      </c>
      <c r="ETA121" s="285" t="s">
        <v>376</v>
      </c>
      <c r="ETB121" s="285" t="s">
        <v>377</v>
      </c>
      <c r="ETC121" s="285" t="s">
        <v>376</v>
      </c>
      <c r="ETD121" s="285" t="s">
        <v>377</v>
      </c>
      <c r="ETE121" s="285" t="s">
        <v>376</v>
      </c>
      <c r="ETF121" s="285" t="s">
        <v>377</v>
      </c>
      <c r="ETG121" s="285" t="s">
        <v>376</v>
      </c>
      <c r="ETH121" s="285" t="s">
        <v>377</v>
      </c>
      <c r="ETI121" s="285" t="s">
        <v>376</v>
      </c>
      <c r="ETJ121" s="285" t="s">
        <v>377</v>
      </c>
      <c r="ETK121" s="285" t="s">
        <v>376</v>
      </c>
      <c r="ETL121" s="285" t="s">
        <v>377</v>
      </c>
      <c r="ETM121" s="285" t="s">
        <v>376</v>
      </c>
      <c r="ETN121" s="285" t="s">
        <v>377</v>
      </c>
      <c r="ETO121" s="285" t="s">
        <v>376</v>
      </c>
      <c r="ETP121" s="285" t="s">
        <v>377</v>
      </c>
      <c r="ETQ121" s="285" t="s">
        <v>376</v>
      </c>
      <c r="ETR121" s="285" t="s">
        <v>377</v>
      </c>
      <c r="ETS121" s="285" t="s">
        <v>376</v>
      </c>
      <c r="ETT121" s="285" t="s">
        <v>377</v>
      </c>
      <c r="ETU121" s="285" t="s">
        <v>376</v>
      </c>
      <c r="ETV121" s="285" t="s">
        <v>377</v>
      </c>
      <c r="ETW121" s="285" t="s">
        <v>376</v>
      </c>
      <c r="ETX121" s="285" t="s">
        <v>377</v>
      </c>
      <c r="ETY121" s="285" t="s">
        <v>376</v>
      </c>
      <c r="ETZ121" s="285" t="s">
        <v>377</v>
      </c>
      <c r="EUA121" s="285" t="s">
        <v>376</v>
      </c>
      <c r="EUB121" s="285" t="s">
        <v>377</v>
      </c>
      <c r="EUC121" s="285" t="s">
        <v>376</v>
      </c>
      <c r="EUD121" s="285" t="s">
        <v>377</v>
      </c>
      <c r="EUE121" s="285" t="s">
        <v>376</v>
      </c>
      <c r="EUF121" s="285" t="s">
        <v>377</v>
      </c>
      <c r="EUG121" s="285" t="s">
        <v>376</v>
      </c>
      <c r="EUH121" s="285" t="s">
        <v>377</v>
      </c>
      <c r="EUI121" s="285" t="s">
        <v>376</v>
      </c>
      <c r="EUJ121" s="285" t="s">
        <v>377</v>
      </c>
      <c r="EUK121" s="285" t="s">
        <v>376</v>
      </c>
      <c r="EUL121" s="285" t="s">
        <v>377</v>
      </c>
      <c r="EUM121" s="285" t="s">
        <v>376</v>
      </c>
      <c r="EUN121" s="285" t="s">
        <v>377</v>
      </c>
      <c r="EUO121" s="285" t="s">
        <v>376</v>
      </c>
      <c r="EUP121" s="285" t="s">
        <v>377</v>
      </c>
      <c r="EUQ121" s="285" t="s">
        <v>376</v>
      </c>
      <c r="EUR121" s="285" t="s">
        <v>377</v>
      </c>
      <c r="EUS121" s="285" t="s">
        <v>376</v>
      </c>
      <c r="EUT121" s="285" t="s">
        <v>377</v>
      </c>
      <c r="EUU121" s="285" t="s">
        <v>376</v>
      </c>
      <c r="EUV121" s="285" t="s">
        <v>377</v>
      </c>
      <c r="EUW121" s="285" t="s">
        <v>376</v>
      </c>
      <c r="EUX121" s="285" t="s">
        <v>377</v>
      </c>
      <c r="EUY121" s="285" t="s">
        <v>376</v>
      </c>
      <c r="EUZ121" s="285" t="s">
        <v>377</v>
      </c>
      <c r="EVA121" s="285" t="s">
        <v>376</v>
      </c>
      <c r="EVB121" s="285" t="s">
        <v>377</v>
      </c>
      <c r="EVC121" s="285" t="s">
        <v>376</v>
      </c>
      <c r="EVD121" s="285" t="s">
        <v>377</v>
      </c>
      <c r="EVE121" s="285" t="s">
        <v>376</v>
      </c>
      <c r="EVF121" s="285" t="s">
        <v>377</v>
      </c>
      <c r="EVG121" s="285" t="s">
        <v>376</v>
      </c>
      <c r="EVH121" s="285" t="s">
        <v>377</v>
      </c>
      <c r="EVI121" s="285" t="s">
        <v>376</v>
      </c>
      <c r="EVJ121" s="285" t="s">
        <v>377</v>
      </c>
      <c r="EVK121" s="285" t="s">
        <v>376</v>
      </c>
      <c r="EVL121" s="285" t="s">
        <v>377</v>
      </c>
      <c r="EVM121" s="285" t="s">
        <v>376</v>
      </c>
      <c r="EVN121" s="285" t="s">
        <v>377</v>
      </c>
      <c r="EVO121" s="285" t="s">
        <v>376</v>
      </c>
      <c r="EVP121" s="285" t="s">
        <v>377</v>
      </c>
      <c r="EVQ121" s="285" t="s">
        <v>376</v>
      </c>
      <c r="EVR121" s="285" t="s">
        <v>377</v>
      </c>
      <c r="EVS121" s="285" t="s">
        <v>376</v>
      </c>
      <c r="EVT121" s="285" t="s">
        <v>377</v>
      </c>
      <c r="EVU121" s="285" t="s">
        <v>376</v>
      </c>
      <c r="EVV121" s="285" t="s">
        <v>377</v>
      </c>
      <c r="EVW121" s="285" t="s">
        <v>376</v>
      </c>
      <c r="EVX121" s="285" t="s">
        <v>377</v>
      </c>
      <c r="EVY121" s="285" t="s">
        <v>376</v>
      </c>
      <c r="EVZ121" s="285" t="s">
        <v>377</v>
      </c>
      <c r="EWA121" s="285" t="s">
        <v>376</v>
      </c>
      <c r="EWB121" s="285" t="s">
        <v>377</v>
      </c>
      <c r="EWC121" s="285" t="s">
        <v>376</v>
      </c>
      <c r="EWD121" s="285" t="s">
        <v>377</v>
      </c>
      <c r="EWE121" s="285" t="s">
        <v>376</v>
      </c>
      <c r="EWF121" s="285" t="s">
        <v>377</v>
      </c>
      <c r="EWG121" s="285" t="s">
        <v>376</v>
      </c>
      <c r="EWH121" s="285" t="s">
        <v>377</v>
      </c>
      <c r="EWI121" s="285" t="s">
        <v>376</v>
      </c>
      <c r="EWJ121" s="285" t="s">
        <v>377</v>
      </c>
      <c r="EWK121" s="285" t="s">
        <v>376</v>
      </c>
      <c r="EWL121" s="285" t="s">
        <v>377</v>
      </c>
      <c r="EWM121" s="285" t="s">
        <v>376</v>
      </c>
      <c r="EWN121" s="285" t="s">
        <v>377</v>
      </c>
      <c r="EWO121" s="285" t="s">
        <v>376</v>
      </c>
      <c r="EWP121" s="285" t="s">
        <v>377</v>
      </c>
      <c r="EWQ121" s="285" t="s">
        <v>376</v>
      </c>
      <c r="EWR121" s="285" t="s">
        <v>377</v>
      </c>
      <c r="EWS121" s="285" t="s">
        <v>376</v>
      </c>
      <c r="EWT121" s="285" t="s">
        <v>377</v>
      </c>
      <c r="EWU121" s="285" t="s">
        <v>376</v>
      </c>
      <c r="EWV121" s="285" t="s">
        <v>377</v>
      </c>
      <c r="EWW121" s="285" t="s">
        <v>376</v>
      </c>
      <c r="EWX121" s="285" t="s">
        <v>377</v>
      </c>
      <c r="EWY121" s="285" t="s">
        <v>376</v>
      </c>
      <c r="EWZ121" s="285" t="s">
        <v>377</v>
      </c>
      <c r="EXA121" s="285" t="s">
        <v>376</v>
      </c>
      <c r="EXB121" s="285" t="s">
        <v>377</v>
      </c>
      <c r="EXC121" s="285" t="s">
        <v>376</v>
      </c>
      <c r="EXD121" s="285" t="s">
        <v>377</v>
      </c>
      <c r="EXE121" s="285" t="s">
        <v>376</v>
      </c>
      <c r="EXF121" s="285" t="s">
        <v>377</v>
      </c>
      <c r="EXG121" s="285" t="s">
        <v>376</v>
      </c>
      <c r="EXH121" s="285" t="s">
        <v>377</v>
      </c>
      <c r="EXI121" s="285" t="s">
        <v>376</v>
      </c>
      <c r="EXJ121" s="285" t="s">
        <v>377</v>
      </c>
      <c r="EXK121" s="285" t="s">
        <v>376</v>
      </c>
      <c r="EXL121" s="285" t="s">
        <v>377</v>
      </c>
      <c r="EXM121" s="285" t="s">
        <v>376</v>
      </c>
      <c r="EXN121" s="285" t="s">
        <v>377</v>
      </c>
      <c r="EXO121" s="285" t="s">
        <v>376</v>
      </c>
      <c r="EXP121" s="285" t="s">
        <v>377</v>
      </c>
      <c r="EXQ121" s="285" t="s">
        <v>376</v>
      </c>
      <c r="EXR121" s="285" t="s">
        <v>377</v>
      </c>
      <c r="EXS121" s="285" t="s">
        <v>376</v>
      </c>
      <c r="EXT121" s="285" t="s">
        <v>377</v>
      </c>
      <c r="EXU121" s="285" t="s">
        <v>376</v>
      </c>
      <c r="EXV121" s="285" t="s">
        <v>377</v>
      </c>
      <c r="EXW121" s="285" t="s">
        <v>376</v>
      </c>
      <c r="EXX121" s="285" t="s">
        <v>377</v>
      </c>
      <c r="EXY121" s="285" t="s">
        <v>376</v>
      </c>
      <c r="EXZ121" s="285" t="s">
        <v>377</v>
      </c>
      <c r="EYA121" s="285" t="s">
        <v>376</v>
      </c>
      <c r="EYB121" s="285" t="s">
        <v>377</v>
      </c>
      <c r="EYC121" s="285" t="s">
        <v>376</v>
      </c>
      <c r="EYD121" s="285" t="s">
        <v>377</v>
      </c>
      <c r="EYE121" s="285" t="s">
        <v>376</v>
      </c>
      <c r="EYF121" s="285" t="s">
        <v>377</v>
      </c>
      <c r="EYG121" s="285" t="s">
        <v>376</v>
      </c>
      <c r="EYH121" s="285" t="s">
        <v>377</v>
      </c>
      <c r="EYI121" s="285" t="s">
        <v>376</v>
      </c>
      <c r="EYJ121" s="285" t="s">
        <v>377</v>
      </c>
      <c r="EYK121" s="285" t="s">
        <v>376</v>
      </c>
      <c r="EYL121" s="285" t="s">
        <v>377</v>
      </c>
      <c r="EYM121" s="285" t="s">
        <v>376</v>
      </c>
      <c r="EYN121" s="285" t="s">
        <v>377</v>
      </c>
      <c r="EYO121" s="285" t="s">
        <v>376</v>
      </c>
      <c r="EYP121" s="285" t="s">
        <v>377</v>
      </c>
      <c r="EYQ121" s="285" t="s">
        <v>376</v>
      </c>
      <c r="EYR121" s="285" t="s">
        <v>377</v>
      </c>
      <c r="EYS121" s="285" t="s">
        <v>376</v>
      </c>
      <c r="EYT121" s="285" t="s">
        <v>377</v>
      </c>
      <c r="EYU121" s="285" t="s">
        <v>376</v>
      </c>
      <c r="EYV121" s="285" t="s">
        <v>377</v>
      </c>
      <c r="EYW121" s="285" t="s">
        <v>376</v>
      </c>
      <c r="EYX121" s="285" t="s">
        <v>377</v>
      </c>
      <c r="EYY121" s="285" t="s">
        <v>376</v>
      </c>
      <c r="EYZ121" s="285" t="s">
        <v>377</v>
      </c>
      <c r="EZA121" s="285" t="s">
        <v>376</v>
      </c>
      <c r="EZB121" s="285" t="s">
        <v>377</v>
      </c>
      <c r="EZC121" s="285" t="s">
        <v>376</v>
      </c>
      <c r="EZD121" s="285" t="s">
        <v>377</v>
      </c>
      <c r="EZE121" s="285" t="s">
        <v>376</v>
      </c>
      <c r="EZF121" s="285" t="s">
        <v>377</v>
      </c>
      <c r="EZG121" s="285" t="s">
        <v>376</v>
      </c>
      <c r="EZH121" s="285" t="s">
        <v>377</v>
      </c>
      <c r="EZI121" s="285" t="s">
        <v>376</v>
      </c>
      <c r="EZJ121" s="285" t="s">
        <v>377</v>
      </c>
      <c r="EZK121" s="285" t="s">
        <v>376</v>
      </c>
      <c r="EZL121" s="285" t="s">
        <v>377</v>
      </c>
      <c r="EZM121" s="285" t="s">
        <v>376</v>
      </c>
      <c r="EZN121" s="285" t="s">
        <v>377</v>
      </c>
      <c r="EZO121" s="285" t="s">
        <v>376</v>
      </c>
      <c r="EZP121" s="285" t="s">
        <v>377</v>
      </c>
      <c r="EZQ121" s="285" t="s">
        <v>376</v>
      </c>
      <c r="EZR121" s="285" t="s">
        <v>377</v>
      </c>
      <c r="EZS121" s="285" t="s">
        <v>376</v>
      </c>
      <c r="EZT121" s="285" t="s">
        <v>377</v>
      </c>
      <c r="EZU121" s="285" t="s">
        <v>376</v>
      </c>
      <c r="EZV121" s="285" t="s">
        <v>377</v>
      </c>
      <c r="EZW121" s="285" t="s">
        <v>376</v>
      </c>
      <c r="EZX121" s="285" t="s">
        <v>377</v>
      </c>
      <c r="EZY121" s="285" t="s">
        <v>376</v>
      </c>
      <c r="EZZ121" s="285" t="s">
        <v>377</v>
      </c>
      <c r="FAA121" s="285" t="s">
        <v>376</v>
      </c>
      <c r="FAB121" s="285" t="s">
        <v>377</v>
      </c>
      <c r="FAC121" s="285" t="s">
        <v>376</v>
      </c>
      <c r="FAD121" s="285" t="s">
        <v>377</v>
      </c>
      <c r="FAE121" s="285" t="s">
        <v>376</v>
      </c>
      <c r="FAF121" s="285" t="s">
        <v>377</v>
      </c>
      <c r="FAG121" s="285" t="s">
        <v>376</v>
      </c>
      <c r="FAH121" s="285" t="s">
        <v>377</v>
      </c>
      <c r="FAI121" s="285" t="s">
        <v>376</v>
      </c>
      <c r="FAJ121" s="285" t="s">
        <v>377</v>
      </c>
      <c r="FAK121" s="285" t="s">
        <v>376</v>
      </c>
      <c r="FAL121" s="285" t="s">
        <v>377</v>
      </c>
      <c r="FAM121" s="285" t="s">
        <v>376</v>
      </c>
      <c r="FAN121" s="285" t="s">
        <v>377</v>
      </c>
      <c r="FAO121" s="285" t="s">
        <v>376</v>
      </c>
      <c r="FAP121" s="285" t="s">
        <v>377</v>
      </c>
      <c r="FAQ121" s="285" t="s">
        <v>376</v>
      </c>
      <c r="FAR121" s="285" t="s">
        <v>377</v>
      </c>
      <c r="FAS121" s="285" t="s">
        <v>376</v>
      </c>
      <c r="FAT121" s="285" t="s">
        <v>377</v>
      </c>
      <c r="FAU121" s="285" t="s">
        <v>376</v>
      </c>
      <c r="FAV121" s="285" t="s">
        <v>377</v>
      </c>
      <c r="FAW121" s="285" t="s">
        <v>376</v>
      </c>
      <c r="FAX121" s="285" t="s">
        <v>377</v>
      </c>
      <c r="FAY121" s="285" t="s">
        <v>376</v>
      </c>
      <c r="FAZ121" s="285" t="s">
        <v>377</v>
      </c>
      <c r="FBA121" s="285" t="s">
        <v>376</v>
      </c>
      <c r="FBB121" s="285" t="s">
        <v>377</v>
      </c>
      <c r="FBC121" s="285" t="s">
        <v>376</v>
      </c>
      <c r="FBD121" s="285" t="s">
        <v>377</v>
      </c>
      <c r="FBE121" s="285" t="s">
        <v>376</v>
      </c>
      <c r="FBF121" s="285" t="s">
        <v>377</v>
      </c>
      <c r="FBG121" s="285" t="s">
        <v>376</v>
      </c>
      <c r="FBH121" s="285" t="s">
        <v>377</v>
      </c>
      <c r="FBI121" s="285" t="s">
        <v>376</v>
      </c>
      <c r="FBJ121" s="285" t="s">
        <v>377</v>
      </c>
      <c r="FBK121" s="285" t="s">
        <v>376</v>
      </c>
      <c r="FBL121" s="285" t="s">
        <v>377</v>
      </c>
      <c r="FBM121" s="285" t="s">
        <v>376</v>
      </c>
      <c r="FBN121" s="285" t="s">
        <v>377</v>
      </c>
      <c r="FBO121" s="285" t="s">
        <v>376</v>
      </c>
      <c r="FBP121" s="285" t="s">
        <v>377</v>
      </c>
      <c r="FBQ121" s="285" t="s">
        <v>376</v>
      </c>
      <c r="FBR121" s="285" t="s">
        <v>377</v>
      </c>
      <c r="FBS121" s="285" t="s">
        <v>376</v>
      </c>
      <c r="FBT121" s="285" t="s">
        <v>377</v>
      </c>
      <c r="FBU121" s="285" t="s">
        <v>376</v>
      </c>
      <c r="FBV121" s="285" t="s">
        <v>377</v>
      </c>
      <c r="FBW121" s="285" t="s">
        <v>376</v>
      </c>
      <c r="FBX121" s="285" t="s">
        <v>377</v>
      </c>
      <c r="FBY121" s="285" t="s">
        <v>376</v>
      </c>
      <c r="FBZ121" s="285" t="s">
        <v>377</v>
      </c>
      <c r="FCA121" s="285" t="s">
        <v>376</v>
      </c>
      <c r="FCB121" s="285" t="s">
        <v>377</v>
      </c>
      <c r="FCC121" s="285" t="s">
        <v>376</v>
      </c>
      <c r="FCD121" s="285" t="s">
        <v>377</v>
      </c>
      <c r="FCE121" s="285" t="s">
        <v>376</v>
      </c>
      <c r="FCF121" s="285" t="s">
        <v>377</v>
      </c>
      <c r="FCG121" s="285" t="s">
        <v>376</v>
      </c>
      <c r="FCH121" s="285" t="s">
        <v>377</v>
      </c>
      <c r="FCI121" s="285" t="s">
        <v>376</v>
      </c>
      <c r="FCJ121" s="285" t="s">
        <v>377</v>
      </c>
      <c r="FCK121" s="285" t="s">
        <v>376</v>
      </c>
      <c r="FCL121" s="285" t="s">
        <v>377</v>
      </c>
      <c r="FCM121" s="285" t="s">
        <v>376</v>
      </c>
      <c r="FCN121" s="285" t="s">
        <v>377</v>
      </c>
      <c r="FCO121" s="285" t="s">
        <v>376</v>
      </c>
      <c r="FCP121" s="285" t="s">
        <v>377</v>
      </c>
      <c r="FCQ121" s="285" t="s">
        <v>376</v>
      </c>
      <c r="FCR121" s="285" t="s">
        <v>377</v>
      </c>
      <c r="FCS121" s="285" t="s">
        <v>376</v>
      </c>
      <c r="FCT121" s="285" t="s">
        <v>377</v>
      </c>
      <c r="FCU121" s="285" t="s">
        <v>376</v>
      </c>
      <c r="FCV121" s="285" t="s">
        <v>377</v>
      </c>
      <c r="FCW121" s="285" t="s">
        <v>376</v>
      </c>
      <c r="FCX121" s="285" t="s">
        <v>377</v>
      </c>
      <c r="FCY121" s="285" t="s">
        <v>376</v>
      </c>
      <c r="FCZ121" s="285" t="s">
        <v>377</v>
      </c>
      <c r="FDA121" s="285" t="s">
        <v>376</v>
      </c>
      <c r="FDB121" s="285" t="s">
        <v>377</v>
      </c>
      <c r="FDC121" s="285" t="s">
        <v>376</v>
      </c>
      <c r="FDD121" s="285" t="s">
        <v>377</v>
      </c>
      <c r="FDE121" s="285" t="s">
        <v>376</v>
      </c>
      <c r="FDF121" s="285" t="s">
        <v>377</v>
      </c>
      <c r="FDG121" s="285" t="s">
        <v>376</v>
      </c>
      <c r="FDH121" s="285" t="s">
        <v>377</v>
      </c>
      <c r="FDI121" s="285" t="s">
        <v>376</v>
      </c>
      <c r="FDJ121" s="285" t="s">
        <v>377</v>
      </c>
      <c r="FDK121" s="285" t="s">
        <v>376</v>
      </c>
      <c r="FDL121" s="285" t="s">
        <v>377</v>
      </c>
      <c r="FDM121" s="285" t="s">
        <v>376</v>
      </c>
      <c r="FDN121" s="285" t="s">
        <v>377</v>
      </c>
      <c r="FDO121" s="285" t="s">
        <v>376</v>
      </c>
      <c r="FDP121" s="285" t="s">
        <v>377</v>
      </c>
      <c r="FDQ121" s="285" t="s">
        <v>376</v>
      </c>
      <c r="FDR121" s="285" t="s">
        <v>377</v>
      </c>
      <c r="FDS121" s="285" t="s">
        <v>376</v>
      </c>
      <c r="FDT121" s="285" t="s">
        <v>377</v>
      </c>
      <c r="FDU121" s="285" t="s">
        <v>376</v>
      </c>
      <c r="FDV121" s="285" t="s">
        <v>377</v>
      </c>
      <c r="FDW121" s="285" t="s">
        <v>376</v>
      </c>
      <c r="FDX121" s="285" t="s">
        <v>377</v>
      </c>
      <c r="FDY121" s="285" t="s">
        <v>376</v>
      </c>
      <c r="FDZ121" s="285" t="s">
        <v>377</v>
      </c>
      <c r="FEA121" s="285" t="s">
        <v>376</v>
      </c>
      <c r="FEB121" s="285" t="s">
        <v>377</v>
      </c>
      <c r="FEC121" s="285" t="s">
        <v>376</v>
      </c>
      <c r="FED121" s="285" t="s">
        <v>377</v>
      </c>
      <c r="FEE121" s="285" t="s">
        <v>376</v>
      </c>
      <c r="FEF121" s="285" t="s">
        <v>377</v>
      </c>
      <c r="FEG121" s="285" t="s">
        <v>376</v>
      </c>
      <c r="FEH121" s="285" t="s">
        <v>377</v>
      </c>
      <c r="FEI121" s="285" t="s">
        <v>376</v>
      </c>
      <c r="FEJ121" s="285" t="s">
        <v>377</v>
      </c>
      <c r="FEK121" s="285" t="s">
        <v>376</v>
      </c>
      <c r="FEL121" s="285" t="s">
        <v>377</v>
      </c>
      <c r="FEM121" s="285" t="s">
        <v>376</v>
      </c>
      <c r="FEN121" s="285" t="s">
        <v>377</v>
      </c>
      <c r="FEO121" s="285" t="s">
        <v>376</v>
      </c>
      <c r="FEP121" s="285" t="s">
        <v>377</v>
      </c>
      <c r="FEQ121" s="285" t="s">
        <v>376</v>
      </c>
      <c r="FER121" s="285" t="s">
        <v>377</v>
      </c>
      <c r="FES121" s="285" t="s">
        <v>376</v>
      </c>
      <c r="FET121" s="285" t="s">
        <v>377</v>
      </c>
      <c r="FEU121" s="285" t="s">
        <v>376</v>
      </c>
      <c r="FEV121" s="285" t="s">
        <v>377</v>
      </c>
      <c r="FEW121" s="285" t="s">
        <v>376</v>
      </c>
      <c r="FEX121" s="285" t="s">
        <v>377</v>
      </c>
      <c r="FEY121" s="285" t="s">
        <v>376</v>
      </c>
      <c r="FEZ121" s="285" t="s">
        <v>377</v>
      </c>
      <c r="FFA121" s="285" t="s">
        <v>376</v>
      </c>
      <c r="FFB121" s="285" t="s">
        <v>377</v>
      </c>
      <c r="FFC121" s="285" t="s">
        <v>376</v>
      </c>
      <c r="FFD121" s="285" t="s">
        <v>377</v>
      </c>
      <c r="FFE121" s="285" t="s">
        <v>376</v>
      </c>
      <c r="FFF121" s="285" t="s">
        <v>377</v>
      </c>
      <c r="FFG121" s="285" t="s">
        <v>376</v>
      </c>
      <c r="FFH121" s="285" t="s">
        <v>377</v>
      </c>
      <c r="FFI121" s="285" t="s">
        <v>376</v>
      </c>
      <c r="FFJ121" s="285" t="s">
        <v>377</v>
      </c>
      <c r="FFK121" s="285" t="s">
        <v>376</v>
      </c>
      <c r="FFL121" s="285" t="s">
        <v>377</v>
      </c>
      <c r="FFM121" s="285" t="s">
        <v>376</v>
      </c>
      <c r="FFN121" s="285" t="s">
        <v>377</v>
      </c>
      <c r="FFO121" s="285" t="s">
        <v>376</v>
      </c>
      <c r="FFP121" s="285" t="s">
        <v>377</v>
      </c>
      <c r="FFQ121" s="285" t="s">
        <v>376</v>
      </c>
      <c r="FFR121" s="285" t="s">
        <v>377</v>
      </c>
      <c r="FFS121" s="285" t="s">
        <v>376</v>
      </c>
      <c r="FFT121" s="285" t="s">
        <v>377</v>
      </c>
      <c r="FFU121" s="285" t="s">
        <v>376</v>
      </c>
      <c r="FFV121" s="285" t="s">
        <v>377</v>
      </c>
      <c r="FFW121" s="285" t="s">
        <v>376</v>
      </c>
      <c r="FFX121" s="285" t="s">
        <v>377</v>
      </c>
      <c r="FFY121" s="285" t="s">
        <v>376</v>
      </c>
      <c r="FFZ121" s="285" t="s">
        <v>377</v>
      </c>
      <c r="FGA121" s="285" t="s">
        <v>376</v>
      </c>
      <c r="FGB121" s="285" t="s">
        <v>377</v>
      </c>
      <c r="FGC121" s="285" t="s">
        <v>376</v>
      </c>
      <c r="FGD121" s="285" t="s">
        <v>377</v>
      </c>
      <c r="FGE121" s="285" t="s">
        <v>376</v>
      </c>
      <c r="FGF121" s="285" t="s">
        <v>377</v>
      </c>
      <c r="FGG121" s="285" t="s">
        <v>376</v>
      </c>
      <c r="FGH121" s="285" t="s">
        <v>377</v>
      </c>
      <c r="FGI121" s="285" t="s">
        <v>376</v>
      </c>
      <c r="FGJ121" s="285" t="s">
        <v>377</v>
      </c>
      <c r="FGK121" s="285" t="s">
        <v>376</v>
      </c>
      <c r="FGL121" s="285" t="s">
        <v>377</v>
      </c>
      <c r="FGM121" s="285" t="s">
        <v>376</v>
      </c>
      <c r="FGN121" s="285" t="s">
        <v>377</v>
      </c>
      <c r="FGO121" s="285" t="s">
        <v>376</v>
      </c>
      <c r="FGP121" s="285" t="s">
        <v>377</v>
      </c>
      <c r="FGQ121" s="285" t="s">
        <v>376</v>
      </c>
      <c r="FGR121" s="285" t="s">
        <v>377</v>
      </c>
      <c r="FGS121" s="285" t="s">
        <v>376</v>
      </c>
      <c r="FGT121" s="285" t="s">
        <v>377</v>
      </c>
      <c r="FGU121" s="285" t="s">
        <v>376</v>
      </c>
      <c r="FGV121" s="285" t="s">
        <v>377</v>
      </c>
      <c r="FGW121" s="285" t="s">
        <v>376</v>
      </c>
      <c r="FGX121" s="285" t="s">
        <v>377</v>
      </c>
      <c r="FGY121" s="285" t="s">
        <v>376</v>
      </c>
      <c r="FGZ121" s="285" t="s">
        <v>377</v>
      </c>
      <c r="FHA121" s="285" t="s">
        <v>376</v>
      </c>
      <c r="FHB121" s="285" t="s">
        <v>377</v>
      </c>
      <c r="FHC121" s="285" t="s">
        <v>376</v>
      </c>
      <c r="FHD121" s="285" t="s">
        <v>377</v>
      </c>
      <c r="FHE121" s="285" t="s">
        <v>376</v>
      </c>
      <c r="FHF121" s="285" t="s">
        <v>377</v>
      </c>
      <c r="FHG121" s="285" t="s">
        <v>376</v>
      </c>
      <c r="FHH121" s="285" t="s">
        <v>377</v>
      </c>
      <c r="FHI121" s="285" t="s">
        <v>376</v>
      </c>
      <c r="FHJ121" s="285" t="s">
        <v>377</v>
      </c>
      <c r="FHK121" s="285" t="s">
        <v>376</v>
      </c>
      <c r="FHL121" s="285" t="s">
        <v>377</v>
      </c>
      <c r="FHM121" s="285" t="s">
        <v>376</v>
      </c>
      <c r="FHN121" s="285" t="s">
        <v>377</v>
      </c>
      <c r="FHO121" s="285" t="s">
        <v>376</v>
      </c>
      <c r="FHP121" s="285" t="s">
        <v>377</v>
      </c>
      <c r="FHQ121" s="285" t="s">
        <v>376</v>
      </c>
      <c r="FHR121" s="285" t="s">
        <v>377</v>
      </c>
      <c r="FHS121" s="285" t="s">
        <v>376</v>
      </c>
      <c r="FHT121" s="285" t="s">
        <v>377</v>
      </c>
      <c r="FHU121" s="285" t="s">
        <v>376</v>
      </c>
      <c r="FHV121" s="285" t="s">
        <v>377</v>
      </c>
      <c r="FHW121" s="285" t="s">
        <v>376</v>
      </c>
      <c r="FHX121" s="285" t="s">
        <v>377</v>
      </c>
      <c r="FHY121" s="285" t="s">
        <v>376</v>
      </c>
      <c r="FHZ121" s="285" t="s">
        <v>377</v>
      </c>
      <c r="FIA121" s="285" t="s">
        <v>376</v>
      </c>
      <c r="FIB121" s="285" t="s">
        <v>377</v>
      </c>
      <c r="FIC121" s="285" t="s">
        <v>376</v>
      </c>
      <c r="FID121" s="285" t="s">
        <v>377</v>
      </c>
      <c r="FIE121" s="285" t="s">
        <v>376</v>
      </c>
      <c r="FIF121" s="285" t="s">
        <v>377</v>
      </c>
      <c r="FIG121" s="285" t="s">
        <v>376</v>
      </c>
      <c r="FIH121" s="285" t="s">
        <v>377</v>
      </c>
      <c r="FII121" s="285" t="s">
        <v>376</v>
      </c>
      <c r="FIJ121" s="285" t="s">
        <v>377</v>
      </c>
      <c r="FIK121" s="285" t="s">
        <v>376</v>
      </c>
      <c r="FIL121" s="285" t="s">
        <v>377</v>
      </c>
      <c r="FIM121" s="285" t="s">
        <v>376</v>
      </c>
      <c r="FIN121" s="285" t="s">
        <v>377</v>
      </c>
      <c r="FIO121" s="285" t="s">
        <v>376</v>
      </c>
      <c r="FIP121" s="285" t="s">
        <v>377</v>
      </c>
      <c r="FIQ121" s="285" t="s">
        <v>376</v>
      </c>
      <c r="FIR121" s="285" t="s">
        <v>377</v>
      </c>
      <c r="FIS121" s="285" t="s">
        <v>376</v>
      </c>
      <c r="FIT121" s="285" t="s">
        <v>377</v>
      </c>
      <c r="FIU121" s="285" t="s">
        <v>376</v>
      </c>
      <c r="FIV121" s="285" t="s">
        <v>377</v>
      </c>
      <c r="FIW121" s="285" t="s">
        <v>376</v>
      </c>
      <c r="FIX121" s="285" t="s">
        <v>377</v>
      </c>
      <c r="FIY121" s="285" t="s">
        <v>376</v>
      </c>
      <c r="FIZ121" s="285" t="s">
        <v>377</v>
      </c>
      <c r="FJA121" s="285" t="s">
        <v>376</v>
      </c>
      <c r="FJB121" s="285" t="s">
        <v>377</v>
      </c>
      <c r="FJC121" s="285" t="s">
        <v>376</v>
      </c>
      <c r="FJD121" s="285" t="s">
        <v>377</v>
      </c>
      <c r="FJE121" s="285" t="s">
        <v>376</v>
      </c>
      <c r="FJF121" s="285" t="s">
        <v>377</v>
      </c>
      <c r="FJG121" s="285" t="s">
        <v>376</v>
      </c>
      <c r="FJH121" s="285" t="s">
        <v>377</v>
      </c>
      <c r="FJI121" s="285" t="s">
        <v>376</v>
      </c>
      <c r="FJJ121" s="285" t="s">
        <v>377</v>
      </c>
      <c r="FJK121" s="285" t="s">
        <v>376</v>
      </c>
      <c r="FJL121" s="285" t="s">
        <v>377</v>
      </c>
      <c r="FJM121" s="285" t="s">
        <v>376</v>
      </c>
      <c r="FJN121" s="285" t="s">
        <v>377</v>
      </c>
      <c r="FJO121" s="285" t="s">
        <v>376</v>
      </c>
      <c r="FJP121" s="285" t="s">
        <v>377</v>
      </c>
      <c r="FJQ121" s="285" t="s">
        <v>376</v>
      </c>
      <c r="FJR121" s="285" t="s">
        <v>377</v>
      </c>
      <c r="FJS121" s="285" t="s">
        <v>376</v>
      </c>
      <c r="FJT121" s="285" t="s">
        <v>377</v>
      </c>
      <c r="FJU121" s="285" t="s">
        <v>376</v>
      </c>
      <c r="FJV121" s="285" t="s">
        <v>377</v>
      </c>
      <c r="FJW121" s="285" t="s">
        <v>376</v>
      </c>
      <c r="FJX121" s="285" t="s">
        <v>377</v>
      </c>
      <c r="FJY121" s="285" t="s">
        <v>376</v>
      </c>
      <c r="FJZ121" s="285" t="s">
        <v>377</v>
      </c>
      <c r="FKA121" s="285" t="s">
        <v>376</v>
      </c>
      <c r="FKB121" s="285" t="s">
        <v>377</v>
      </c>
      <c r="FKC121" s="285" t="s">
        <v>376</v>
      </c>
      <c r="FKD121" s="285" t="s">
        <v>377</v>
      </c>
      <c r="FKE121" s="285" t="s">
        <v>376</v>
      </c>
      <c r="FKF121" s="285" t="s">
        <v>377</v>
      </c>
      <c r="FKG121" s="285" t="s">
        <v>376</v>
      </c>
      <c r="FKH121" s="285" t="s">
        <v>377</v>
      </c>
      <c r="FKI121" s="285" t="s">
        <v>376</v>
      </c>
      <c r="FKJ121" s="285" t="s">
        <v>377</v>
      </c>
      <c r="FKK121" s="285" t="s">
        <v>376</v>
      </c>
      <c r="FKL121" s="285" t="s">
        <v>377</v>
      </c>
      <c r="FKM121" s="285" t="s">
        <v>376</v>
      </c>
      <c r="FKN121" s="285" t="s">
        <v>377</v>
      </c>
      <c r="FKO121" s="285" t="s">
        <v>376</v>
      </c>
      <c r="FKP121" s="285" t="s">
        <v>377</v>
      </c>
      <c r="FKQ121" s="285" t="s">
        <v>376</v>
      </c>
      <c r="FKR121" s="285" t="s">
        <v>377</v>
      </c>
      <c r="FKS121" s="285" t="s">
        <v>376</v>
      </c>
      <c r="FKT121" s="285" t="s">
        <v>377</v>
      </c>
      <c r="FKU121" s="285" t="s">
        <v>376</v>
      </c>
      <c r="FKV121" s="285" t="s">
        <v>377</v>
      </c>
      <c r="FKW121" s="285" t="s">
        <v>376</v>
      </c>
      <c r="FKX121" s="285" t="s">
        <v>377</v>
      </c>
      <c r="FKY121" s="285" t="s">
        <v>376</v>
      </c>
      <c r="FKZ121" s="285" t="s">
        <v>377</v>
      </c>
      <c r="FLA121" s="285" t="s">
        <v>376</v>
      </c>
      <c r="FLB121" s="285" t="s">
        <v>377</v>
      </c>
      <c r="FLC121" s="285" t="s">
        <v>376</v>
      </c>
      <c r="FLD121" s="285" t="s">
        <v>377</v>
      </c>
      <c r="FLE121" s="285" t="s">
        <v>376</v>
      </c>
      <c r="FLF121" s="285" t="s">
        <v>377</v>
      </c>
      <c r="FLG121" s="285" t="s">
        <v>376</v>
      </c>
      <c r="FLH121" s="285" t="s">
        <v>377</v>
      </c>
      <c r="FLI121" s="285" t="s">
        <v>376</v>
      </c>
      <c r="FLJ121" s="285" t="s">
        <v>377</v>
      </c>
      <c r="FLK121" s="285" t="s">
        <v>376</v>
      </c>
      <c r="FLL121" s="285" t="s">
        <v>377</v>
      </c>
      <c r="FLM121" s="285" t="s">
        <v>376</v>
      </c>
      <c r="FLN121" s="285" t="s">
        <v>377</v>
      </c>
      <c r="FLO121" s="285" t="s">
        <v>376</v>
      </c>
      <c r="FLP121" s="285" t="s">
        <v>377</v>
      </c>
      <c r="FLQ121" s="285" t="s">
        <v>376</v>
      </c>
      <c r="FLR121" s="285" t="s">
        <v>377</v>
      </c>
      <c r="FLS121" s="285" t="s">
        <v>376</v>
      </c>
      <c r="FLT121" s="285" t="s">
        <v>377</v>
      </c>
      <c r="FLU121" s="285" t="s">
        <v>376</v>
      </c>
      <c r="FLV121" s="285" t="s">
        <v>377</v>
      </c>
      <c r="FLW121" s="285" t="s">
        <v>376</v>
      </c>
      <c r="FLX121" s="285" t="s">
        <v>377</v>
      </c>
      <c r="FLY121" s="285" t="s">
        <v>376</v>
      </c>
      <c r="FLZ121" s="285" t="s">
        <v>377</v>
      </c>
      <c r="FMA121" s="285" t="s">
        <v>376</v>
      </c>
      <c r="FMB121" s="285" t="s">
        <v>377</v>
      </c>
      <c r="FMC121" s="285" t="s">
        <v>376</v>
      </c>
      <c r="FMD121" s="285" t="s">
        <v>377</v>
      </c>
      <c r="FME121" s="285" t="s">
        <v>376</v>
      </c>
      <c r="FMF121" s="285" t="s">
        <v>377</v>
      </c>
      <c r="FMG121" s="285" t="s">
        <v>376</v>
      </c>
      <c r="FMH121" s="285" t="s">
        <v>377</v>
      </c>
      <c r="FMI121" s="285" t="s">
        <v>376</v>
      </c>
      <c r="FMJ121" s="285" t="s">
        <v>377</v>
      </c>
      <c r="FMK121" s="285" t="s">
        <v>376</v>
      </c>
      <c r="FML121" s="285" t="s">
        <v>377</v>
      </c>
      <c r="FMM121" s="285" t="s">
        <v>376</v>
      </c>
      <c r="FMN121" s="285" t="s">
        <v>377</v>
      </c>
      <c r="FMO121" s="285" t="s">
        <v>376</v>
      </c>
      <c r="FMP121" s="285" t="s">
        <v>377</v>
      </c>
      <c r="FMQ121" s="285" t="s">
        <v>376</v>
      </c>
      <c r="FMR121" s="285" t="s">
        <v>377</v>
      </c>
      <c r="FMS121" s="285" t="s">
        <v>376</v>
      </c>
      <c r="FMT121" s="285" t="s">
        <v>377</v>
      </c>
      <c r="FMU121" s="285" t="s">
        <v>376</v>
      </c>
      <c r="FMV121" s="285" t="s">
        <v>377</v>
      </c>
      <c r="FMW121" s="285" t="s">
        <v>376</v>
      </c>
      <c r="FMX121" s="285" t="s">
        <v>377</v>
      </c>
      <c r="FMY121" s="285" t="s">
        <v>376</v>
      </c>
      <c r="FMZ121" s="285" t="s">
        <v>377</v>
      </c>
      <c r="FNA121" s="285" t="s">
        <v>376</v>
      </c>
      <c r="FNB121" s="285" t="s">
        <v>377</v>
      </c>
      <c r="FNC121" s="285" t="s">
        <v>376</v>
      </c>
      <c r="FND121" s="285" t="s">
        <v>377</v>
      </c>
      <c r="FNE121" s="285" t="s">
        <v>376</v>
      </c>
      <c r="FNF121" s="285" t="s">
        <v>377</v>
      </c>
      <c r="FNG121" s="285" t="s">
        <v>376</v>
      </c>
      <c r="FNH121" s="285" t="s">
        <v>377</v>
      </c>
      <c r="FNI121" s="285" t="s">
        <v>376</v>
      </c>
      <c r="FNJ121" s="285" t="s">
        <v>377</v>
      </c>
      <c r="FNK121" s="285" t="s">
        <v>376</v>
      </c>
      <c r="FNL121" s="285" t="s">
        <v>377</v>
      </c>
      <c r="FNM121" s="285" t="s">
        <v>376</v>
      </c>
      <c r="FNN121" s="285" t="s">
        <v>377</v>
      </c>
      <c r="FNO121" s="285" t="s">
        <v>376</v>
      </c>
      <c r="FNP121" s="285" t="s">
        <v>377</v>
      </c>
      <c r="FNQ121" s="285" t="s">
        <v>376</v>
      </c>
      <c r="FNR121" s="285" t="s">
        <v>377</v>
      </c>
      <c r="FNS121" s="285" t="s">
        <v>376</v>
      </c>
      <c r="FNT121" s="285" t="s">
        <v>377</v>
      </c>
      <c r="FNU121" s="285" t="s">
        <v>376</v>
      </c>
      <c r="FNV121" s="285" t="s">
        <v>377</v>
      </c>
      <c r="FNW121" s="285" t="s">
        <v>376</v>
      </c>
      <c r="FNX121" s="285" t="s">
        <v>377</v>
      </c>
      <c r="FNY121" s="285" t="s">
        <v>376</v>
      </c>
      <c r="FNZ121" s="285" t="s">
        <v>377</v>
      </c>
      <c r="FOA121" s="285" t="s">
        <v>376</v>
      </c>
      <c r="FOB121" s="285" t="s">
        <v>377</v>
      </c>
      <c r="FOC121" s="285" t="s">
        <v>376</v>
      </c>
      <c r="FOD121" s="285" t="s">
        <v>377</v>
      </c>
      <c r="FOE121" s="285" t="s">
        <v>376</v>
      </c>
      <c r="FOF121" s="285" t="s">
        <v>377</v>
      </c>
      <c r="FOG121" s="285" t="s">
        <v>376</v>
      </c>
      <c r="FOH121" s="285" t="s">
        <v>377</v>
      </c>
      <c r="FOI121" s="285" t="s">
        <v>376</v>
      </c>
      <c r="FOJ121" s="285" t="s">
        <v>377</v>
      </c>
      <c r="FOK121" s="285" t="s">
        <v>376</v>
      </c>
      <c r="FOL121" s="285" t="s">
        <v>377</v>
      </c>
      <c r="FOM121" s="285" t="s">
        <v>376</v>
      </c>
      <c r="FON121" s="285" t="s">
        <v>377</v>
      </c>
      <c r="FOO121" s="285" t="s">
        <v>376</v>
      </c>
      <c r="FOP121" s="285" t="s">
        <v>377</v>
      </c>
      <c r="FOQ121" s="285" t="s">
        <v>376</v>
      </c>
      <c r="FOR121" s="285" t="s">
        <v>377</v>
      </c>
      <c r="FOS121" s="285" t="s">
        <v>376</v>
      </c>
      <c r="FOT121" s="285" t="s">
        <v>377</v>
      </c>
      <c r="FOU121" s="285" t="s">
        <v>376</v>
      </c>
      <c r="FOV121" s="285" t="s">
        <v>377</v>
      </c>
      <c r="FOW121" s="285" t="s">
        <v>376</v>
      </c>
      <c r="FOX121" s="285" t="s">
        <v>377</v>
      </c>
      <c r="FOY121" s="285" t="s">
        <v>376</v>
      </c>
      <c r="FOZ121" s="285" t="s">
        <v>377</v>
      </c>
      <c r="FPA121" s="285" t="s">
        <v>376</v>
      </c>
      <c r="FPB121" s="285" t="s">
        <v>377</v>
      </c>
      <c r="FPC121" s="285" t="s">
        <v>376</v>
      </c>
      <c r="FPD121" s="285" t="s">
        <v>377</v>
      </c>
      <c r="FPE121" s="285" t="s">
        <v>376</v>
      </c>
      <c r="FPF121" s="285" t="s">
        <v>377</v>
      </c>
      <c r="FPG121" s="285" t="s">
        <v>376</v>
      </c>
      <c r="FPH121" s="285" t="s">
        <v>377</v>
      </c>
      <c r="FPI121" s="285" t="s">
        <v>376</v>
      </c>
      <c r="FPJ121" s="285" t="s">
        <v>377</v>
      </c>
      <c r="FPK121" s="285" t="s">
        <v>376</v>
      </c>
      <c r="FPL121" s="285" t="s">
        <v>377</v>
      </c>
      <c r="FPM121" s="285" t="s">
        <v>376</v>
      </c>
      <c r="FPN121" s="285" t="s">
        <v>377</v>
      </c>
      <c r="FPO121" s="285" t="s">
        <v>376</v>
      </c>
      <c r="FPP121" s="285" t="s">
        <v>377</v>
      </c>
      <c r="FPQ121" s="285" t="s">
        <v>376</v>
      </c>
      <c r="FPR121" s="285" t="s">
        <v>377</v>
      </c>
      <c r="FPS121" s="285" t="s">
        <v>376</v>
      </c>
      <c r="FPT121" s="285" t="s">
        <v>377</v>
      </c>
      <c r="FPU121" s="285" t="s">
        <v>376</v>
      </c>
      <c r="FPV121" s="285" t="s">
        <v>377</v>
      </c>
      <c r="FPW121" s="285" t="s">
        <v>376</v>
      </c>
      <c r="FPX121" s="285" t="s">
        <v>377</v>
      </c>
      <c r="FPY121" s="285" t="s">
        <v>376</v>
      </c>
      <c r="FPZ121" s="285" t="s">
        <v>377</v>
      </c>
      <c r="FQA121" s="285" t="s">
        <v>376</v>
      </c>
      <c r="FQB121" s="285" t="s">
        <v>377</v>
      </c>
      <c r="FQC121" s="285" t="s">
        <v>376</v>
      </c>
      <c r="FQD121" s="285" t="s">
        <v>377</v>
      </c>
      <c r="FQE121" s="285" t="s">
        <v>376</v>
      </c>
      <c r="FQF121" s="285" t="s">
        <v>377</v>
      </c>
      <c r="FQG121" s="285" t="s">
        <v>376</v>
      </c>
      <c r="FQH121" s="285" t="s">
        <v>377</v>
      </c>
      <c r="FQI121" s="285" t="s">
        <v>376</v>
      </c>
      <c r="FQJ121" s="285" t="s">
        <v>377</v>
      </c>
      <c r="FQK121" s="285" t="s">
        <v>376</v>
      </c>
      <c r="FQL121" s="285" t="s">
        <v>377</v>
      </c>
      <c r="FQM121" s="285" t="s">
        <v>376</v>
      </c>
      <c r="FQN121" s="285" t="s">
        <v>377</v>
      </c>
      <c r="FQO121" s="285" t="s">
        <v>376</v>
      </c>
      <c r="FQP121" s="285" t="s">
        <v>377</v>
      </c>
      <c r="FQQ121" s="285" t="s">
        <v>376</v>
      </c>
      <c r="FQR121" s="285" t="s">
        <v>377</v>
      </c>
      <c r="FQS121" s="285" t="s">
        <v>376</v>
      </c>
      <c r="FQT121" s="285" t="s">
        <v>377</v>
      </c>
      <c r="FQU121" s="285" t="s">
        <v>376</v>
      </c>
      <c r="FQV121" s="285" t="s">
        <v>377</v>
      </c>
      <c r="FQW121" s="285" t="s">
        <v>376</v>
      </c>
      <c r="FQX121" s="285" t="s">
        <v>377</v>
      </c>
      <c r="FQY121" s="285" t="s">
        <v>376</v>
      </c>
      <c r="FQZ121" s="285" t="s">
        <v>377</v>
      </c>
      <c r="FRA121" s="285" t="s">
        <v>376</v>
      </c>
      <c r="FRB121" s="285" t="s">
        <v>377</v>
      </c>
      <c r="FRC121" s="285" t="s">
        <v>376</v>
      </c>
      <c r="FRD121" s="285" t="s">
        <v>377</v>
      </c>
      <c r="FRE121" s="285" t="s">
        <v>376</v>
      </c>
      <c r="FRF121" s="285" t="s">
        <v>377</v>
      </c>
      <c r="FRG121" s="285" t="s">
        <v>376</v>
      </c>
      <c r="FRH121" s="285" t="s">
        <v>377</v>
      </c>
      <c r="FRI121" s="285" t="s">
        <v>376</v>
      </c>
      <c r="FRJ121" s="285" t="s">
        <v>377</v>
      </c>
      <c r="FRK121" s="285" t="s">
        <v>376</v>
      </c>
      <c r="FRL121" s="285" t="s">
        <v>377</v>
      </c>
      <c r="FRM121" s="285" t="s">
        <v>376</v>
      </c>
      <c r="FRN121" s="285" t="s">
        <v>377</v>
      </c>
      <c r="FRO121" s="285" t="s">
        <v>376</v>
      </c>
      <c r="FRP121" s="285" t="s">
        <v>377</v>
      </c>
      <c r="FRQ121" s="285" t="s">
        <v>376</v>
      </c>
      <c r="FRR121" s="285" t="s">
        <v>377</v>
      </c>
      <c r="FRS121" s="285" t="s">
        <v>376</v>
      </c>
      <c r="FRT121" s="285" t="s">
        <v>377</v>
      </c>
      <c r="FRU121" s="285" t="s">
        <v>376</v>
      </c>
      <c r="FRV121" s="285" t="s">
        <v>377</v>
      </c>
      <c r="FRW121" s="285" t="s">
        <v>376</v>
      </c>
      <c r="FRX121" s="285" t="s">
        <v>377</v>
      </c>
      <c r="FRY121" s="285" t="s">
        <v>376</v>
      </c>
      <c r="FRZ121" s="285" t="s">
        <v>377</v>
      </c>
      <c r="FSA121" s="285" t="s">
        <v>376</v>
      </c>
      <c r="FSB121" s="285" t="s">
        <v>377</v>
      </c>
      <c r="FSC121" s="285" t="s">
        <v>376</v>
      </c>
      <c r="FSD121" s="285" t="s">
        <v>377</v>
      </c>
      <c r="FSE121" s="285" t="s">
        <v>376</v>
      </c>
      <c r="FSF121" s="285" t="s">
        <v>377</v>
      </c>
      <c r="FSG121" s="285" t="s">
        <v>376</v>
      </c>
      <c r="FSH121" s="285" t="s">
        <v>377</v>
      </c>
      <c r="FSI121" s="285" t="s">
        <v>376</v>
      </c>
      <c r="FSJ121" s="285" t="s">
        <v>377</v>
      </c>
      <c r="FSK121" s="285" t="s">
        <v>376</v>
      </c>
      <c r="FSL121" s="285" t="s">
        <v>377</v>
      </c>
      <c r="FSM121" s="285" t="s">
        <v>376</v>
      </c>
      <c r="FSN121" s="285" t="s">
        <v>377</v>
      </c>
      <c r="FSO121" s="285" t="s">
        <v>376</v>
      </c>
      <c r="FSP121" s="285" t="s">
        <v>377</v>
      </c>
      <c r="FSQ121" s="285" t="s">
        <v>376</v>
      </c>
      <c r="FSR121" s="285" t="s">
        <v>377</v>
      </c>
      <c r="FSS121" s="285" t="s">
        <v>376</v>
      </c>
      <c r="FST121" s="285" t="s">
        <v>377</v>
      </c>
      <c r="FSU121" s="285" t="s">
        <v>376</v>
      </c>
      <c r="FSV121" s="285" t="s">
        <v>377</v>
      </c>
      <c r="FSW121" s="285" t="s">
        <v>376</v>
      </c>
      <c r="FSX121" s="285" t="s">
        <v>377</v>
      </c>
      <c r="FSY121" s="285" t="s">
        <v>376</v>
      </c>
      <c r="FSZ121" s="285" t="s">
        <v>377</v>
      </c>
      <c r="FTA121" s="285" t="s">
        <v>376</v>
      </c>
      <c r="FTB121" s="285" t="s">
        <v>377</v>
      </c>
      <c r="FTC121" s="285" t="s">
        <v>376</v>
      </c>
      <c r="FTD121" s="285" t="s">
        <v>377</v>
      </c>
      <c r="FTE121" s="285" t="s">
        <v>376</v>
      </c>
      <c r="FTF121" s="285" t="s">
        <v>377</v>
      </c>
      <c r="FTG121" s="285" t="s">
        <v>376</v>
      </c>
      <c r="FTH121" s="285" t="s">
        <v>377</v>
      </c>
      <c r="FTI121" s="285" t="s">
        <v>376</v>
      </c>
      <c r="FTJ121" s="285" t="s">
        <v>377</v>
      </c>
      <c r="FTK121" s="285" t="s">
        <v>376</v>
      </c>
      <c r="FTL121" s="285" t="s">
        <v>377</v>
      </c>
      <c r="FTM121" s="285" t="s">
        <v>376</v>
      </c>
      <c r="FTN121" s="285" t="s">
        <v>377</v>
      </c>
      <c r="FTO121" s="285" t="s">
        <v>376</v>
      </c>
      <c r="FTP121" s="285" t="s">
        <v>377</v>
      </c>
      <c r="FTQ121" s="285" t="s">
        <v>376</v>
      </c>
      <c r="FTR121" s="285" t="s">
        <v>377</v>
      </c>
      <c r="FTS121" s="285" t="s">
        <v>376</v>
      </c>
      <c r="FTT121" s="285" t="s">
        <v>377</v>
      </c>
      <c r="FTU121" s="285" t="s">
        <v>376</v>
      </c>
      <c r="FTV121" s="285" t="s">
        <v>377</v>
      </c>
      <c r="FTW121" s="285" t="s">
        <v>376</v>
      </c>
      <c r="FTX121" s="285" t="s">
        <v>377</v>
      </c>
      <c r="FTY121" s="285" t="s">
        <v>376</v>
      </c>
      <c r="FTZ121" s="285" t="s">
        <v>377</v>
      </c>
      <c r="FUA121" s="285" t="s">
        <v>376</v>
      </c>
      <c r="FUB121" s="285" t="s">
        <v>377</v>
      </c>
      <c r="FUC121" s="285" t="s">
        <v>376</v>
      </c>
      <c r="FUD121" s="285" t="s">
        <v>377</v>
      </c>
      <c r="FUE121" s="285" t="s">
        <v>376</v>
      </c>
      <c r="FUF121" s="285" t="s">
        <v>377</v>
      </c>
      <c r="FUG121" s="285" t="s">
        <v>376</v>
      </c>
      <c r="FUH121" s="285" t="s">
        <v>377</v>
      </c>
      <c r="FUI121" s="285" t="s">
        <v>376</v>
      </c>
      <c r="FUJ121" s="285" t="s">
        <v>377</v>
      </c>
      <c r="FUK121" s="285" t="s">
        <v>376</v>
      </c>
      <c r="FUL121" s="285" t="s">
        <v>377</v>
      </c>
      <c r="FUM121" s="285" t="s">
        <v>376</v>
      </c>
      <c r="FUN121" s="285" t="s">
        <v>377</v>
      </c>
      <c r="FUO121" s="285" t="s">
        <v>376</v>
      </c>
      <c r="FUP121" s="285" t="s">
        <v>377</v>
      </c>
      <c r="FUQ121" s="285" t="s">
        <v>376</v>
      </c>
      <c r="FUR121" s="285" t="s">
        <v>377</v>
      </c>
      <c r="FUS121" s="285" t="s">
        <v>376</v>
      </c>
      <c r="FUT121" s="285" t="s">
        <v>377</v>
      </c>
      <c r="FUU121" s="285" t="s">
        <v>376</v>
      </c>
      <c r="FUV121" s="285" t="s">
        <v>377</v>
      </c>
      <c r="FUW121" s="285" t="s">
        <v>376</v>
      </c>
      <c r="FUX121" s="285" t="s">
        <v>377</v>
      </c>
      <c r="FUY121" s="285" t="s">
        <v>376</v>
      </c>
      <c r="FUZ121" s="285" t="s">
        <v>377</v>
      </c>
      <c r="FVA121" s="285" t="s">
        <v>376</v>
      </c>
      <c r="FVB121" s="285" t="s">
        <v>377</v>
      </c>
      <c r="FVC121" s="285" t="s">
        <v>376</v>
      </c>
      <c r="FVD121" s="285" t="s">
        <v>377</v>
      </c>
      <c r="FVE121" s="285" t="s">
        <v>376</v>
      </c>
      <c r="FVF121" s="285" t="s">
        <v>377</v>
      </c>
      <c r="FVG121" s="285" t="s">
        <v>376</v>
      </c>
      <c r="FVH121" s="285" t="s">
        <v>377</v>
      </c>
      <c r="FVI121" s="285" t="s">
        <v>376</v>
      </c>
      <c r="FVJ121" s="285" t="s">
        <v>377</v>
      </c>
      <c r="FVK121" s="285" t="s">
        <v>376</v>
      </c>
      <c r="FVL121" s="285" t="s">
        <v>377</v>
      </c>
      <c r="FVM121" s="285" t="s">
        <v>376</v>
      </c>
      <c r="FVN121" s="285" t="s">
        <v>377</v>
      </c>
      <c r="FVO121" s="285" t="s">
        <v>376</v>
      </c>
      <c r="FVP121" s="285" t="s">
        <v>377</v>
      </c>
      <c r="FVQ121" s="285" t="s">
        <v>376</v>
      </c>
      <c r="FVR121" s="285" t="s">
        <v>377</v>
      </c>
      <c r="FVS121" s="285" t="s">
        <v>376</v>
      </c>
      <c r="FVT121" s="285" t="s">
        <v>377</v>
      </c>
      <c r="FVU121" s="285" t="s">
        <v>376</v>
      </c>
      <c r="FVV121" s="285" t="s">
        <v>377</v>
      </c>
      <c r="FVW121" s="285" t="s">
        <v>376</v>
      </c>
      <c r="FVX121" s="285" t="s">
        <v>377</v>
      </c>
      <c r="FVY121" s="285" t="s">
        <v>376</v>
      </c>
      <c r="FVZ121" s="285" t="s">
        <v>377</v>
      </c>
      <c r="FWA121" s="285" t="s">
        <v>376</v>
      </c>
      <c r="FWB121" s="285" t="s">
        <v>377</v>
      </c>
      <c r="FWC121" s="285" t="s">
        <v>376</v>
      </c>
      <c r="FWD121" s="285" t="s">
        <v>377</v>
      </c>
      <c r="FWE121" s="285" t="s">
        <v>376</v>
      </c>
      <c r="FWF121" s="285" t="s">
        <v>377</v>
      </c>
      <c r="FWG121" s="285" t="s">
        <v>376</v>
      </c>
      <c r="FWH121" s="285" t="s">
        <v>377</v>
      </c>
      <c r="FWI121" s="285" t="s">
        <v>376</v>
      </c>
      <c r="FWJ121" s="285" t="s">
        <v>377</v>
      </c>
      <c r="FWK121" s="285" t="s">
        <v>376</v>
      </c>
      <c r="FWL121" s="285" t="s">
        <v>377</v>
      </c>
      <c r="FWM121" s="285" t="s">
        <v>376</v>
      </c>
      <c r="FWN121" s="285" t="s">
        <v>377</v>
      </c>
      <c r="FWO121" s="285" t="s">
        <v>376</v>
      </c>
      <c r="FWP121" s="285" t="s">
        <v>377</v>
      </c>
      <c r="FWQ121" s="285" t="s">
        <v>376</v>
      </c>
      <c r="FWR121" s="285" t="s">
        <v>377</v>
      </c>
      <c r="FWS121" s="285" t="s">
        <v>376</v>
      </c>
      <c r="FWT121" s="285" t="s">
        <v>377</v>
      </c>
      <c r="FWU121" s="285" t="s">
        <v>376</v>
      </c>
      <c r="FWV121" s="285" t="s">
        <v>377</v>
      </c>
      <c r="FWW121" s="285" t="s">
        <v>376</v>
      </c>
      <c r="FWX121" s="285" t="s">
        <v>377</v>
      </c>
      <c r="FWY121" s="285" t="s">
        <v>376</v>
      </c>
      <c r="FWZ121" s="285" t="s">
        <v>377</v>
      </c>
      <c r="FXA121" s="285" t="s">
        <v>376</v>
      </c>
      <c r="FXB121" s="285" t="s">
        <v>377</v>
      </c>
      <c r="FXC121" s="285" t="s">
        <v>376</v>
      </c>
      <c r="FXD121" s="285" t="s">
        <v>377</v>
      </c>
      <c r="FXE121" s="285" t="s">
        <v>376</v>
      </c>
      <c r="FXF121" s="285" t="s">
        <v>377</v>
      </c>
      <c r="FXG121" s="285" t="s">
        <v>376</v>
      </c>
      <c r="FXH121" s="285" t="s">
        <v>377</v>
      </c>
      <c r="FXI121" s="285" t="s">
        <v>376</v>
      </c>
      <c r="FXJ121" s="285" t="s">
        <v>377</v>
      </c>
      <c r="FXK121" s="285" t="s">
        <v>376</v>
      </c>
      <c r="FXL121" s="285" t="s">
        <v>377</v>
      </c>
      <c r="FXM121" s="285" t="s">
        <v>376</v>
      </c>
      <c r="FXN121" s="285" t="s">
        <v>377</v>
      </c>
      <c r="FXO121" s="285" t="s">
        <v>376</v>
      </c>
      <c r="FXP121" s="285" t="s">
        <v>377</v>
      </c>
      <c r="FXQ121" s="285" t="s">
        <v>376</v>
      </c>
      <c r="FXR121" s="285" t="s">
        <v>377</v>
      </c>
      <c r="FXS121" s="285" t="s">
        <v>376</v>
      </c>
      <c r="FXT121" s="285" t="s">
        <v>377</v>
      </c>
      <c r="FXU121" s="285" t="s">
        <v>376</v>
      </c>
      <c r="FXV121" s="285" t="s">
        <v>377</v>
      </c>
      <c r="FXW121" s="285" t="s">
        <v>376</v>
      </c>
      <c r="FXX121" s="285" t="s">
        <v>377</v>
      </c>
      <c r="FXY121" s="285" t="s">
        <v>376</v>
      </c>
      <c r="FXZ121" s="285" t="s">
        <v>377</v>
      </c>
      <c r="FYA121" s="285" t="s">
        <v>376</v>
      </c>
      <c r="FYB121" s="285" t="s">
        <v>377</v>
      </c>
      <c r="FYC121" s="285" t="s">
        <v>376</v>
      </c>
      <c r="FYD121" s="285" t="s">
        <v>377</v>
      </c>
      <c r="FYE121" s="285" t="s">
        <v>376</v>
      </c>
      <c r="FYF121" s="285" t="s">
        <v>377</v>
      </c>
      <c r="FYG121" s="285" t="s">
        <v>376</v>
      </c>
      <c r="FYH121" s="285" t="s">
        <v>377</v>
      </c>
      <c r="FYI121" s="285" t="s">
        <v>376</v>
      </c>
      <c r="FYJ121" s="285" t="s">
        <v>377</v>
      </c>
      <c r="FYK121" s="285" t="s">
        <v>376</v>
      </c>
      <c r="FYL121" s="285" t="s">
        <v>377</v>
      </c>
      <c r="FYM121" s="285" t="s">
        <v>376</v>
      </c>
      <c r="FYN121" s="285" t="s">
        <v>377</v>
      </c>
      <c r="FYO121" s="285" t="s">
        <v>376</v>
      </c>
      <c r="FYP121" s="285" t="s">
        <v>377</v>
      </c>
      <c r="FYQ121" s="285" t="s">
        <v>376</v>
      </c>
      <c r="FYR121" s="285" t="s">
        <v>377</v>
      </c>
      <c r="FYS121" s="285" t="s">
        <v>376</v>
      </c>
      <c r="FYT121" s="285" t="s">
        <v>377</v>
      </c>
      <c r="FYU121" s="285" t="s">
        <v>376</v>
      </c>
      <c r="FYV121" s="285" t="s">
        <v>377</v>
      </c>
      <c r="FYW121" s="285" t="s">
        <v>376</v>
      </c>
      <c r="FYX121" s="285" t="s">
        <v>377</v>
      </c>
      <c r="FYY121" s="285" t="s">
        <v>376</v>
      </c>
      <c r="FYZ121" s="285" t="s">
        <v>377</v>
      </c>
      <c r="FZA121" s="285" t="s">
        <v>376</v>
      </c>
      <c r="FZB121" s="285" t="s">
        <v>377</v>
      </c>
      <c r="FZC121" s="285" t="s">
        <v>376</v>
      </c>
      <c r="FZD121" s="285" t="s">
        <v>377</v>
      </c>
      <c r="FZE121" s="285" t="s">
        <v>376</v>
      </c>
      <c r="FZF121" s="285" t="s">
        <v>377</v>
      </c>
      <c r="FZG121" s="285" t="s">
        <v>376</v>
      </c>
      <c r="FZH121" s="285" t="s">
        <v>377</v>
      </c>
      <c r="FZI121" s="285" t="s">
        <v>376</v>
      </c>
      <c r="FZJ121" s="285" t="s">
        <v>377</v>
      </c>
      <c r="FZK121" s="285" t="s">
        <v>376</v>
      </c>
      <c r="FZL121" s="285" t="s">
        <v>377</v>
      </c>
      <c r="FZM121" s="285" t="s">
        <v>376</v>
      </c>
      <c r="FZN121" s="285" t="s">
        <v>377</v>
      </c>
      <c r="FZO121" s="285" t="s">
        <v>376</v>
      </c>
      <c r="FZP121" s="285" t="s">
        <v>377</v>
      </c>
      <c r="FZQ121" s="285" t="s">
        <v>376</v>
      </c>
      <c r="FZR121" s="285" t="s">
        <v>377</v>
      </c>
      <c r="FZS121" s="285" t="s">
        <v>376</v>
      </c>
      <c r="FZT121" s="285" t="s">
        <v>377</v>
      </c>
      <c r="FZU121" s="285" t="s">
        <v>376</v>
      </c>
      <c r="FZV121" s="285" t="s">
        <v>377</v>
      </c>
      <c r="FZW121" s="285" t="s">
        <v>376</v>
      </c>
      <c r="FZX121" s="285" t="s">
        <v>377</v>
      </c>
      <c r="FZY121" s="285" t="s">
        <v>376</v>
      </c>
      <c r="FZZ121" s="285" t="s">
        <v>377</v>
      </c>
      <c r="GAA121" s="285" t="s">
        <v>376</v>
      </c>
      <c r="GAB121" s="285" t="s">
        <v>377</v>
      </c>
      <c r="GAC121" s="285" t="s">
        <v>376</v>
      </c>
      <c r="GAD121" s="285" t="s">
        <v>377</v>
      </c>
      <c r="GAE121" s="285" t="s">
        <v>376</v>
      </c>
      <c r="GAF121" s="285" t="s">
        <v>377</v>
      </c>
      <c r="GAG121" s="285" t="s">
        <v>376</v>
      </c>
      <c r="GAH121" s="285" t="s">
        <v>377</v>
      </c>
      <c r="GAI121" s="285" t="s">
        <v>376</v>
      </c>
      <c r="GAJ121" s="285" t="s">
        <v>377</v>
      </c>
      <c r="GAK121" s="285" t="s">
        <v>376</v>
      </c>
      <c r="GAL121" s="285" t="s">
        <v>377</v>
      </c>
      <c r="GAM121" s="285" t="s">
        <v>376</v>
      </c>
      <c r="GAN121" s="285" t="s">
        <v>377</v>
      </c>
      <c r="GAO121" s="285" t="s">
        <v>376</v>
      </c>
      <c r="GAP121" s="285" t="s">
        <v>377</v>
      </c>
      <c r="GAQ121" s="285" t="s">
        <v>376</v>
      </c>
      <c r="GAR121" s="285" t="s">
        <v>377</v>
      </c>
      <c r="GAS121" s="285" t="s">
        <v>376</v>
      </c>
      <c r="GAT121" s="285" t="s">
        <v>377</v>
      </c>
      <c r="GAU121" s="285" t="s">
        <v>376</v>
      </c>
      <c r="GAV121" s="285" t="s">
        <v>377</v>
      </c>
      <c r="GAW121" s="285" t="s">
        <v>376</v>
      </c>
      <c r="GAX121" s="285" t="s">
        <v>377</v>
      </c>
      <c r="GAY121" s="285" t="s">
        <v>376</v>
      </c>
      <c r="GAZ121" s="285" t="s">
        <v>377</v>
      </c>
      <c r="GBA121" s="285" t="s">
        <v>376</v>
      </c>
      <c r="GBB121" s="285" t="s">
        <v>377</v>
      </c>
      <c r="GBC121" s="285" t="s">
        <v>376</v>
      </c>
      <c r="GBD121" s="285" t="s">
        <v>377</v>
      </c>
      <c r="GBE121" s="285" t="s">
        <v>376</v>
      </c>
      <c r="GBF121" s="285" t="s">
        <v>377</v>
      </c>
      <c r="GBG121" s="285" t="s">
        <v>376</v>
      </c>
      <c r="GBH121" s="285" t="s">
        <v>377</v>
      </c>
      <c r="GBI121" s="285" t="s">
        <v>376</v>
      </c>
      <c r="GBJ121" s="285" t="s">
        <v>377</v>
      </c>
      <c r="GBK121" s="285" t="s">
        <v>376</v>
      </c>
      <c r="GBL121" s="285" t="s">
        <v>377</v>
      </c>
      <c r="GBM121" s="285" t="s">
        <v>376</v>
      </c>
      <c r="GBN121" s="285" t="s">
        <v>377</v>
      </c>
      <c r="GBO121" s="285" t="s">
        <v>376</v>
      </c>
      <c r="GBP121" s="285" t="s">
        <v>377</v>
      </c>
      <c r="GBQ121" s="285" t="s">
        <v>376</v>
      </c>
      <c r="GBR121" s="285" t="s">
        <v>377</v>
      </c>
      <c r="GBS121" s="285" t="s">
        <v>376</v>
      </c>
      <c r="GBT121" s="285" t="s">
        <v>377</v>
      </c>
      <c r="GBU121" s="285" t="s">
        <v>376</v>
      </c>
      <c r="GBV121" s="285" t="s">
        <v>377</v>
      </c>
      <c r="GBW121" s="285" t="s">
        <v>376</v>
      </c>
      <c r="GBX121" s="285" t="s">
        <v>377</v>
      </c>
      <c r="GBY121" s="285" t="s">
        <v>376</v>
      </c>
      <c r="GBZ121" s="285" t="s">
        <v>377</v>
      </c>
      <c r="GCA121" s="285" t="s">
        <v>376</v>
      </c>
      <c r="GCB121" s="285" t="s">
        <v>377</v>
      </c>
      <c r="GCC121" s="285" t="s">
        <v>376</v>
      </c>
      <c r="GCD121" s="285" t="s">
        <v>377</v>
      </c>
      <c r="GCE121" s="285" t="s">
        <v>376</v>
      </c>
      <c r="GCF121" s="285" t="s">
        <v>377</v>
      </c>
      <c r="GCG121" s="285" t="s">
        <v>376</v>
      </c>
      <c r="GCH121" s="285" t="s">
        <v>377</v>
      </c>
      <c r="GCI121" s="285" t="s">
        <v>376</v>
      </c>
      <c r="GCJ121" s="285" t="s">
        <v>377</v>
      </c>
      <c r="GCK121" s="285" t="s">
        <v>376</v>
      </c>
      <c r="GCL121" s="285" t="s">
        <v>377</v>
      </c>
      <c r="GCM121" s="285" t="s">
        <v>376</v>
      </c>
      <c r="GCN121" s="285" t="s">
        <v>377</v>
      </c>
      <c r="GCO121" s="285" t="s">
        <v>376</v>
      </c>
      <c r="GCP121" s="285" t="s">
        <v>377</v>
      </c>
      <c r="GCQ121" s="285" t="s">
        <v>376</v>
      </c>
      <c r="GCR121" s="285" t="s">
        <v>377</v>
      </c>
      <c r="GCS121" s="285" t="s">
        <v>376</v>
      </c>
      <c r="GCT121" s="285" t="s">
        <v>377</v>
      </c>
      <c r="GCU121" s="285" t="s">
        <v>376</v>
      </c>
      <c r="GCV121" s="285" t="s">
        <v>377</v>
      </c>
      <c r="GCW121" s="285" t="s">
        <v>376</v>
      </c>
      <c r="GCX121" s="285" t="s">
        <v>377</v>
      </c>
      <c r="GCY121" s="285" t="s">
        <v>376</v>
      </c>
      <c r="GCZ121" s="285" t="s">
        <v>377</v>
      </c>
      <c r="GDA121" s="285" t="s">
        <v>376</v>
      </c>
      <c r="GDB121" s="285" t="s">
        <v>377</v>
      </c>
      <c r="GDC121" s="285" t="s">
        <v>376</v>
      </c>
      <c r="GDD121" s="285" t="s">
        <v>377</v>
      </c>
      <c r="GDE121" s="285" t="s">
        <v>376</v>
      </c>
      <c r="GDF121" s="285" t="s">
        <v>377</v>
      </c>
      <c r="GDG121" s="285" t="s">
        <v>376</v>
      </c>
      <c r="GDH121" s="285" t="s">
        <v>377</v>
      </c>
      <c r="GDI121" s="285" t="s">
        <v>376</v>
      </c>
      <c r="GDJ121" s="285" t="s">
        <v>377</v>
      </c>
      <c r="GDK121" s="285" t="s">
        <v>376</v>
      </c>
      <c r="GDL121" s="285" t="s">
        <v>377</v>
      </c>
      <c r="GDM121" s="285" t="s">
        <v>376</v>
      </c>
      <c r="GDN121" s="285" t="s">
        <v>377</v>
      </c>
      <c r="GDO121" s="285" t="s">
        <v>376</v>
      </c>
      <c r="GDP121" s="285" t="s">
        <v>377</v>
      </c>
      <c r="GDQ121" s="285" t="s">
        <v>376</v>
      </c>
      <c r="GDR121" s="285" t="s">
        <v>377</v>
      </c>
      <c r="GDS121" s="285" t="s">
        <v>376</v>
      </c>
      <c r="GDT121" s="285" t="s">
        <v>377</v>
      </c>
      <c r="GDU121" s="285" t="s">
        <v>376</v>
      </c>
      <c r="GDV121" s="285" t="s">
        <v>377</v>
      </c>
      <c r="GDW121" s="285" t="s">
        <v>376</v>
      </c>
      <c r="GDX121" s="285" t="s">
        <v>377</v>
      </c>
      <c r="GDY121" s="285" t="s">
        <v>376</v>
      </c>
      <c r="GDZ121" s="285" t="s">
        <v>377</v>
      </c>
      <c r="GEA121" s="285" t="s">
        <v>376</v>
      </c>
      <c r="GEB121" s="285" t="s">
        <v>377</v>
      </c>
      <c r="GEC121" s="285" t="s">
        <v>376</v>
      </c>
      <c r="GED121" s="285" t="s">
        <v>377</v>
      </c>
      <c r="GEE121" s="285" t="s">
        <v>376</v>
      </c>
      <c r="GEF121" s="285" t="s">
        <v>377</v>
      </c>
      <c r="GEG121" s="285" t="s">
        <v>376</v>
      </c>
      <c r="GEH121" s="285" t="s">
        <v>377</v>
      </c>
      <c r="GEI121" s="285" t="s">
        <v>376</v>
      </c>
      <c r="GEJ121" s="285" t="s">
        <v>377</v>
      </c>
      <c r="GEK121" s="285" t="s">
        <v>376</v>
      </c>
      <c r="GEL121" s="285" t="s">
        <v>377</v>
      </c>
      <c r="GEM121" s="285" t="s">
        <v>376</v>
      </c>
      <c r="GEN121" s="285" t="s">
        <v>377</v>
      </c>
      <c r="GEO121" s="285" t="s">
        <v>376</v>
      </c>
      <c r="GEP121" s="285" t="s">
        <v>377</v>
      </c>
      <c r="GEQ121" s="285" t="s">
        <v>376</v>
      </c>
      <c r="GER121" s="285" t="s">
        <v>377</v>
      </c>
      <c r="GES121" s="285" t="s">
        <v>376</v>
      </c>
      <c r="GET121" s="285" t="s">
        <v>377</v>
      </c>
      <c r="GEU121" s="285" t="s">
        <v>376</v>
      </c>
      <c r="GEV121" s="285" t="s">
        <v>377</v>
      </c>
      <c r="GEW121" s="285" t="s">
        <v>376</v>
      </c>
      <c r="GEX121" s="285" t="s">
        <v>377</v>
      </c>
      <c r="GEY121" s="285" t="s">
        <v>376</v>
      </c>
      <c r="GEZ121" s="285" t="s">
        <v>377</v>
      </c>
      <c r="GFA121" s="285" t="s">
        <v>376</v>
      </c>
      <c r="GFB121" s="285" t="s">
        <v>377</v>
      </c>
      <c r="GFC121" s="285" t="s">
        <v>376</v>
      </c>
      <c r="GFD121" s="285" t="s">
        <v>377</v>
      </c>
      <c r="GFE121" s="285" t="s">
        <v>376</v>
      </c>
      <c r="GFF121" s="285" t="s">
        <v>377</v>
      </c>
      <c r="GFG121" s="285" t="s">
        <v>376</v>
      </c>
      <c r="GFH121" s="285" t="s">
        <v>377</v>
      </c>
      <c r="GFI121" s="285" t="s">
        <v>376</v>
      </c>
      <c r="GFJ121" s="285" t="s">
        <v>377</v>
      </c>
      <c r="GFK121" s="285" t="s">
        <v>376</v>
      </c>
      <c r="GFL121" s="285" t="s">
        <v>377</v>
      </c>
      <c r="GFM121" s="285" t="s">
        <v>376</v>
      </c>
      <c r="GFN121" s="285" t="s">
        <v>377</v>
      </c>
      <c r="GFO121" s="285" t="s">
        <v>376</v>
      </c>
      <c r="GFP121" s="285" t="s">
        <v>377</v>
      </c>
      <c r="GFQ121" s="285" t="s">
        <v>376</v>
      </c>
      <c r="GFR121" s="285" t="s">
        <v>377</v>
      </c>
      <c r="GFS121" s="285" t="s">
        <v>376</v>
      </c>
      <c r="GFT121" s="285" t="s">
        <v>377</v>
      </c>
      <c r="GFU121" s="285" t="s">
        <v>376</v>
      </c>
      <c r="GFV121" s="285" t="s">
        <v>377</v>
      </c>
      <c r="GFW121" s="285" t="s">
        <v>376</v>
      </c>
      <c r="GFX121" s="285" t="s">
        <v>377</v>
      </c>
      <c r="GFY121" s="285" t="s">
        <v>376</v>
      </c>
      <c r="GFZ121" s="285" t="s">
        <v>377</v>
      </c>
      <c r="GGA121" s="285" t="s">
        <v>376</v>
      </c>
      <c r="GGB121" s="285" t="s">
        <v>377</v>
      </c>
      <c r="GGC121" s="285" t="s">
        <v>376</v>
      </c>
      <c r="GGD121" s="285" t="s">
        <v>377</v>
      </c>
      <c r="GGE121" s="285" t="s">
        <v>376</v>
      </c>
      <c r="GGF121" s="285" t="s">
        <v>377</v>
      </c>
      <c r="GGG121" s="285" t="s">
        <v>376</v>
      </c>
      <c r="GGH121" s="285" t="s">
        <v>377</v>
      </c>
      <c r="GGI121" s="285" t="s">
        <v>376</v>
      </c>
      <c r="GGJ121" s="285" t="s">
        <v>377</v>
      </c>
      <c r="GGK121" s="285" t="s">
        <v>376</v>
      </c>
      <c r="GGL121" s="285" t="s">
        <v>377</v>
      </c>
      <c r="GGM121" s="285" t="s">
        <v>376</v>
      </c>
      <c r="GGN121" s="285" t="s">
        <v>377</v>
      </c>
      <c r="GGO121" s="285" t="s">
        <v>376</v>
      </c>
      <c r="GGP121" s="285" t="s">
        <v>377</v>
      </c>
      <c r="GGQ121" s="285" t="s">
        <v>376</v>
      </c>
      <c r="GGR121" s="285" t="s">
        <v>377</v>
      </c>
      <c r="GGS121" s="285" t="s">
        <v>376</v>
      </c>
      <c r="GGT121" s="285" t="s">
        <v>377</v>
      </c>
      <c r="GGU121" s="285" t="s">
        <v>376</v>
      </c>
      <c r="GGV121" s="285" t="s">
        <v>377</v>
      </c>
      <c r="GGW121" s="285" t="s">
        <v>376</v>
      </c>
      <c r="GGX121" s="285" t="s">
        <v>377</v>
      </c>
      <c r="GGY121" s="285" t="s">
        <v>376</v>
      </c>
      <c r="GGZ121" s="285" t="s">
        <v>377</v>
      </c>
      <c r="GHA121" s="285" t="s">
        <v>376</v>
      </c>
      <c r="GHB121" s="285" t="s">
        <v>377</v>
      </c>
      <c r="GHC121" s="285" t="s">
        <v>376</v>
      </c>
      <c r="GHD121" s="285" t="s">
        <v>377</v>
      </c>
      <c r="GHE121" s="285" t="s">
        <v>376</v>
      </c>
      <c r="GHF121" s="285" t="s">
        <v>377</v>
      </c>
      <c r="GHG121" s="285" t="s">
        <v>376</v>
      </c>
      <c r="GHH121" s="285" t="s">
        <v>377</v>
      </c>
      <c r="GHI121" s="285" t="s">
        <v>376</v>
      </c>
      <c r="GHJ121" s="285" t="s">
        <v>377</v>
      </c>
      <c r="GHK121" s="285" t="s">
        <v>376</v>
      </c>
      <c r="GHL121" s="285" t="s">
        <v>377</v>
      </c>
      <c r="GHM121" s="285" t="s">
        <v>376</v>
      </c>
      <c r="GHN121" s="285" t="s">
        <v>377</v>
      </c>
      <c r="GHO121" s="285" t="s">
        <v>376</v>
      </c>
      <c r="GHP121" s="285" t="s">
        <v>377</v>
      </c>
      <c r="GHQ121" s="285" t="s">
        <v>376</v>
      </c>
      <c r="GHR121" s="285" t="s">
        <v>377</v>
      </c>
      <c r="GHS121" s="285" t="s">
        <v>376</v>
      </c>
      <c r="GHT121" s="285" t="s">
        <v>377</v>
      </c>
      <c r="GHU121" s="285" t="s">
        <v>376</v>
      </c>
      <c r="GHV121" s="285" t="s">
        <v>377</v>
      </c>
      <c r="GHW121" s="285" t="s">
        <v>376</v>
      </c>
      <c r="GHX121" s="285" t="s">
        <v>377</v>
      </c>
      <c r="GHY121" s="285" t="s">
        <v>376</v>
      </c>
      <c r="GHZ121" s="285" t="s">
        <v>377</v>
      </c>
      <c r="GIA121" s="285" t="s">
        <v>376</v>
      </c>
      <c r="GIB121" s="285" t="s">
        <v>377</v>
      </c>
      <c r="GIC121" s="285" t="s">
        <v>376</v>
      </c>
      <c r="GID121" s="285" t="s">
        <v>377</v>
      </c>
      <c r="GIE121" s="285" t="s">
        <v>376</v>
      </c>
      <c r="GIF121" s="285" t="s">
        <v>377</v>
      </c>
      <c r="GIG121" s="285" t="s">
        <v>376</v>
      </c>
      <c r="GIH121" s="285" t="s">
        <v>377</v>
      </c>
      <c r="GII121" s="285" t="s">
        <v>376</v>
      </c>
      <c r="GIJ121" s="285" t="s">
        <v>377</v>
      </c>
      <c r="GIK121" s="285" t="s">
        <v>376</v>
      </c>
      <c r="GIL121" s="285" t="s">
        <v>377</v>
      </c>
      <c r="GIM121" s="285" t="s">
        <v>376</v>
      </c>
      <c r="GIN121" s="285" t="s">
        <v>377</v>
      </c>
      <c r="GIO121" s="285" t="s">
        <v>376</v>
      </c>
      <c r="GIP121" s="285" t="s">
        <v>377</v>
      </c>
      <c r="GIQ121" s="285" t="s">
        <v>376</v>
      </c>
      <c r="GIR121" s="285" t="s">
        <v>377</v>
      </c>
      <c r="GIS121" s="285" t="s">
        <v>376</v>
      </c>
      <c r="GIT121" s="285" t="s">
        <v>377</v>
      </c>
      <c r="GIU121" s="285" t="s">
        <v>376</v>
      </c>
      <c r="GIV121" s="285" t="s">
        <v>377</v>
      </c>
      <c r="GIW121" s="285" t="s">
        <v>376</v>
      </c>
      <c r="GIX121" s="285" t="s">
        <v>377</v>
      </c>
      <c r="GIY121" s="285" t="s">
        <v>376</v>
      </c>
      <c r="GIZ121" s="285" t="s">
        <v>377</v>
      </c>
      <c r="GJA121" s="285" t="s">
        <v>376</v>
      </c>
      <c r="GJB121" s="285" t="s">
        <v>377</v>
      </c>
      <c r="GJC121" s="285" t="s">
        <v>376</v>
      </c>
      <c r="GJD121" s="285" t="s">
        <v>377</v>
      </c>
      <c r="GJE121" s="285" t="s">
        <v>376</v>
      </c>
      <c r="GJF121" s="285" t="s">
        <v>377</v>
      </c>
      <c r="GJG121" s="285" t="s">
        <v>376</v>
      </c>
      <c r="GJH121" s="285" t="s">
        <v>377</v>
      </c>
      <c r="GJI121" s="285" t="s">
        <v>376</v>
      </c>
      <c r="GJJ121" s="285" t="s">
        <v>377</v>
      </c>
      <c r="GJK121" s="285" t="s">
        <v>376</v>
      </c>
      <c r="GJL121" s="285" t="s">
        <v>377</v>
      </c>
      <c r="GJM121" s="285" t="s">
        <v>376</v>
      </c>
      <c r="GJN121" s="285" t="s">
        <v>377</v>
      </c>
      <c r="GJO121" s="285" t="s">
        <v>376</v>
      </c>
      <c r="GJP121" s="285" t="s">
        <v>377</v>
      </c>
      <c r="GJQ121" s="285" t="s">
        <v>376</v>
      </c>
      <c r="GJR121" s="285" t="s">
        <v>377</v>
      </c>
      <c r="GJS121" s="285" t="s">
        <v>376</v>
      </c>
      <c r="GJT121" s="285" t="s">
        <v>377</v>
      </c>
      <c r="GJU121" s="285" t="s">
        <v>376</v>
      </c>
      <c r="GJV121" s="285" t="s">
        <v>377</v>
      </c>
      <c r="GJW121" s="285" t="s">
        <v>376</v>
      </c>
      <c r="GJX121" s="285" t="s">
        <v>377</v>
      </c>
      <c r="GJY121" s="285" t="s">
        <v>376</v>
      </c>
      <c r="GJZ121" s="285" t="s">
        <v>377</v>
      </c>
      <c r="GKA121" s="285" t="s">
        <v>376</v>
      </c>
      <c r="GKB121" s="285" t="s">
        <v>377</v>
      </c>
      <c r="GKC121" s="285" t="s">
        <v>376</v>
      </c>
      <c r="GKD121" s="285" t="s">
        <v>377</v>
      </c>
      <c r="GKE121" s="285" t="s">
        <v>376</v>
      </c>
      <c r="GKF121" s="285" t="s">
        <v>377</v>
      </c>
      <c r="GKG121" s="285" t="s">
        <v>376</v>
      </c>
      <c r="GKH121" s="285" t="s">
        <v>377</v>
      </c>
      <c r="GKI121" s="285" t="s">
        <v>376</v>
      </c>
      <c r="GKJ121" s="285" t="s">
        <v>377</v>
      </c>
      <c r="GKK121" s="285" t="s">
        <v>376</v>
      </c>
      <c r="GKL121" s="285" t="s">
        <v>377</v>
      </c>
      <c r="GKM121" s="285" t="s">
        <v>376</v>
      </c>
      <c r="GKN121" s="285" t="s">
        <v>377</v>
      </c>
      <c r="GKO121" s="285" t="s">
        <v>376</v>
      </c>
      <c r="GKP121" s="285" t="s">
        <v>377</v>
      </c>
      <c r="GKQ121" s="285" t="s">
        <v>376</v>
      </c>
      <c r="GKR121" s="285" t="s">
        <v>377</v>
      </c>
      <c r="GKS121" s="285" t="s">
        <v>376</v>
      </c>
      <c r="GKT121" s="285" t="s">
        <v>377</v>
      </c>
      <c r="GKU121" s="285" t="s">
        <v>376</v>
      </c>
      <c r="GKV121" s="285" t="s">
        <v>377</v>
      </c>
      <c r="GKW121" s="285" t="s">
        <v>376</v>
      </c>
      <c r="GKX121" s="285" t="s">
        <v>377</v>
      </c>
      <c r="GKY121" s="285" t="s">
        <v>376</v>
      </c>
      <c r="GKZ121" s="285" t="s">
        <v>377</v>
      </c>
      <c r="GLA121" s="285" t="s">
        <v>376</v>
      </c>
      <c r="GLB121" s="285" t="s">
        <v>377</v>
      </c>
      <c r="GLC121" s="285" t="s">
        <v>376</v>
      </c>
      <c r="GLD121" s="285" t="s">
        <v>377</v>
      </c>
      <c r="GLE121" s="285" t="s">
        <v>376</v>
      </c>
      <c r="GLF121" s="285" t="s">
        <v>377</v>
      </c>
      <c r="GLG121" s="285" t="s">
        <v>376</v>
      </c>
      <c r="GLH121" s="285" t="s">
        <v>377</v>
      </c>
      <c r="GLI121" s="285" t="s">
        <v>376</v>
      </c>
      <c r="GLJ121" s="285" t="s">
        <v>377</v>
      </c>
      <c r="GLK121" s="285" t="s">
        <v>376</v>
      </c>
      <c r="GLL121" s="285" t="s">
        <v>377</v>
      </c>
      <c r="GLM121" s="285" t="s">
        <v>376</v>
      </c>
      <c r="GLN121" s="285" t="s">
        <v>377</v>
      </c>
      <c r="GLO121" s="285" t="s">
        <v>376</v>
      </c>
      <c r="GLP121" s="285" t="s">
        <v>377</v>
      </c>
      <c r="GLQ121" s="285" t="s">
        <v>376</v>
      </c>
      <c r="GLR121" s="285" t="s">
        <v>377</v>
      </c>
      <c r="GLS121" s="285" t="s">
        <v>376</v>
      </c>
      <c r="GLT121" s="285" t="s">
        <v>377</v>
      </c>
      <c r="GLU121" s="285" t="s">
        <v>376</v>
      </c>
      <c r="GLV121" s="285" t="s">
        <v>377</v>
      </c>
      <c r="GLW121" s="285" t="s">
        <v>376</v>
      </c>
      <c r="GLX121" s="285" t="s">
        <v>377</v>
      </c>
      <c r="GLY121" s="285" t="s">
        <v>376</v>
      </c>
      <c r="GLZ121" s="285" t="s">
        <v>377</v>
      </c>
      <c r="GMA121" s="285" t="s">
        <v>376</v>
      </c>
      <c r="GMB121" s="285" t="s">
        <v>377</v>
      </c>
      <c r="GMC121" s="285" t="s">
        <v>376</v>
      </c>
      <c r="GMD121" s="285" t="s">
        <v>377</v>
      </c>
      <c r="GME121" s="285" t="s">
        <v>376</v>
      </c>
      <c r="GMF121" s="285" t="s">
        <v>377</v>
      </c>
      <c r="GMG121" s="285" t="s">
        <v>376</v>
      </c>
      <c r="GMH121" s="285" t="s">
        <v>377</v>
      </c>
      <c r="GMI121" s="285" t="s">
        <v>376</v>
      </c>
      <c r="GMJ121" s="285" t="s">
        <v>377</v>
      </c>
      <c r="GMK121" s="285" t="s">
        <v>376</v>
      </c>
      <c r="GML121" s="285" t="s">
        <v>377</v>
      </c>
      <c r="GMM121" s="285" t="s">
        <v>376</v>
      </c>
      <c r="GMN121" s="285" t="s">
        <v>377</v>
      </c>
      <c r="GMO121" s="285" t="s">
        <v>376</v>
      </c>
      <c r="GMP121" s="285" t="s">
        <v>377</v>
      </c>
      <c r="GMQ121" s="285" t="s">
        <v>376</v>
      </c>
      <c r="GMR121" s="285" t="s">
        <v>377</v>
      </c>
      <c r="GMS121" s="285" t="s">
        <v>376</v>
      </c>
      <c r="GMT121" s="285" t="s">
        <v>377</v>
      </c>
      <c r="GMU121" s="285" t="s">
        <v>376</v>
      </c>
      <c r="GMV121" s="285" t="s">
        <v>377</v>
      </c>
      <c r="GMW121" s="285" t="s">
        <v>376</v>
      </c>
      <c r="GMX121" s="285" t="s">
        <v>377</v>
      </c>
      <c r="GMY121" s="285" t="s">
        <v>376</v>
      </c>
      <c r="GMZ121" s="285" t="s">
        <v>377</v>
      </c>
      <c r="GNA121" s="285" t="s">
        <v>376</v>
      </c>
      <c r="GNB121" s="285" t="s">
        <v>377</v>
      </c>
      <c r="GNC121" s="285" t="s">
        <v>376</v>
      </c>
      <c r="GND121" s="285" t="s">
        <v>377</v>
      </c>
      <c r="GNE121" s="285" t="s">
        <v>376</v>
      </c>
      <c r="GNF121" s="285" t="s">
        <v>377</v>
      </c>
      <c r="GNG121" s="285" t="s">
        <v>376</v>
      </c>
      <c r="GNH121" s="285" t="s">
        <v>377</v>
      </c>
      <c r="GNI121" s="285" t="s">
        <v>376</v>
      </c>
      <c r="GNJ121" s="285" t="s">
        <v>377</v>
      </c>
      <c r="GNK121" s="285" t="s">
        <v>376</v>
      </c>
      <c r="GNL121" s="285" t="s">
        <v>377</v>
      </c>
      <c r="GNM121" s="285" t="s">
        <v>376</v>
      </c>
      <c r="GNN121" s="285" t="s">
        <v>377</v>
      </c>
      <c r="GNO121" s="285" t="s">
        <v>376</v>
      </c>
      <c r="GNP121" s="285" t="s">
        <v>377</v>
      </c>
      <c r="GNQ121" s="285" t="s">
        <v>376</v>
      </c>
      <c r="GNR121" s="285" t="s">
        <v>377</v>
      </c>
      <c r="GNS121" s="285" t="s">
        <v>376</v>
      </c>
      <c r="GNT121" s="285" t="s">
        <v>377</v>
      </c>
      <c r="GNU121" s="285" t="s">
        <v>376</v>
      </c>
      <c r="GNV121" s="285" t="s">
        <v>377</v>
      </c>
      <c r="GNW121" s="285" t="s">
        <v>376</v>
      </c>
      <c r="GNX121" s="285" t="s">
        <v>377</v>
      </c>
      <c r="GNY121" s="285" t="s">
        <v>376</v>
      </c>
      <c r="GNZ121" s="285" t="s">
        <v>377</v>
      </c>
      <c r="GOA121" s="285" t="s">
        <v>376</v>
      </c>
      <c r="GOB121" s="285" t="s">
        <v>377</v>
      </c>
      <c r="GOC121" s="285" t="s">
        <v>376</v>
      </c>
      <c r="GOD121" s="285" t="s">
        <v>377</v>
      </c>
      <c r="GOE121" s="285" t="s">
        <v>376</v>
      </c>
      <c r="GOF121" s="285" t="s">
        <v>377</v>
      </c>
      <c r="GOG121" s="285" t="s">
        <v>376</v>
      </c>
      <c r="GOH121" s="285" t="s">
        <v>377</v>
      </c>
      <c r="GOI121" s="285" t="s">
        <v>376</v>
      </c>
      <c r="GOJ121" s="285" t="s">
        <v>377</v>
      </c>
      <c r="GOK121" s="285" t="s">
        <v>376</v>
      </c>
      <c r="GOL121" s="285" t="s">
        <v>377</v>
      </c>
      <c r="GOM121" s="285" t="s">
        <v>376</v>
      </c>
      <c r="GON121" s="285" t="s">
        <v>377</v>
      </c>
      <c r="GOO121" s="285" t="s">
        <v>376</v>
      </c>
      <c r="GOP121" s="285" t="s">
        <v>377</v>
      </c>
      <c r="GOQ121" s="285" t="s">
        <v>376</v>
      </c>
      <c r="GOR121" s="285" t="s">
        <v>377</v>
      </c>
      <c r="GOS121" s="285" t="s">
        <v>376</v>
      </c>
      <c r="GOT121" s="285" t="s">
        <v>377</v>
      </c>
      <c r="GOU121" s="285" t="s">
        <v>376</v>
      </c>
      <c r="GOV121" s="285" t="s">
        <v>377</v>
      </c>
      <c r="GOW121" s="285" t="s">
        <v>376</v>
      </c>
      <c r="GOX121" s="285" t="s">
        <v>377</v>
      </c>
      <c r="GOY121" s="285" t="s">
        <v>376</v>
      </c>
      <c r="GOZ121" s="285" t="s">
        <v>377</v>
      </c>
      <c r="GPA121" s="285" t="s">
        <v>376</v>
      </c>
      <c r="GPB121" s="285" t="s">
        <v>377</v>
      </c>
      <c r="GPC121" s="285" t="s">
        <v>376</v>
      </c>
      <c r="GPD121" s="285" t="s">
        <v>377</v>
      </c>
      <c r="GPE121" s="285" t="s">
        <v>376</v>
      </c>
      <c r="GPF121" s="285" t="s">
        <v>377</v>
      </c>
      <c r="GPG121" s="285" t="s">
        <v>376</v>
      </c>
      <c r="GPH121" s="285" t="s">
        <v>377</v>
      </c>
      <c r="GPI121" s="285" t="s">
        <v>376</v>
      </c>
      <c r="GPJ121" s="285" t="s">
        <v>377</v>
      </c>
      <c r="GPK121" s="285" t="s">
        <v>376</v>
      </c>
      <c r="GPL121" s="285" t="s">
        <v>377</v>
      </c>
      <c r="GPM121" s="285" t="s">
        <v>376</v>
      </c>
      <c r="GPN121" s="285" t="s">
        <v>377</v>
      </c>
      <c r="GPO121" s="285" t="s">
        <v>376</v>
      </c>
      <c r="GPP121" s="285" t="s">
        <v>377</v>
      </c>
      <c r="GPQ121" s="285" t="s">
        <v>376</v>
      </c>
      <c r="GPR121" s="285" t="s">
        <v>377</v>
      </c>
      <c r="GPS121" s="285" t="s">
        <v>376</v>
      </c>
      <c r="GPT121" s="285" t="s">
        <v>377</v>
      </c>
      <c r="GPU121" s="285" t="s">
        <v>376</v>
      </c>
      <c r="GPV121" s="285" t="s">
        <v>377</v>
      </c>
      <c r="GPW121" s="285" t="s">
        <v>376</v>
      </c>
      <c r="GPX121" s="285" t="s">
        <v>377</v>
      </c>
      <c r="GPY121" s="285" t="s">
        <v>376</v>
      </c>
      <c r="GPZ121" s="285" t="s">
        <v>377</v>
      </c>
      <c r="GQA121" s="285" t="s">
        <v>376</v>
      </c>
      <c r="GQB121" s="285" t="s">
        <v>377</v>
      </c>
      <c r="GQC121" s="285" t="s">
        <v>376</v>
      </c>
      <c r="GQD121" s="285" t="s">
        <v>377</v>
      </c>
      <c r="GQE121" s="285" t="s">
        <v>376</v>
      </c>
      <c r="GQF121" s="285" t="s">
        <v>377</v>
      </c>
      <c r="GQG121" s="285" t="s">
        <v>376</v>
      </c>
      <c r="GQH121" s="285" t="s">
        <v>377</v>
      </c>
      <c r="GQI121" s="285" t="s">
        <v>376</v>
      </c>
      <c r="GQJ121" s="285" t="s">
        <v>377</v>
      </c>
      <c r="GQK121" s="285" t="s">
        <v>376</v>
      </c>
      <c r="GQL121" s="285" t="s">
        <v>377</v>
      </c>
      <c r="GQM121" s="285" t="s">
        <v>376</v>
      </c>
      <c r="GQN121" s="285" t="s">
        <v>377</v>
      </c>
      <c r="GQO121" s="285" t="s">
        <v>376</v>
      </c>
      <c r="GQP121" s="285" t="s">
        <v>377</v>
      </c>
      <c r="GQQ121" s="285" t="s">
        <v>376</v>
      </c>
      <c r="GQR121" s="285" t="s">
        <v>377</v>
      </c>
      <c r="GQS121" s="285" t="s">
        <v>376</v>
      </c>
      <c r="GQT121" s="285" t="s">
        <v>377</v>
      </c>
      <c r="GQU121" s="285" t="s">
        <v>376</v>
      </c>
      <c r="GQV121" s="285" t="s">
        <v>377</v>
      </c>
      <c r="GQW121" s="285" t="s">
        <v>376</v>
      </c>
      <c r="GQX121" s="285" t="s">
        <v>377</v>
      </c>
      <c r="GQY121" s="285" t="s">
        <v>376</v>
      </c>
      <c r="GQZ121" s="285" t="s">
        <v>377</v>
      </c>
      <c r="GRA121" s="285" t="s">
        <v>376</v>
      </c>
      <c r="GRB121" s="285" t="s">
        <v>377</v>
      </c>
      <c r="GRC121" s="285" t="s">
        <v>376</v>
      </c>
      <c r="GRD121" s="285" t="s">
        <v>377</v>
      </c>
      <c r="GRE121" s="285" t="s">
        <v>376</v>
      </c>
      <c r="GRF121" s="285" t="s">
        <v>377</v>
      </c>
      <c r="GRG121" s="285" t="s">
        <v>376</v>
      </c>
      <c r="GRH121" s="285" t="s">
        <v>377</v>
      </c>
      <c r="GRI121" s="285" t="s">
        <v>376</v>
      </c>
      <c r="GRJ121" s="285" t="s">
        <v>377</v>
      </c>
      <c r="GRK121" s="285" t="s">
        <v>376</v>
      </c>
      <c r="GRL121" s="285" t="s">
        <v>377</v>
      </c>
      <c r="GRM121" s="285" t="s">
        <v>376</v>
      </c>
      <c r="GRN121" s="285" t="s">
        <v>377</v>
      </c>
      <c r="GRO121" s="285" t="s">
        <v>376</v>
      </c>
      <c r="GRP121" s="285" t="s">
        <v>377</v>
      </c>
      <c r="GRQ121" s="285" t="s">
        <v>376</v>
      </c>
      <c r="GRR121" s="285" t="s">
        <v>377</v>
      </c>
      <c r="GRS121" s="285" t="s">
        <v>376</v>
      </c>
      <c r="GRT121" s="285" t="s">
        <v>377</v>
      </c>
      <c r="GRU121" s="285" t="s">
        <v>376</v>
      </c>
      <c r="GRV121" s="285" t="s">
        <v>377</v>
      </c>
      <c r="GRW121" s="285" t="s">
        <v>376</v>
      </c>
      <c r="GRX121" s="285" t="s">
        <v>377</v>
      </c>
      <c r="GRY121" s="285" t="s">
        <v>376</v>
      </c>
      <c r="GRZ121" s="285" t="s">
        <v>377</v>
      </c>
      <c r="GSA121" s="285" t="s">
        <v>376</v>
      </c>
      <c r="GSB121" s="285" t="s">
        <v>377</v>
      </c>
      <c r="GSC121" s="285" t="s">
        <v>376</v>
      </c>
      <c r="GSD121" s="285" t="s">
        <v>377</v>
      </c>
      <c r="GSE121" s="285" t="s">
        <v>376</v>
      </c>
      <c r="GSF121" s="285" t="s">
        <v>377</v>
      </c>
      <c r="GSG121" s="285" t="s">
        <v>376</v>
      </c>
      <c r="GSH121" s="285" t="s">
        <v>377</v>
      </c>
      <c r="GSI121" s="285" t="s">
        <v>376</v>
      </c>
      <c r="GSJ121" s="285" t="s">
        <v>377</v>
      </c>
      <c r="GSK121" s="285" t="s">
        <v>376</v>
      </c>
      <c r="GSL121" s="285" t="s">
        <v>377</v>
      </c>
      <c r="GSM121" s="285" t="s">
        <v>376</v>
      </c>
      <c r="GSN121" s="285" t="s">
        <v>377</v>
      </c>
      <c r="GSO121" s="285" t="s">
        <v>376</v>
      </c>
      <c r="GSP121" s="285" t="s">
        <v>377</v>
      </c>
      <c r="GSQ121" s="285" t="s">
        <v>376</v>
      </c>
      <c r="GSR121" s="285" t="s">
        <v>377</v>
      </c>
      <c r="GSS121" s="285" t="s">
        <v>376</v>
      </c>
      <c r="GST121" s="285" t="s">
        <v>377</v>
      </c>
      <c r="GSU121" s="285" t="s">
        <v>376</v>
      </c>
      <c r="GSV121" s="285" t="s">
        <v>377</v>
      </c>
      <c r="GSW121" s="285" t="s">
        <v>376</v>
      </c>
      <c r="GSX121" s="285" t="s">
        <v>377</v>
      </c>
      <c r="GSY121" s="285" t="s">
        <v>376</v>
      </c>
      <c r="GSZ121" s="285" t="s">
        <v>377</v>
      </c>
      <c r="GTA121" s="285" t="s">
        <v>376</v>
      </c>
      <c r="GTB121" s="285" t="s">
        <v>377</v>
      </c>
      <c r="GTC121" s="285" t="s">
        <v>376</v>
      </c>
      <c r="GTD121" s="285" t="s">
        <v>377</v>
      </c>
      <c r="GTE121" s="285" t="s">
        <v>376</v>
      </c>
      <c r="GTF121" s="285" t="s">
        <v>377</v>
      </c>
      <c r="GTG121" s="285" t="s">
        <v>376</v>
      </c>
      <c r="GTH121" s="285" t="s">
        <v>377</v>
      </c>
      <c r="GTI121" s="285" t="s">
        <v>376</v>
      </c>
      <c r="GTJ121" s="285" t="s">
        <v>377</v>
      </c>
      <c r="GTK121" s="285" t="s">
        <v>376</v>
      </c>
      <c r="GTL121" s="285" t="s">
        <v>377</v>
      </c>
      <c r="GTM121" s="285" t="s">
        <v>376</v>
      </c>
      <c r="GTN121" s="285" t="s">
        <v>377</v>
      </c>
      <c r="GTO121" s="285" t="s">
        <v>376</v>
      </c>
      <c r="GTP121" s="285" t="s">
        <v>377</v>
      </c>
      <c r="GTQ121" s="285" t="s">
        <v>376</v>
      </c>
      <c r="GTR121" s="285" t="s">
        <v>377</v>
      </c>
      <c r="GTS121" s="285" t="s">
        <v>376</v>
      </c>
      <c r="GTT121" s="285" t="s">
        <v>377</v>
      </c>
      <c r="GTU121" s="285" t="s">
        <v>376</v>
      </c>
      <c r="GTV121" s="285" t="s">
        <v>377</v>
      </c>
      <c r="GTW121" s="285" t="s">
        <v>376</v>
      </c>
      <c r="GTX121" s="285" t="s">
        <v>377</v>
      </c>
      <c r="GTY121" s="285" t="s">
        <v>376</v>
      </c>
      <c r="GTZ121" s="285" t="s">
        <v>377</v>
      </c>
      <c r="GUA121" s="285" t="s">
        <v>376</v>
      </c>
      <c r="GUB121" s="285" t="s">
        <v>377</v>
      </c>
      <c r="GUC121" s="285" t="s">
        <v>376</v>
      </c>
      <c r="GUD121" s="285" t="s">
        <v>377</v>
      </c>
      <c r="GUE121" s="285" t="s">
        <v>376</v>
      </c>
      <c r="GUF121" s="285" t="s">
        <v>377</v>
      </c>
      <c r="GUG121" s="285" t="s">
        <v>376</v>
      </c>
      <c r="GUH121" s="285" t="s">
        <v>377</v>
      </c>
      <c r="GUI121" s="285" t="s">
        <v>376</v>
      </c>
      <c r="GUJ121" s="285" t="s">
        <v>377</v>
      </c>
      <c r="GUK121" s="285" t="s">
        <v>376</v>
      </c>
      <c r="GUL121" s="285" t="s">
        <v>377</v>
      </c>
      <c r="GUM121" s="285" t="s">
        <v>376</v>
      </c>
      <c r="GUN121" s="285" t="s">
        <v>377</v>
      </c>
      <c r="GUO121" s="285" t="s">
        <v>376</v>
      </c>
      <c r="GUP121" s="285" t="s">
        <v>377</v>
      </c>
      <c r="GUQ121" s="285" t="s">
        <v>376</v>
      </c>
      <c r="GUR121" s="285" t="s">
        <v>377</v>
      </c>
      <c r="GUS121" s="285" t="s">
        <v>376</v>
      </c>
      <c r="GUT121" s="285" t="s">
        <v>377</v>
      </c>
      <c r="GUU121" s="285" t="s">
        <v>376</v>
      </c>
      <c r="GUV121" s="285" t="s">
        <v>377</v>
      </c>
      <c r="GUW121" s="285" t="s">
        <v>376</v>
      </c>
      <c r="GUX121" s="285" t="s">
        <v>377</v>
      </c>
      <c r="GUY121" s="285" t="s">
        <v>376</v>
      </c>
      <c r="GUZ121" s="285" t="s">
        <v>377</v>
      </c>
      <c r="GVA121" s="285" t="s">
        <v>376</v>
      </c>
      <c r="GVB121" s="285" t="s">
        <v>377</v>
      </c>
      <c r="GVC121" s="285" t="s">
        <v>376</v>
      </c>
      <c r="GVD121" s="285" t="s">
        <v>377</v>
      </c>
      <c r="GVE121" s="285" t="s">
        <v>376</v>
      </c>
      <c r="GVF121" s="285" t="s">
        <v>377</v>
      </c>
      <c r="GVG121" s="285" t="s">
        <v>376</v>
      </c>
      <c r="GVH121" s="285" t="s">
        <v>377</v>
      </c>
      <c r="GVI121" s="285" t="s">
        <v>376</v>
      </c>
      <c r="GVJ121" s="285" t="s">
        <v>377</v>
      </c>
      <c r="GVK121" s="285" t="s">
        <v>376</v>
      </c>
      <c r="GVL121" s="285" t="s">
        <v>377</v>
      </c>
      <c r="GVM121" s="285" t="s">
        <v>376</v>
      </c>
      <c r="GVN121" s="285" t="s">
        <v>377</v>
      </c>
      <c r="GVO121" s="285" t="s">
        <v>376</v>
      </c>
      <c r="GVP121" s="285" t="s">
        <v>377</v>
      </c>
      <c r="GVQ121" s="285" t="s">
        <v>376</v>
      </c>
      <c r="GVR121" s="285" t="s">
        <v>377</v>
      </c>
      <c r="GVS121" s="285" t="s">
        <v>376</v>
      </c>
      <c r="GVT121" s="285" t="s">
        <v>377</v>
      </c>
      <c r="GVU121" s="285" t="s">
        <v>376</v>
      </c>
      <c r="GVV121" s="285" t="s">
        <v>377</v>
      </c>
      <c r="GVW121" s="285" t="s">
        <v>376</v>
      </c>
      <c r="GVX121" s="285" t="s">
        <v>377</v>
      </c>
      <c r="GVY121" s="285" t="s">
        <v>376</v>
      </c>
      <c r="GVZ121" s="285" t="s">
        <v>377</v>
      </c>
      <c r="GWA121" s="285" t="s">
        <v>376</v>
      </c>
      <c r="GWB121" s="285" t="s">
        <v>377</v>
      </c>
      <c r="GWC121" s="285" t="s">
        <v>376</v>
      </c>
      <c r="GWD121" s="285" t="s">
        <v>377</v>
      </c>
      <c r="GWE121" s="285" t="s">
        <v>376</v>
      </c>
      <c r="GWF121" s="285" t="s">
        <v>377</v>
      </c>
      <c r="GWG121" s="285" t="s">
        <v>376</v>
      </c>
      <c r="GWH121" s="285" t="s">
        <v>377</v>
      </c>
      <c r="GWI121" s="285" t="s">
        <v>376</v>
      </c>
      <c r="GWJ121" s="285" t="s">
        <v>377</v>
      </c>
      <c r="GWK121" s="285" t="s">
        <v>376</v>
      </c>
      <c r="GWL121" s="285" t="s">
        <v>377</v>
      </c>
      <c r="GWM121" s="285" t="s">
        <v>376</v>
      </c>
      <c r="GWN121" s="285" t="s">
        <v>377</v>
      </c>
      <c r="GWO121" s="285" t="s">
        <v>376</v>
      </c>
      <c r="GWP121" s="285" t="s">
        <v>377</v>
      </c>
      <c r="GWQ121" s="285" t="s">
        <v>376</v>
      </c>
      <c r="GWR121" s="285" t="s">
        <v>377</v>
      </c>
      <c r="GWS121" s="285" t="s">
        <v>376</v>
      </c>
      <c r="GWT121" s="285" t="s">
        <v>377</v>
      </c>
      <c r="GWU121" s="285" t="s">
        <v>376</v>
      </c>
      <c r="GWV121" s="285" t="s">
        <v>377</v>
      </c>
      <c r="GWW121" s="285" t="s">
        <v>376</v>
      </c>
      <c r="GWX121" s="285" t="s">
        <v>377</v>
      </c>
      <c r="GWY121" s="285" t="s">
        <v>376</v>
      </c>
      <c r="GWZ121" s="285" t="s">
        <v>377</v>
      </c>
      <c r="GXA121" s="285" t="s">
        <v>376</v>
      </c>
      <c r="GXB121" s="285" t="s">
        <v>377</v>
      </c>
      <c r="GXC121" s="285" t="s">
        <v>376</v>
      </c>
      <c r="GXD121" s="285" t="s">
        <v>377</v>
      </c>
      <c r="GXE121" s="285" t="s">
        <v>376</v>
      </c>
      <c r="GXF121" s="285" t="s">
        <v>377</v>
      </c>
      <c r="GXG121" s="285" t="s">
        <v>376</v>
      </c>
      <c r="GXH121" s="285" t="s">
        <v>377</v>
      </c>
      <c r="GXI121" s="285" t="s">
        <v>376</v>
      </c>
      <c r="GXJ121" s="285" t="s">
        <v>377</v>
      </c>
      <c r="GXK121" s="285" t="s">
        <v>376</v>
      </c>
      <c r="GXL121" s="285" t="s">
        <v>377</v>
      </c>
      <c r="GXM121" s="285" t="s">
        <v>376</v>
      </c>
      <c r="GXN121" s="285" t="s">
        <v>377</v>
      </c>
      <c r="GXO121" s="285" t="s">
        <v>376</v>
      </c>
      <c r="GXP121" s="285" t="s">
        <v>377</v>
      </c>
      <c r="GXQ121" s="285" t="s">
        <v>376</v>
      </c>
      <c r="GXR121" s="285" t="s">
        <v>377</v>
      </c>
      <c r="GXS121" s="285" t="s">
        <v>376</v>
      </c>
      <c r="GXT121" s="285" t="s">
        <v>377</v>
      </c>
      <c r="GXU121" s="285" t="s">
        <v>376</v>
      </c>
      <c r="GXV121" s="285" t="s">
        <v>377</v>
      </c>
      <c r="GXW121" s="285" t="s">
        <v>376</v>
      </c>
      <c r="GXX121" s="285" t="s">
        <v>377</v>
      </c>
      <c r="GXY121" s="285" t="s">
        <v>376</v>
      </c>
      <c r="GXZ121" s="285" t="s">
        <v>377</v>
      </c>
      <c r="GYA121" s="285" t="s">
        <v>376</v>
      </c>
      <c r="GYB121" s="285" t="s">
        <v>377</v>
      </c>
      <c r="GYC121" s="285" t="s">
        <v>376</v>
      </c>
      <c r="GYD121" s="285" t="s">
        <v>377</v>
      </c>
      <c r="GYE121" s="285" t="s">
        <v>376</v>
      </c>
      <c r="GYF121" s="285" t="s">
        <v>377</v>
      </c>
      <c r="GYG121" s="285" t="s">
        <v>376</v>
      </c>
      <c r="GYH121" s="285" t="s">
        <v>377</v>
      </c>
      <c r="GYI121" s="285" t="s">
        <v>376</v>
      </c>
      <c r="GYJ121" s="285" t="s">
        <v>377</v>
      </c>
      <c r="GYK121" s="285" t="s">
        <v>376</v>
      </c>
      <c r="GYL121" s="285" t="s">
        <v>377</v>
      </c>
      <c r="GYM121" s="285" t="s">
        <v>376</v>
      </c>
      <c r="GYN121" s="285" t="s">
        <v>377</v>
      </c>
      <c r="GYO121" s="285" t="s">
        <v>376</v>
      </c>
      <c r="GYP121" s="285" t="s">
        <v>377</v>
      </c>
      <c r="GYQ121" s="285" t="s">
        <v>376</v>
      </c>
      <c r="GYR121" s="285" t="s">
        <v>377</v>
      </c>
      <c r="GYS121" s="285" t="s">
        <v>376</v>
      </c>
      <c r="GYT121" s="285" t="s">
        <v>377</v>
      </c>
      <c r="GYU121" s="285" t="s">
        <v>376</v>
      </c>
      <c r="GYV121" s="285" t="s">
        <v>377</v>
      </c>
      <c r="GYW121" s="285" t="s">
        <v>376</v>
      </c>
      <c r="GYX121" s="285" t="s">
        <v>377</v>
      </c>
      <c r="GYY121" s="285" t="s">
        <v>376</v>
      </c>
      <c r="GYZ121" s="285" t="s">
        <v>377</v>
      </c>
      <c r="GZA121" s="285" t="s">
        <v>376</v>
      </c>
      <c r="GZB121" s="285" t="s">
        <v>377</v>
      </c>
      <c r="GZC121" s="285" t="s">
        <v>376</v>
      </c>
      <c r="GZD121" s="285" t="s">
        <v>377</v>
      </c>
      <c r="GZE121" s="285" t="s">
        <v>376</v>
      </c>
      <c r="GZF121" s="285" t="s">
        <v>377</v>
      </c>
      <c r="GZG121" s="285" t="s">
        <v>376</v>
      </c>
      <c r="GZH121" s="285" t="s">
        <v>377</v>
      </c>
      <c r="GZI121" s="285" t="s">
        <v>376</v>
      </c>
      <c r="GZJ121" s="285" t="s">
        <v>377</v>
      </c>
      <c r="GZK121" s="285" t="s">
        <v>376</v>
      </c>
      <c r="GZL121" s="285" t="s">
        <v>377</v>
      </c>
      <c r="GZM121" s="285" t="s">
        <v>376</v>
      </c>
      <c r="GZN121" s="285" t="s">
        <v>377</v>
      </c>
      <c r="GZO121" s="285" t="s">
        <v>376</v>
      </c>
      <c r="GZP121" s="285" t="s">
        <v>377</v>
      </c>
      <c r="GZQ121" s="285" t="s">
        <v>376</v>
      </c>
      <c r="GZR121" s="285" t="s">
        <v>377</v>
      </c>
      <c r="GZS121" s="285" t="s">
        <v>376</v>
      </c>
      <c r="GZT121" s="285" t="s">
        <v>377</v>
      </c>
      <c r="GZU121" s="285" t="s">
        <v>376</v>
      </c>
      <c r="GZV121" s="285" t="s">
        <v>377</v>
      </c>
      <c r="GZW121" s="285" t="s">
        <v>376</v>
      </c>
      <c r="GZX121" s="285" t="s">
        <v>377</v>
      </c>
      <c r="GZY121" s="285" t="s">
        <v>376</v>
      </c>
      <c r="GZZ121" s="285" t="s">
        <v>377</v>
      </c>
      <c r="HAA121" s="285" t="s">
        <v>376</v>
      </c>
      <c r="HAB121" s="285" t="s">
        <v>377</v>
      </c>
      <c r="HAC121" s="285" t="s">
        <v>376</v>
      </c>
      <c r="HAD121" s="285" t="s">
        <v>377</v>
      </c>
      <c r="HAE121" s="285" t="s">
        <v>376</v>
      </c>
      <c r="HAF121" s="285" t="s">
        <v>377</v>
      </c>
      <c r="HAG121" s="285" t="s">
        <v>376</v>
      </c>
      <c r="HAH121" s="285" t="s">
        <v>377</v>
      </c>
      <c r="HAI121" s="285" t="s">
        <v>376</v>
      </c>
      <c r="HAJ121" s="285" t="s">
        <v>377</v>
      </c>
      <c r="HAK121" s="285" t="s">
        <v>376</v>
      </c>
      <c r="HAL121" s="285" t="s">
        <v>377</v>
      </c>
      <c r="HAM121" s="285" t="s">
        <v>376</v>
      </c>
      <c r="HAN121" s="285" t="s">
        <v>377</v>
      </c>
      <c r="HAO121" s="285" t="s">
        <v>376</v>
      </c>
      <c r="HAP121" s="285" t="s">
        <v>377</v>
      </c>
      <c r="HAQ121" s="285" t="s">
        <v>376</v>
      </c>
      <c r="HAR121" s="285" t="s">
        <v>377</v>
      </c>
      <c r="HAS121" s="285" t="s">
        <v>376</v>
      </c>
      <c r="HAT121" s="285" t="s">
        <v>377</v>
      </c>
      <c r="HAU121" s="285" t="s">
        <v>376</v>
      </c>
      <c r="HAV121" s="285" t="s">
        <v>377</v>
      </c>
      <c r="HAW121" s="285" t="s">
        <v>376</v>
      </c>
      <c r="HAX121" s="285" t="s">
        <v>377</v>
      </c>
      <c r="HAY121" s="285" t="s">
        <v>376</v>
      </c>
      <c r="HAZ121" s="285" t="s">
        <v>377</v>
      </c>
      <c r="HBA121" s="285" t="s">
        <v>376</v>
      </c>
      <c r="HBB121" s="285" t="s">
        <v>377</v>
      </c>
      <c r="HBC121" s="285" t="s">
        <v>376</v>
      </c>
      <c r="HBD121" s="285" t="s">
        <v>377</v>
      </c>
      <c r="HBE121" s="285" t="s">
        <v>376</v>
      </c>
      <c r="HBF121" s="285" t="s">
        <v>377</v>
      </c>
      <c r="HBG121" s="285" t="s">
        <v>376</v>
      </c>
      <c r="HBH121" s="285" t="s">
        <v>377</v>
      </c>
      <c r="HBI121" s="285" t="s">
        <v>376</v>
      </c>
      <c r="HBJ121" s="285" t="s">
        <v>377</v>
      </c>
      <c r="HBK121" s="285" t="s">
        <v>376</v>
      </c>
      <c r="HBL121" s="285" t="s">
        <v>377</v>
      </c>
      <c r="HBM121" s="285" t="s">
        <v>376</v>
      </c>
      <c r="HBN121" s="285" t="s">
        <v>377</v>
      </c>
      <c r="HBO121" s="285" t="s">
        <v>376</v>
      </c>
      <c r="HBP121" s="285" t="s">
        <v>377</v>
      </c>
      <c r="HBQ121" s="285" t="s">
        <v>376</v>
      </c>
      <c r="HBR121" s="285" t="s">
        <v>377</v>
      </c>
      <c r="HBS121" s="285" t="s">
        <v>376</v>
      </c>
      <c r="HBT121" s="285" t="s">
        <v>377</v>
      </c>
      <c r="HBU121" s="285" t="s">
        <v>376</v>
      </c>
      <c r="HBV121" s="285" t="s">
        <v>377</v>
      </c>
      <c r="HBW121" s="285" t="s">
        <v>376</v>
      </c>
      <c r="HBX121" s="285" t="s">
        <v>377</v>
      </c>
      <c r="HBY121" s="285" t="s">
        <v>376</v>
      </c>
      <c r="HBZ121" s="285" t="s">
        <v>377</v>
      </c>
      <c r="HCA121" s="285" t="s">
        <v>376</v>
      </c>
      <c r="HCB121" s="285" t="s">
        <v>377</v>
      </c>
      <c r="HCC121" s="285" t="s">
        <v>376</v>
      </c>
      <c r="HCD121" s="285" t="s">
        <v>377</v>
      </c>
      <c r="HCE121" s="285" t="s">
        <v>376</v>
      </c>
      <c r="HCF121" s="285" t="s">
        <v>377</v>
      </c>
      <c r="HCG121" s="285" t="s">
        <v>376</v>
      </c>
      <c r="HCH121" s="285" t="s">
        <v>377</v>
      </c>
      <c r="HCI121" s="285" t="s">
        <v>376</v>
      </c>
      <c r="HCJ121" s="285" t="s">
        <v>377</v>
      </c>
      <c r="HCK121" s="285" t="s">
        <v>376</v>
      </c>
      <c r="HCL121" s="285" t="s">
        <v>377</v>
      </c>
      <c r="HCM121" s="285" t="s">
        <v>376</v>
      </c>
      <c r="HCN121" s="285" t="s">
        <v>377</v>
      </c>
      <c r="HCO121" s="285" t="s">
        <v>376</v>
      </c>
      <c r="HCP121" s="285" t="s">
        <v>377</v>
      </c>
      <c r="HCQ121" s="285" t="s">
        <v>376</v>
      </c>
      <c r="HCR121" s="285" t="s">
        <v>377</v>
      </c>
      <c r="HCS121" s="285" t="s">
        <v>376</v>
      </c>
      <c r="HCT121" s="285" t="s">
        <v>377</v>
      </c>
      <c r="HCU121" s="285" t="s">
        <v>376</v>
      </c>
      <c r="HCV121" s="285" t="s">
        <v>377</v>
      </c>
      <c r="HCW121" s="285" t="s">
        <v>376</v>
      </c>
      <c r="HCX121" s="285" t="s">
        <v>377</v>
      </c>
      <c r="HCY121" s="285" t="s">
        <v>376</v>
      </c>
      <c r="HCZ121" s="285" t="s">
        <v>377</v>
      </c>
      <c r="HDA121" s="285" t="s">
        <v>376</v>
      </c>
      <c r="HDB121" s="285" t="s">
        <v>377</v>
      </c>
      <c r="HDC121" s="285" t="s">
        <v>376</v>
      </c>
      <c r="HDD121" s="285" t="s">
        <v>377</v>
      </c>
      <c r="HDE121" s="285" t="s">
        <v>376</v>
      </c>
      <c r="HDF121" s="285" t="s">
        <v>377</v>
      </c>
      <c r="HDG121" s="285" t="s">
        <v>376</v>
      </c>
      <c r="HDH121" s="285" t="s">
        <v>377</v>
      </c>
      <c r="HDI121" s="285" t="s">
        <v>376</v>
      </c>
      <c r="HDJ121" s="285" t="s">
        <v>377</v>
      </c>
      <c r="HDK121" s="285" t="s">
        <v>376</v>
      </c>
      <c r="HDL121" s="285" t="s">
        <v>377</v>
      </c>
      <c r="HDM121" s="285" t="s">
        <v>376</v>
      </c>
      <c r="HDN121" s="285" t="s">
        <v>377</v>
      </c>
      <c r="HDO121" s="285" t="s">
        <v>376</v>
      </c>
      <c r="HDP121" s="285" t="s">
        <v>377</v>
      </c>
      <c r="HDQ121" s="285" t="s">
        <v>376</v>
      </c>
      <c r="HDR121" s="285" t="s">
        <v>377</v>
      </c>
      <c r="HDS121" s="285" t="s">
        <v>376</v>
      </c>
      <c r="HDT121" s="285" t="s">
        <v>377</v>
      </c>
      <c r="HDU121" s="285" t="s">
        <v>376</v>
      </c>
      <c r="HDV121" s="285" t="s">
        <v>377</v>
      </c>
      <c r="HDW121" s="285" t="s">
        <v>376</v>
      </c>
      <c r="HDX121" s="285" t="s">
        <v>377</v>
      </c>
      <c r="HDY121" s="285" t="s">
        <v>376</v>
      </c>
      <c r="HDZ121" s="285" t="s">
        <v>377</v>
      </c>
      <c r="HEA121" s="285" t="s">
        <v>376</v>
      </c>
      <c r="HEB121" s="285" t="s">
        <v>377</v>
      </c>
      <c r="HEC121" s="285" t="s">
        <v>376</v>
      </c>
      <c r="HED121" s="285" t="s">
        <v>377</v>
      </c>
      <c r="HEE121" s="285" t="s">
        <v>376</v>
      </c>
      <c r="HEF121" s="285" t="s">
        <v>377</v>
      </c>
      <c r="HEG121" s="285" t="s">
        <v>376</v>
      </c>
      <c r="HEH121" s="285" t="s">
        <v>377</v>
      </c>
      <c r="HEI121" s="285" t="s">
        <v>376</v>
      </c>
      <c r="HEJ121" s="285" t="s">
        <v>377</v>
      </c>
      <c r="HEK121" s="285" t="s">
        <v>376</v>
      </c>
      <c r="HEL121" s="285" t="s">
        <v>377</v>
      </c>
      <c r="HEM121" s="285" t="s">
        <v>376</v>
      </c>
      <c r="HEN121" s="285" t="s">
        <v>377</v>
      </c>
      <c r="HEO121" s="285" t="s">
        <v>376</v>
      </c>
      <c r="HEP121" s="285" t="s">
        <v>377</v>
      </c>
      <c r="HEQ121" s="285" t="s">
        <v>376</v>
      </c>
      <c r="HER121" s="285" t="s">
        <v>377</v>
      </c>
      <c r="HES121" s="285" t="s">
        <v>376</v>
      </c>
      <c r="HET121" s="285" t="s">
        <v>377</v>
      </c>
      <c r="HEU121" s="285" t="s">
        <v>376</v>
      </c>
      <c r="HEV121" s="285" t="s">
        <v>377</v>
      </c>
      <c r="HEW121" s="285" t="s">
        <v>376</v>
      </c>
      <c r="HEX121" s="285" t="s">
        <v>377</v>
      </c>
      <c r="HEY121" s="285" t="s">
        <v>376</v>
      </c>
      <c r="HEZ121" s="285" t="s">
        <v>377</v>
      </c>
      <c r="HFA121" s="285" t="s">
        <v>376</v>
      </c>
      <c r="HFB121" s="285" t="s">
        <v>377</v>
      </c>
      <c r="HFC121" s="285" t="s">
        <v>376</v>
      </c>
      <c r="HFD121" s="285" t="s">
        <v>377</v>
      </c>
      <c r="HFE121" s="285" t="s">
        <v>376</v>
      </c>
      <c r="HFF121" s="285" t="s">
        <v>377</v>
      </c>
      <c r="HFG121" s="285" t="s">
        <v>376</v>
      </c>
      <c r="HFH121" s="285" t="s">
        <v>377</v>
      </c>
      <c r="HFI121" s="285" t="s">
        <v>376</v>
      </c>
      <c r="HFJ121" s="285" t="s">
        <v>377</v>
      </c>
      <c r="HFK121" s="285" t="s">
        <v>376</v>
      </c>
      <c r="HFL121" s="285" t="s">
        <v>377</v>
      </c>
      <c r="HFM121" s="285" t="s">
        <v>376</v>
      </c>
      <c r="HFN121" s="285" t="s">
        <v>377</v>
      </c>
      <c r="HFO121" s="285" t="s">
        <v>376</v>
      </c>
      <c r="HFP121" s="285" t="s">
        <v>377</v>
      </c>
      <c r="HFQ121" s="285" t="s">
        <v>376</v>
      </c>
      <c r="HFR121" s="285" t="s">
        <v>377</v>
      </c>
      <c r="HFS121" s="285" t="s">
        <v>376</v>
      </c>
      <c r="HFT121" s="285" t="s">
        <v>377</v>
      </c>
      <c r="HFU121" s="285" t="s">
        <v>376</v>
      </c>
      <c r="HFV121" s="285" t="s">
        <v>377</v>
      </c>
      <c r="HFW121" s="285" t="s">
        <v>376</v>
      </c>
      <c r="HFX121" s="285" t="s">
        <v>377</v>
      </c>
      <c r="HFY121" s="285" t="s">
        <v>376</v>
      </c>
      <c r="HFZ121" s="285" t="s">
        <v>377</v>
      </c>
      <c r="HGA121" s="285" t="s">
        <v>376</v>
      </c>
      <c r="HGB121" s="285" t="s">
        <v>377</v>
      </c>
      <c r="HGC121" s="285" t="s">
        <v>376</v>
      </c>
      <c r="HGD121" s="285" t="s">
        <v>377</v>
      </c>
      <c r="HGE121" s="285" t="s">
        <v>376</v>
      </c>
      <c r="HGF121" s="285" t="s">
        <v>377</v>
      </c>
      <c r="HGG121" s="285" t="s">
        <v>376</v>
      </c>
      <c r="HGH121" s="285" t="s">
        <v>377</v>
      </c>
      <c r="HGI121" s="285" t="s">
        <v>376</v>
      </c>
      <c r="HGJ121" s="285" t="s">
        <v>377</v>
      </c>
      <c r="HGK121" s="285" t="s">
        <v>376</v>
      </c>
      <c r="HGL121" s="285" t="s">
        <v>377</v>
      </c>
      <c r="HGM121" s="285" t="s">
        <v>376</v>
      </c>
      <c r="HGN121" s="285" t="s">
        <v>377</v>
      </c>
      <c r="HGO121" s="285" t="s">
        <v>376</v>
      </c>
      <c r="HGP121" s="285" t="s">
        <v>377</v>
      </c>
      <c r="HGQ121" s="285" t="s">
        <v>376</v>
      </c>
      <c r="HGR121" s="285" t="s">
        <v>377</v>
      </c>
      <c r="HGS121" s="285" t="s">
        <v>376</v>
      </c>
      <c r="HGT121" s="285" t="s">
        <v>377</v>
      </c>
      <c r="HGU121" s="285" t="s">
        <v>376</v>
      </c>
      <c r="HGV121" s="285" t="s">
        <v>377</v>
      </c>
      <c r="HGW121" s="285" t="s">
        <v>376</v>
      </c>
      <c r="HGX121" s="285" t="s">
        <v>377</v>
      </c>
      <c r="HGY121" s="285" t="s">
        <v>376</v>
      </c>
      <c r="HGZ121" s="285" t="s">
        <v>377</v>
      </c>
      <c r="HHA121" s="285" t="s">
        <v>376</v>
      </c>
      <c r="HHB121" s="285" t="s">
        <v>377</v>
      </c>
      <c r="HHC121" s="285" t="s">
        <v>376</v>
      </c>
      <c r="HHD121" s="285" t="s">
        <v>377</v>
      </c>
      <c r="HHE121" s="285" t="s">
        <v>376</v>
      </c>
      <c r="HHF121" s="285" t="s">
        <v>377</v>
      </c>
      <c r="HHG121" s="285" t="s">
        <v>376</v>
      </c>
      <c r="HHH121" s="285" t="s">
        <v>377</v>
      </c>
      <c r="HHI121" s="285" t="s">
        <v>376</v>
      </c>
      <c r="HHJ121" s="285" t="s">
        <v>377</v>
      </c>
      <c r="HHK121" s="285" t="s">
        <v>376</v>
      </c>
      <c r="HHL121" s="285" t="s">
        <v>377</v>
      </c>
      <c r="HHM121" s="285" t="s">
        <v>376</v>
      </c>
      <c r="HHN121" s="285" t="s">
        <v>377</v>
      </c>
      <c r="HHO121" s="285" t="s">
        <v>376</v>
      </c>
      <c r="HHP121" s="285" t="s">
        <v>377</v>
      </c>
      <c r="HHQ121" s="285" t="s">
        <v>376</v>
      </c>
      <c r="HHR121" s="285" t="s">
        <v>377</v>
      </c>
      <c r="HHS121" s="285" t="s">
        <v>376</v>
      </c>
      <c r="HHT121" s="285" t="s">
        <v>377</v>
      </c>
      <c r="HHU121" s="285" t="s">
        <v>376</v>
      </c>
      <c r="HHV121" s="285" t="s">
        <v>377</v>
      </c>
      <c r="HHW121" s="285" t="s">
        <v>376</v>
      </c>
      <c r="HHX121" s="285" t="s">
        <v>377</v>
      </c>
      <c r="HHY121" s="285" t="s">
        <v>376</v>
      </c>
      <c r="HHZ121" s="285" t="s">
        <v>377</v>
      </c>
      <c r="HIA121" s="285" t="s">
        <v>376</v>
      </c>
      <c r="HIB121" s="285" t="s">
        <v>377</v>
      </c>
      <c r="HIC121" s="285" t="s">
        <v>376</v>
      </c>
      <c r="HID121" s="285" t="s">
        <v>377</v>
      </c>
      <c r="HIE121" s="285" t="s">
        <v>376</v>
      </c>
      <c r="HIF121" s="285" t="s">
        <v>377</v>
      </c>
      <c r="HIG121" s="285" t="s">
        <v>376</v>
      </c>
      <c r="HIH121" s="285" t="s">
        <v>377</v>
      </c>
      <c r="HII121" s="285" t="s">
        <v>376</v>
      </c>
      <c r="HIJ121" s="285" t="s">
        <v>377</v>
      </c>
      <c r="HIK121" s="285" t="s">
        <v>376</v>
      </c>
      <c r="HIL121" s="285" t="s">
        <v>377</v>
      </c>
      <c r="HIM121" s="285" t="s">
        <v>376</v>
      </c>
      <c r="HIN121" s="285" t="s">
        <v>377</v>
      </c>
      <c r="HIO121" s="285" t="s">
        <v>376</v>
      </c>
      <c r="HIP121" s="285" t="s">
        <v>377</v>
      </c>
      <c r="HIQ121" s="285" t="s">
        <v>376</v>
      </c>
      <c r="HIR121" s="285" t="s">
        <v>377</v>
      </c>
      <c r="HIS121" s="285" t="s">
        <v>376</v>
      </c>
      <c r="HIT121" s="285" t="s">
        <v>377</v>
      </c>
      <c r="HIU121" s="285" t="s">
        <v>376</v>
      </c>
      <c r="HIV121" s="285" t="s">
        <v>377</v>
      </c>
      <c r="HIW121" s="285" t="s">
        <v>376</v>
      </c>
      <c r="HIX121" s="285" t="s">
        <v>377</v>
      </c>
      <c r="HIY121" s="285" t="s">
        <v>376</v>
      </c>
      <c r="HIZ121" s="285" t="s">
        <v>377</v>
      </c>
      <c r="HJA121" s="285" t="s">
        <v>376</v>
      </c>
      <c r="HJB121" s="285" t="s">
        <v>377</v>
      </c>
      <c r="HJC121" s="285" t="s">
        <v>376</v>
      </c>
      <c r="HJD121" s="285" t="s">
        <v>377</v>
      </c>
      <c r="HJE121" s="285" t="s">
        <v>376</v>
      </c>
      <c r="HJF121" s="285" t="s">
        <v>377</v>
      </c>
      <c r="HJG121" s="285" t="s">
        <v>376</v>
      </c>
      <c r="HJH121" s="285" t="s">
        <v>377</v>
      </c>
      <c r="HJI121" s="285" t="s">
        <v>376</v>
      </c>
      <c r="HJJ121" s="285" t="s">
        <v>377</v>
      </c>
      <c r="HJK121" s="285" t="s">
        <v>376</v>
      </c>
      <c r="HJL121" s="285" t="s">
        <v>377</v>
      </c>
      <c r="HJM121" s="285" t="s">
        <v>376</v>
      </c>
      <c r="HJN121" s="285" t="s">
        <v>377</v>
      </c>
      <c r="HJO121" s="285" t="s">
        <v>376</v>
      </c>
      <c r="HJP121" s="285" t="s">
        <v>377</v>
      </c>
      <c r="HJQ121" s="285" t="s">
        <v>376</v>
      </c>
      <c r="HJR121" s="285" t="s">
        <v>377</v>
      </c>
      <c r="HJS121" s="285" t="s">
        <v>376</v>
      </c>
      <c r="HJT121" s="285" t="s">
        <v>377</v>
      </c>
      <c r="HJU121" s="285" t="s">
        <v>376</v>
      </c>
      <c r="HJV121" s="285" t="s">
        <v>377</v>
      </c>
      <c r="HJW121" s="285" t="s">
        <v>376</v>
      </c>
      <c r="HJX121" s="285" t="s">
        <v>377</v>
      </c>
      <c r="HJY121" s="285" t="s">
        <v>376</v>
      </c>
      <c r="HJZ121" s="285" t="s">
        <v>377</v>
      </c>
      <c r="HKA121" s="285" t="s">
        <v>376</v>
      </c>
      <c r="HKB121" s="285" t="s">
        <v>377</v>
      </c>
      <c r="HKC121" s="285" t="s">
        <v>376</v>
      </c>
      <c r="HKD121" s="285" t="s">
        <v>377</v>
      </c>
      <c r="HKE121" s="285" t="s">
        <v>376</v>
      </c>
      <c r="HKF121" s="285" t="s">
        <v>377</v>
      </c>
      <c r="HKG121" s="285" t="s">
        <v>376</v>
      </c>
      <c r="HKH121" s="285" t="s">
        <v>377</v>
      </c>
      <c r="HKI121" s="285" t="s">
        <v>376</v>
      </c>
      <c r="HKJ121" s="285" t="s">
        <v>377</v>
      </c>
      <c r="HKK121" s="285" t="s">
        <v>376</v>
      </c>
      <c r="HKL121" s="285" t="s">
        <v>377</v>
      </c>
      <c r="HKM121" s="285" t="s">
        <v>376</v>
      </c>
      <c r="HKN121" s="285" t="s">
        <v>377</v>
      </c>
      <c r="HKO121" s="285" t="s">
        <v>376</v>
      </c>
      <c r="HKP121" s="285" t="s">
        <v>377</v>
      </c>
      <c r="HKQ121" s="285" t="s">
        <v>376</v>
      </c>
      <c r="HKR121" s="285" t="s">
        <v>377</v>
      </c>
      <c r="HKS121" s="285" t="s">
        <v>376</v>
      </c>
      <c r="HKT121" s="285" t="s">
        <v>377</v>
      </c>
      <c r="HKU121" s="285" t="s">
        <v>376</v>
      </c>
      <c r="HKV121" s="285" t="s">
        <v>377</v>
      </c>
      <c r="HKW121" s="285" t="s">
        <v>376</v>
      </c>
      <c r="HKX121" s="285" t="s">
        <v>377</v>
      </c>
      <c r="HKY121" s="285" t="s">
        <v>376</v>
      </c>
      <c r="HKZ121" s="285" t="s">
        <v>377</v>
      </c>
      <c r="HLA121" s="285" t="s">
        <v>376</v>
      </c>
      <c r="HLB121" s="285" t="s">
        <v>377</v>
      </c>
      <c r="HLC121" s="285" t="s">
        <v>376</v>
      </c>
      <c r="HLD121" s="285" t="s">
        <v>377</v>
      </c>
      <c r="HLE121" s="285" t="s">
        <v>376</v>
      </c>
      <c r="HLF121" s="285" t="s">
        <v>377</v>
      </c>
      <c r="HLG121" s="285" t="s">
        <v>376</v>
      </c>
      <c r="HLH121" s="285" t="s">
        <v>377</v>
      </c>
      <c r="HLI121" s="285" t="s">
        <v>376</v>
      </c>
      <c r="HLJ121" s="285" t="s">
        <v>377</v>
      </c>
      <c r="HLK121" s="285" t="s">
        <v>376</v>
      </c>
      <c r="HLL121" s="285" t="s">
        <v>377</v>
      </c>
      <c r="HLM121" s="285" t="s">
        <v>376</v>
      </c>
      <c r="HLN121" s="285" t="s">
        <v>377</v>
      </c>
      <c r="HLO121" s="285" t="s">
        <v>376</v>
      </c>
      <c r="HLP121" s="285" t="s">
        <v>377</v>
      </c>
      <c r="HLQ121" s="285" t="s">
        <v>376</v>
      </c>
      <c r="HLR121" s="285" t="s">
        <v>377</v>
      </c>
      <c r="HLS121" s="285" t="s">
        <v>376</v>
      </c>
      <c r="HLT121" s="285" t="s">
        <v>377</v>
      </c>
      <c r="HLU121" s="285" t="s">
        <v>376</v>
      </c>
      <c r="HLV121" s="285" t="s">
        <v>377</v>
      </c>
      <c r="HLW121" s="285" t="s">
        <v>376</v>
      </c>
      <c r="HLX121" s="285" t="s">
        <v>377</v>
      </c>
      <c r="HLY121" s="285" t="s">
        <v>376</v>
      </c>
      <c r="HLZ121" s="285" t="s">
        <v>377</v>
      </c>
      <c r="HMA121" s="285" t="s">
        <v>376</v>
      </c>
      <c r="HMB121" s="285" t="s">
        <v>377</v>
      </c>
      <c r="HMC121" s="285" t="s">
        <v>376</v>
      </c>
      <c r="HMD121" s="285" t="s">
        <v>377</v>
      </c>
      <c r="HME121" s="285" t="s">
        <v>376</v>
      </c>
      <c r="HMF121" s="285" t="s">
        <v>377</v>
      </c>
      <c r="HMG121" s="285" t="s">
        <v>376</v>
      </c>
      <c r="HMH121" s="285" t="s">
        <v>377</v>
      </c>
      <c r="HMI121" s="285" t="s">
        <v>376</v>
      </c>
      <c r="HMJ121" s="285" t="s">
        <v>377</v>
      </c>
      <c r="HMK121" s="285" t="s">
        <v>376</v>
      </c>
      <c r="HML121" s="285" t="s">
        <v>377</v>
      </c>
      <c r="HMM121" s="285" t="s">
        <v>376</v>
      </c>
      <c r="HMN121" s="285" t="s">
        <v>377</v>
      </c>
      <c r="HMO121" s="285" t="s">
        <v>376</v>
      </c>
      <c r="HMP121" s="285" t="s">
        <v>377</v>
      </c>
      <c r="HMQ121" s="285" t="s">
        <v>376</v>
      </c>
      <c r="HMR121" s="285" t="s">
        <v>377</v>
      </c>
      <c r="HMS121" s="285" t="s">
        <v>376</v>
      </c>
      <c r="HMT121" s="285" t="s">
        <v>377</v>
      </c>
      <c r="HMU121" s="285" t="s">
        <v>376</v>
      </c>
      <c r="HMV121" s="285" t="s">
        <v>377</v>
      </c>
      <c r="HMW121" s="285" t="s">
        <v>376</v>
      </c>
      <c r="HMX121" s="285" t="s">
        <v>377</v>
      </c>
      <c r="HMY121" s="285" t="s">
        <v>376</v>
      </c>
      <c r="HMZ121" s="285" t="s">
        <v>377</v>
      </c>
      <c r="HNA121" s="285" t="s">
        <v>376</v>
      </c>
      <c r="HNB121" s="285" t="s">
        <v>377</v>
      </c>
      <c r="HNC121" s="285" t="s">
        <v>376</v>
      </c>
      <c r="HND121" s="285" t="s">
        <v>377</v>
      </c>
      <c r="HNE121" s="285" t="s">
        <v>376</v>
      </c>
      <c r="HNF121" s="285" t="s">
        <v>377</v>
      </c>
      <c r="HNG121" s="285" t="s">
        <v>376</v>
      </c>
      <c r="HNH121" s="285" t="s">
        <v>377</v>
      </c>
      <c r="HNI121" s="285" t="s">
        <v>376</v>
      </c>
      <c r="HNJ121" s="285" t="s">
        <v>377</v>
      </c>
      <c r="HNK121" s="285" t="s">
        <v>376</v>
      </c>
      <c r="HNL121" s="285" t="s">
        <v>377</v>
      </c>
      <c r="HNM121" s="285" t="s">
        <v>376</v>
      </c>
      <c r="HNN121" s="285" t="s">
        <v>377</v>
      </c>
      <c r="HNO121" s="285" t="s">
        <v>376</v>
      </c>
      <c r="HNP121" s="285" t="s">
        <v>377</v>
      </c>
      <c r="HNQ121" s="285" t="s">
        <v>376</v>
      </c>
      <c r="HNR121" s="285" t="s">
        <v>377</v>
      </c>
      <c r="HNS121" s="285" t="s">
        <v>376</v>
      </c>
      <c r="HNT121" s="285" t="s">
        <v>377</v>
      </c>
      <c r="HNU121" s="285" t="s">
        <v>376</v>
      </c>
      <c r="HNV121" s="285" t="s">
        <v>377</v>
      </c>
      <c r="HNW121" s="285" t="s">
        <v>376</v>
      </c>
      <c r="HNX121" s="285" t="s">
        <v>377</v>
      </c>
      <c r="HNY121" s="285" t="s">
        <v>376</v>
      </c>
      <c r="HNZ121" s="285" t="s">
        <v>377</v>
      </c>
      <c r="HOA121" s="285" t="s">
        <v>376</v>
      </c>
      <c r="HOB121" s="285" t="s">
        <v>377</v>
      </c>
      <c r="HOC121" s="285" t="s">
        <v>376</v>
      </c>
      <c r="HOD121" s="285" t="s">
        <v>377</v>
      </c>
      <c r="HOE121" s="285" t="s">
        <v>376</v>
      </c>
      <c r="HOF121" s="285" t="s">
        <v>377</v>
      </c>
      <c r="HOG121" s="285" t="s">
        <v>376</v>
      </c>
      <c r="HOH121" s="285" t="s">
        <v>377</v>
      </c>
      <c r="HOI121" s="285" t="s">
        <v>376</v>
      </c>
      <c r="HOJ121" s="285" t="s">
        <v>377</v>
      </c>
      <c r="HOK121" s="285" t="s">
        <v>376</v>
      </c>
      <c r="HOL121" s="285" t="s">
        <v>377</v>
      </c>
      <c r="HOM121" s="285" t="s">
        <v>376</v>
      </c>
      <c r="HON121" s="285" t="s">
        <v>377</v>
      </c>
      <c r="HOO121" s="285" t="s">
        <v>376</v>
      </c>
      <c r="HOP121" s="285" t="s">
        <v>377</v>
      </c>
      <c r="HOQ121" s="285" t="s">
        <v>376</v>
      </c>
      <c r="HOR121" s="285" t="s">
        <v>377</v>
      </c>
      <c r="HOS121" s="285" t="s">
        <v>376</v>
      </c>
      <c r="HOT121" s="285" t="s">
        <v>377</v>
      </c>
      <c r="HOU121" s="285" t="s">
        <v>376</v>
      </c>
      <c r="HOV121" s="285" t="s">
        <v>377</v>
      </c>
      <c r="HOW121" s="285" t="s">
        <v>376</v>
      </c>
      <c r="HOX121" s="285" t="s">
        <v>377</v>
      </c>
      <c r="HOY121" s="285" t="s">
        <v>376</v>
      </c>
      <c r="HOZ121" s="285" t="s">
        <v>377</v>
      </c>
      <c r="HPA121" s="285" t="s">
        <v>376</v>
      </c>
      <c r="HPB121" s="285" t="s">
        <v>377</v>
      </c>
      <c r="HPC121" s="285" t="s">
        <v>376</v>
      </c>
      <c r="HPD121" s="285" t="s">
        <v>377</v>
      </c>
      <c r="HPE121" s="285" t="s">
        <v>376</v>
      </c>
      <c r="HPF121" s="285" t="s">
        <v>377</v>
      </c>
      <c r="HPG121" s="285" t="s">
        <v>376</v>
      </c>
      <c r="HPH121" s="285" t="s">
        <v>377</v>
      </c>
      <c r="HPI121" s="285" t="s">
        <v>376</v>
      </c>
      <c r="HPJ121" s="285" t="s">
        <v>377</v>
      </c>
      <c r="HPK121" s="285" t="s">
        <v>376</v>
      </c>
      <c r="HPL121" s="285" t="s">
        <v>377</v>
      </c>
      <c r="HPM121" s="285" t="s">
        <v>376</v>
      </c>
      <c r="HPN121" s="285" t="s">
        <v>377</v>
      </c>
      <c r="HPO121" s="285" t="s">
        <v>376</v>
      </c>
      <c r="HPP121" s="285" t="s">
        <v>377</v>
      </c>
      <c r="HPQ121" s="285" t="s">
        <v>376</v>
      </c>
      <c r="HPR121" s="285" t="s">
        <v>377</v>
      </c>
      <c r="HPS121" s="285" t="s">
        <v>376</v>
      </c>
      <c r="HPT121" s="285" t="s">
        <v>377</v>
      </c>
      <c r="HPU121" s="285" t="s">
        <v>376</v>
      </c>
      <c r="HPV121" s="285" t="s">
        <v>377</v>
      </c>
      <c r="HPW121" s="285" t="s">
        <v>376</v>
      </c>
      <c r="HPX121" s="285" t="s">
        <v>377</v>
      </c>
      <c r="HPY121" s="285" t="s">
        <v>376</v>
      </c>
      <c r="HPZ121" s="285" t="s">
        <v>377</v>
      </c>
      <c r="HQA121" s="285" t="s">
        <v>376</v>
      </c>
      <c r="HQB121" s="285" t="s">
        <v>377</v>
      </c>
      <c r="HQC121" s="285" t="s">
        <v>376</v>
      </c>
      <c r="HQD121" s="285" t="s">
        <v>377</v>
      </c>
      <c r="HQE121" s="285" t="s">
        <v>376</v>
      </c>
      <c r="HQF121" s="285" t="s">
        <v>377</v>
      </c>
      <c r="HQG121" s="285" t="s">
        <v>376</v>
      </c>
      <c r="HQH121" s="285" t="s">
        <v>377</v>
      </c>
      <c r="HQI121" s="285" t="s">
        <v>376</v>
      </c>
      <c r="HQJ121" s="285" t="s">
        <v>377</v>
      </c>
      <c r="HQK121" s="285" t="s">
        <v>376</v>
      </c>
      <c r="HQL121" s="285" t="s">
        <v>377</v>
      </c>
      <c r="HQM121" s="285" t="s">
        <v>376</v>
      </c>
      <c r="HQN121" s="285" t="s">
        <v>377</v>
      </c>
      <c r="HQO121" s="285" t="s">
        <v>376</v>
      </c>
      <c r="HQP121" s="285" t="s">
        <v>377</v>
      </c>
      <c r="HQQ121" s="285" t="s">
        <v>376</v>
      </c>
      <c r="HQR121" s="285" t="s">
        <v>377</v>
      </c>
      <c r="HQS121" s="285" t="s">
        <v>376</v>
      </c>
      <c r="HQT121" s="285" t="s">
        <v>377</v>
      </c>
      <c r="HQU121" s="285" t="s">
        <v>376</v>
      </c>
      <c r="HQV121" s="285" t="s">
        <v>377</v>
      </c>
      <c r="HQW121" s="285" t="s">
        <v>376</v>
      </c>
      <c r="HQX121" s="285" t="s">
        <v>377</v>
      </c>
      <c r="HQY121" s="285" t="s">
        <v>376</v>
      </c>
      <c r="HQZ121" s="285" t="s">
        <v>377</v>
      </c>
      <c r="HRA121" s="285" t="s">
        <v>376</v>
      </c>
      <c r="HRB121" s="285" t="s">
        <v>377</v>
      </c>
      <c r="HRC121" s="285" t="s">
        <v>376</v>
      </c>
      <c r="HRD121" s="285" t="s">
        <v>377</v>
      </c>
      <c r="HRE121" s="285" t="s">
        <v>376</v>
      </c>
      <c r="HRF121" s="285" t="s">
        <v>377</v>
      </c>
      <c r="HRG121" s="285" t="s">
        <v>376</v>
      </c>
      <c r="HRH121" s="285" t="s">
        <v>377</v>
      </c>
      <c r="HRI121" s="285" t="s">
        <v>376</v>
      </c>
      <c r="HRJ121" s="285" t="s">
        <v>377</v>
      </c>
      <c r="HRK121" s="285" t="s">
        <v>376</v>
      </c>
      <c r="HRL121" s="285" t="s">
        <v>377</v>
      </c>
      <c r="HRM121" s="285" t="s">
        <v>376</v>
      </c>
      <c r="HRN121" s="285" t="s">
        <v>377</v>
      </c>
      <c r="HRO121" s="285" t="s">
        <v>376</v>
      </c>
      <c r="HRP121" s="285" t="s">
        <v>377</v>
      </c>
      <c r="HRQ121" s="285" t="s">
        <v>376</v>
      </c>
      <c r="HRR121" s="285" t="s">
        <v>377</v>
      </c>
      <c r="HRS121" s="285" t="s">
        <v>376</v>
      </c>
      <c r="HRT121" s="285" t="s">
        <v>377</v>
      </c>
      <c r="HRU121" s="285" t="s">
        <v>376</v>
      </c>
      <c r="HRV121" s="285" t="s">
        <v>377</v>
      </c>
      <c r="HRW121" s="285" t="s">
        <v>376</v>
      </c>
      <c r="HRX121" s="285" t="s">
        <v>377</v>
      </c>
      <c r="HRY121" s="285" t="s">
        <v>376</v>
      </c>
      <c r="HRZ121" s="285" t="s">
        <v>377</v>
      </c>
      <c r="HSA121" s="285" t="s">
        <v>376</v>
      </c>
      <c r="HSB121" s="285" t="s">
        <v>377</v>
      </c>
      <c r="HSC121" s="285" t="s">
        <v>376</v>
      </c>
      <c r="HSD121" s="285" t="s">
        <v>377</v>
      </c>
      <c r="HSE121" s="285" t="s">
        <v>376</v>
      </c>
      <c r="HSF121" s="285" t="s">
        <v>377</v>
      </c>
      <c r="HSG121" s="285" t="s">
        <v>376</v>
      </c>
      <c r="HSH121" s="285" t="s">
        <v>377</v>
      </c>
      <c r="HSI121" s="285" t="s">
        <v>376</v>
      </c>
      <c r="HSJ121" s="285" t="s">
        <v>377</v>
      </c>
      <c r="HSK121" s="285" t="s">
        <v>376</v>
      </c>
      <c r="HSL121" s="285" t="s">
        <v>377</v>
      </c>
      <c r="HSM121" s="285" t="s">
        <v>376</v>
      </c>
      <c r="HSN121" s="285" t="s">
        <v>377</v>
      </c>
      <c r="HSO121" s="285" t="s">
        <v>376</v>
      </c>
      <c r="HSP121" s="285" t="s">
        <v>377</v>
      </c>
      <c r="HSQ121" s="285" t="s">
        <v>376</v>
      </c>
      <c r="HSR121" s="285" t="s">
        <v>377</v>
      </c>
      <c r="HSS121" s="285" t="s">
        <v>376</v>
      </c>
      <c r="HST121" s="285" t="s">
        <v>377</v>
      </c>
      <c r="HSU121" s="285" t="s">
        <v>376</v>
      </c>
      <c r="HSV121" s="285" t="s">
        <v>377</v>
      </c>
      <c r="HSW121" s="285" t="s">
        <v>376</v>
      </c>
      <c r="HSX121" s="285" t="s">
        <v>377</v>
      </c>
      <c r="HSY121" s="285" t="s">
        <v>376</v>
      </c>
      <c r="HSZ121" s="285" t="s">
        <v>377</v>
      </c>
      <c r="HTA121" s="285" t="s">
        <v>376</v>
      </c>
      <c r="HTB121" s="285" t="s">
        <v>377</v>
      </c>
      <c r="HTC121" s="285" t="s">
        <v>376</v>
      </c>
      <c r="HTD121" s="285" t="s">
        <v>377</v>
      </c>
      <c r="HTE121" s="285" t="s">
        <v>376</v>
      </c>
      <c r="HTF121" s="285" t="s">
        <v>377</v>
      </c>
      <c r="HTG121" s="285" t="s">
        <v>376</v>
      </c>
      <c r="HTH121" s="285" t="s">
        <v>377</v>
      </c>
      <c r="HTI121" s="285" t="s">
        <v>376</v>
      </c>
      <c r="HTJ121" s="285" t="s">
        <v>377</v>
      </c>
      <c r="HTK121" s="285" t="s">
        <v>376</v>
      </c>
      <c r="HTL121" s="285" t="s">
        <v>377</v>
      </c>
      <c r="HTM121" s="285" t="s">
        <v>376</v>
      </c>
      <c r="HTN121" s="285" t="s">
        <v>377</v>
      </c>
      <c r="HTO121" s="285" t="s">
        <v>376</v>
      </c>
      <c r="HTP121" s="285" t="s">
        <v>377</v>
      </c>
      <c r="HTQ121" s="285" t="s">
        <v>376</v>
      </c>
      <c r="HTR121" s="285" t="s">
        <v>377</v>
      </c>
      <c r="HTS121" s="285" t="s">
        <v>376</v>
      </c>
      <c r="HTT121" s="285" t="s">
        <v>377</v>
      </c>
      <c r="HTU121" s="285" t="s">
        <v>376</v>
      </c>
      <c r="HTV121" s="285" t="s">
        <v>377</v>
      </c>
      <c r="HTW121" s="285" t="s">
        <v>376</v>
      </c>
      <c r="HTX121" s="285" t="s">
        <v>377</v>
      </c>
      <c r="HTY121" s="285" t="s">
        <v>376</v>
      </c>
      <c r="HTZ121" s="285" t="s">
        <v>377</v>
      </c>
      <c r="HUA121" s="285" t="s">
        <v>376</v>
      </c>
      <c r="HUB121" s="285" t="s">
        <v>377</v>
      </c>
      <c r="HUC121" s="285" t="s">
        <v>376</v>
      </c>
      <c r="HUD121" s="285" t="s">
        <v>377</v>
      </c>
      <c r="HUE121" s="285" t="s">
        <v>376</v>
      </c>
      <c r="HUF121" s="285" t="s">
        <v>377</v>
      </c>
      <c r="HUG121" s="285" t="s">
        <v>376</v>
      </c>
      <c r="HUH121" s="285" t="s">
        <v>377</v>
      </c>
      <c r="HUI121" s="285" t="s">
        <v>376</v>
      </c>
      <c r="HUJ121" s="285" t="s">
        <v>377</v>
      </c>
      <c r="HUK121" s="285" t="s">
        <v>376</v>
      </c>
      <c r="HUL121" s="285" t="s">
        <v>377</v>
      </c>
      <c r="HUM121" s="285" t="s">
        <v>376</v>
      </c>
      <c r="HUN121" s="285" t="s">
        <v>377</v>
      </c>
      <c r="HUO121" s="285" t="s">
        <v>376</v>
      </c>
      <c r="HUP121" s="285" t="s">
        <v>377</v>
      </c>
      <c r="HUQ121" s="285" t="s">
        <v>376</v>
      </c>
      <c r="HUR121" s="285" t="s">
        <v>377</v>
      </c>
      <c r="HUS121" s="285" t="s">
        <v>376</v>
      </c>
      <c r="HUT121" s="285" t="s">
        <v>377</v>
      </c>
      <c r="HUU121" s="285" t="s">
        <v>376</v>
      </c>
      <c r="HUV121" s="285" t="s">
        <v>377</v>
      </c>
      <c r="HUW121" s="285" t="s">
        <v>376</v>
      </c>
      <c r="HUX121" s="285" t="s">
        <v>377</v>
      </c>
      <c r="HUY121" s="285" t="s">
        <v>376</v>
      </c>
      <c r="HUZ121" s="285" t="s">
        <v>377</v>
      </c>
      <c r="HVA121" s="285" t="s">
        <v>376</v>
      </c>
      <c r="HVB121" s="285" t="s">
        <v>377</v>
      </c>
      <c r="HVC121" s="285" t="s">
        <v>376</v>
      </c>
      <c r="HVD121" s="285" t="s">
        <v>377</v>
      </c>
      <c r="HVE121" s="285" t="s">
        <v>376</v>
      </c>
      <c r="HVF121" s="285" t="s">
        <v>377</v>
      </c>
      <c r="HVG121" s="285" t="s">
        <v>376</v>
      </c>
      <c r="HVH121" s="285" t="s">
        <v>377</v>
      </c>
      <c r="HVI121" s="285" t="s">
        <v>376</v>
      </c>
      <c r="HVJ121" s="285" t="s">
        <v>377</v>
      </c>
      <c r="HVK121" s="285" t="s">
        <v>376</v>
      </c>
      <c r="HVL121" s="285" t="s">
        <v>377</v>
      </c>
      <c r="HVM121" s="285" t="s">
        <v>376</v>
      </c>
      <c r="HVN121" s="285" t="s">
        <v>377</v>
      </c>
      <c r="HVO121" s="285" t="s">
        <v>376</v>
      </c>
      <c r="HVP121" s="285" t="s">
        <v>377</v>
      </c>
      <c r="HVQ121" s="285" t="s">
        <v>376</v>
      </c>
      <c r="HVR121" s="285" t="s">
        <v>377</v>
      </c>
      <c r="HVS121" s="285" t="s">
        <v>376</v>
      </c>
      <c r="HVT121" s="285" t="s">
        <v>377</v>
      </c>
      <c r="HVU121" s="285" t="s">
        <v>376</v>
      </c>
      <c r="HVV121" s="285" t="s">
        <v>377</v>
      </c>
      <c r="HVW121" s="285" t="s">
        <v>376</v>
      </c>
      <c r="HVX121" s="285" t="s">
        <v>377</v>
      </c>
      <c r="HVY121" s="285" t="s">
        <v>376</v>
      </c>
      <c r="HVZ121" s="285" t="s">
        <v>377</v>
      </c>
      <c r="HWA121" s="285" t="s">
        <v>376</v>
      </c>
      <c r="HWB121" s="285" t="s">
        <v>377</v>
      </c>
      <c r="HWC121" s="285" t="s">
        <v>376</v>
      </c>
      <c r="HWD121" s="285" t="s">
        <v>377</v>
      </c>
      <c r="HWE121" s="285" t="s">
        <v>376</v>
      </c>
      <c r="HWF121" s="285" t="s">
        <v>377</v>
      </c>
      <c r="HWG121" s="285" t="s">
        <v>376</v>
      </c>
      <c r="HWH121" s="285" t="s">
        <v>377</v>
      </c>
      <c r="HWI121" s="285" t="s">
        <v>376</v>
      </c>
      <c r="HWJ121" s="285" t="s">
        <v>377</v>
      </c>
      <c r="HWK121" s="285" t="s">
        <v>376</v>
      </c>
      <c r="HWL121" s="285" t="s">
        <v>377</v>
      </c>
      <c r="HWM121" s="285" t="s">
        <v>376</v>
      </c>
      <c r="HWN121" s="285" t="s">
        <v>377</v>
      </c>
      <c r="HWO121" s="285" t="s">
        <v>376</v>
      </c>
      <c r="HWP121" s="285" t="s">
        <v>377</v>
      </c>
      <c r="HWQ121" s="285" t="s">
        <v>376</v>
      </c>
      <c r="HWR121" s="285" t="s">
        <v>377</v>
      </c>
      <c r="HWS121" s="285" t="s">
        <v>376</v>
      </c>
      <c r="HWT121" s="285" t="s">
        <v>377</v>
      </c>
      <c r="HWU121" s="285" t="s">
        <v>376</v>
      </c>
      <c r="HWV121" s="285" t="s">
        <v>377</v>
      </c>
      <c r="HWW121" s="285" t="s">
        <v>376</v>
      </c>
      <c r="HWX121" s="285" t="s">
        <v>377</v>
      </c>
      <c r="HWY121" s="285" t="s">
        <v>376</v>
      </c>
      <c r="HWZ121" s="285" t="s">
        <v>377</v>
      </c>
      <c r="HXA121" s="285" t="s">
        <v>376</v>
      </c>
      <c r="HXB121" s="285" t="s">
        <v>377</v>
      </c>
      <c r="HXC121" s="285" t="s">
        <v>376</v>
      </c>
      <c r="HXD121" s="285" t="s">
        <v>377</v>
      </c>
      <c r="HXE121" s="285" t="s">
        <v>376</v>
      </c>
      <c r="HXF121" s="285" t="s">
        <v>377</v>
      </c>
      <c r="HXG121" s="285" t="s">
        <v>376</v>
      </c>
      <c r="HXH121" s="285" t="s">
        <v>377</v>
      </c>
      <c r="HXI121" s="285" t="s">
        <v>376</v>
      </c>
      <c r="HXJ121" s="285" t="s">
        <v>377</v>
      </c>
      <c r="HXK121" s="285" t="s">
        <v>376</v>
      </c>
      <c r="HXL121" s="285" t="s">
        <v>377</v>
      </c>
      <c r="HXM121" s="285" t="s">
        <v>376</v>
      </c>
      <c r="HXN121" s="285" t="s">
        <v>377</v>
      </c>
      <c r="HXO121" s="285" t="s">
        <v>376</v>
      </c>
      <c r="HXP121" s="285" t="s">
        <v>377</v>
      </c>
      <c r="HXQ121" s="285" t="s">
        <v>376</v>
      </c>
      <c r="HXR121" s="285" t="s">
        <v>377</v>
      </c>
      <c r="HXS121" s="285" t="s">
        <v>376</v>
      </c>
      <c r="HXT121" s="285" t="s">
        <v>377</v>
      </c>
      <c r="HXU121" s="285" t="s">
        <v>376</v>
      </c>
      <c r="HXV121" s="285" t="s">
        <v>377</v>
      </c>
      <c r="HXW121" s="285" t="s">
        <v>376</v>
      </c>
      <c r="HXX121" s="285" t="s">
        <v>377</v>
      </c>
      <c r="HXY121" s="285" t="s">
        <v>376</v>
      </c>
      <c r="HXZ121" s="285" t="s">
        <v>377</v>
      </c>
      <c r="HYA121" s="285" t="s">
        <v>376</v>
      </c>
      <c r="HYB121" s="285" t="s">
        <v>377</v>
      </c>
      <c r="HYC121" s="285" t="s">
        <v>376</v>
      </c>
      <c r="HYD121" s="285" t="s">
        <v>377</v>
      </c>
      <c r="HYE121" s="285" t="s">
        <v>376</v>
      </c>
      <c r="HYF121" s="285" t="s">
        <v>377</v>
      </c>
      <c r="HYG121" s="285" t="s">
        <v>376</v>
      </c>
      <c r="HYH121" s="285" t="s">
        <v>377</v>
      </c>
      <c r="HYI121" s="285" t="s">
        <v>376</v>
      </c>
      <c r="HYJ121" s="285" t="s">
        <v>377</v>
      </c>
      <c r="HYK121" s="285" t="s">
        <v>376</v>
      </c>
      <c r="HYL121" s="285" t="s">
        <v>377</v>
      </c>
      <c r="HYM121" s="285" t="s">
        <v>376</v>
      </c>
      <c r="HYN121" s="285" t="s">
        <v>377</v>
      </c>
      <c r="HYO121" s="285" t="s">
        <v>376</v>
      </c>
      <c r="HYP121" s="285" t="s">
        <v>377</v>
      </c>
      <c r="HYQ121" s="285" t="s">
        <v>376</v>
      </c>
      <c r="HYR121" s="285" t="s">
        <v>377</v>
      </c>
      <c r="HYS121" s="285" t="s">
        <v>376</v>
      </c>
      <c r="HYT121" s="285" t="s">
        <v>377</v>
      </c>
      <c r="HYU121" s="285" t="s">
        <v>376</v>
      </c>
      <c r="HYV121" s="285" t="s">
        <v>377</v>
      </c>
      <c r="HYW121" s="285" t="s">
        <v>376</v>
      </c>
      <c r="HYX121" s="285" t="s">
        <v>377</v>
      </c>
      <c r="HYY121" s="285" t="s">
        <v>376</v>
      </c>
      <c r="HYZ121" s="285" t="s">
        <v>377</v>
      </c>
      <c r="HZA121" s="285" t="s">
        <v>376</v>
      </c>
      <c r="HZB121" s="285" t="s">
        <v>377</v>
      </c>
      <c r="HZC121" s="285" t="s">
        <v>376</v>
      </c>
      <c r="HZD121" s="285" t="s">
        <v>377</v>
      </c>
      <c r="HZE121" s="285" t="s">
        <v>376</v>
      </c>
      <c r="HZF121" s="285" t="s">
        <v>377</v>
      </c>
      <c r="HZG121" s="285" t="s">
        <v>376</v>
      </c>
      <c r="HZH121" s="285" t="s">
        <v>377</v>
      </c>
      <c r="HZI121" s="285" t="s">
        <v>376</v>
      </c>
      <c r="HZJ121" s="285" t="s">
        <v>377</v>
      </c>
      <c r="HZK121" s="285" t="s">
        <v>376</v>
      </c>
      <c r="HZL121" s="285" t="s">
        <v>377</v>
      </c>
      <c r="HZM121" s="285" t="s">
        <v>376</v>
      </c>
      <c r="HZN121" s="285" t="s">
        <v>377</v>
      </c>
      <c r="HZO121" s="285" t="s">
        <v>376</v>
      </c>
      <c r="HZP121" s="285" t="s">
        <v>377</v>
      </c>
      <c r="HZQ121" s="285" t="s">
        <v>376</v>
      </c>
      <c r="HZR121" s="285" t="s">
        <v>377</v>
      </c>
      <c r="HZS121" s="285" t="s">
        <v>376</v>
      </c>
      <c r="HZT121" s="285" t="s">
        <v>377</v>
      </c>
      <c r="HZU121" s="285" t="s">
        <v>376</v>
      </c>
      <c r="HZV121" s="285" t="s">
        <v>377</v>
      </c>
      <c r="HZW121" s="285" t="s">
        <v>376</v>
      </c>
      <c r="HZX121" s="285" t="s">
        <v>377</v>
      </c>
      <c r="HZY121" s="285" t="s">
        <v>376</v>
      </c>
      <c r="HZZ121" s="285" t="s">
        <v>377</v>
      </c>
      <c r="IAA121" s="285" t="s">
        <v>376</v>
      </c>
      <c r="IAB121" s="285" t="s">
        <v>377</v>
      </c>
      <c r="IAC121" s="285" t="s">
        <v>376</v>
      </c>
      <c r="IAD121" s="285" t="s">
        <v>377</v>
      </c>
      <c r="IAE121" s="285" t="s">
        <v>376</v>
      </c>
      <c r="IAF121" s="285" t="s">
        <v>377</v>
      </c>
      <c r="IAG121" s="285" t="s">
        <v>376</v>
      </c>
      <c r="IAH121" s="285" t="s">
        <v>377</v>
      </c>
      <c r="IAI121" s="285" t="s">
        <v>376</v>
      </c>
      <c r="IAJ121" s="285" t="s">
        <v>377</v>
      </c>
      <c r="IAK121" s="285" t="s">
        <v>376</v>
      </c>
      <c r="IAL121" s="285" t="s">
        <v>377</v>
      </c>
      <c r="IAM121" s="285" t="s">
        <v>376</v>
      </c>
      <c r="IAN121" s="285" t="s">
        <v>377</v>
      </c>
      <c r="IAO121" s="285" t="s">
        <v>376</v>
      </c>
      <c r="IAP121" s="285" t="s">
        <v>377</v>
      </c>
      <c r="IAQ121" s="285" t="s">
        <v>376</v>
      </c>
      <c r="IAR121" s="285" t="s">
        <v>377</v>
      </c>
      <c r="IAS121" s="285" t="s">
        <v>376</v>
      </c>
      <c r="IAT121" s="285" t="s">
        <v>377</v>
      </c>
      <c r="IAU121" s="285" t="s">
        <v>376</v>
      </c>
      <c r="IAV121" s="285" t="s">
        <v>377</v>
      </c>
      <c r="IAW121" s="285" t="s">
        <v>376</v>
      </c>
      <c r="IAX121" s="285" t="s">
        <v>377</v>
      </c>
      <c r="IAY121" s="285" t="s">
        <v>376</v>
      </c>
      <c r="IAZ121" s="285" t="s">
        <v>377</v>
      </c>
      <c r="IBA121" s="285" t="s">
        <v>376</v>
      </c>
      <c r="IBB121" s="285" t="s">
        <v>377</v>
      </c>
      <c r="IBC121" s="285" t="s">
        <v>376</v>
      </c>
      <c r="IBD121" s="285" t="s">
        <v>377</v>
      </c>
      <c r="IBE121" s="285" t="s">
        <v>376</v>
      </c>
      <c r="IBF121" s="285" t="s">
        <v>377</v>
      </c>
      <c r="IBG121" s="285" t="s">
        <v>376</v>
      </c>
      <c r="IBH121" s="285" t="s">
        <v>377</v>
      </c>
      <c r="IBI121" s="285" t="s">
        <v>376</v>
      </c>
      <c r="IBJ121" s="285" t="s">
        <v>377</v>
      </c>
      <c r="IBK121" s="285" t="s">
        <v>376</v>
      </c>
      <c r="IBL121" s="285" t="s">
        <v>377</v>
      </c>
      <c r="IBM121" s="285" t="s">
        <v>376</v>
      </c>
      <c r="IBN121" s="285" t="s">
        <v>377</v>
      </c>
      <c r="IBO121" s="285" t="s">
        <v>376</v>
      </c>
      <c r="IBP121" s="285" t="s">
        <v>377</v>
      </c>
      <c r="IBQ121" s="285" t="s">
        <v>376</v>
      </c>
      <c r="IBR121" s="285" t="s">
        <v>377</v>
      </c>
      <c r="IBS121" s="285" t="s">
        <v>376</v>
      </c>
      <c r="IBT121" s="285" t="s">
        <v>377</v>
      </c>
      <c r="IBU121" s="285" t="s">
        <v>376</v>
      </c>
      <c r="IBV121" s="285" t="s">
        <v>377</v>
      </c>
      <c r="IBW121" s="285" t="s">
        <v>376</v>
      </c>
      <c r="IBX121" s="285" t="s">
        <v>377</v>
      </c>
      <c r="IBY121" s="285" t="s">
        <v>376</v>
      </c>
      <c r="IBZ121" s="285" t="s">
        <v>377</v>
      </c>
      <c r="ICA121" s="285" t="s">
        <v>376</v>
      </c>
      <c r="ICB121" s="285" t="s">
        <v>377</v>
      </c>
      <c r="ICC121" s="285" t="s">
        <v>376</v>
      </c>
      <c r="ICD121" s="285" t="s">
        <v>377</v>
      </c>
      <c r="ICE121" s="285" t="s">
        <v>376</v>
      </c>
      <c r="ICF121" s="285" t="s">
        <v>377</v>
      </c>
      <c r="ICG121" s="285" t="s">
        <v>376</v>
      </c>
      <c r="ICH121" s="285" t="s">
        <v>377</v>
      </c>
      <c r="ICI121" s="285" t="s">
        <v>376</v>
      </c>
      <c r="ICJ121" s="285" t="s">
        <v>377</v>
      </c>
      <c r="ICK121" s="285" t="s">
        <v>376</v>
      </c>
      <c r="ICL121" s="285" t="s">
        <v>377</v>
      </c>
      <c r="ICM121" s="285" t="s">
        <v>376</v>
      </c>
      <c r="ICN121" s="285" t="s">
        <v>377</v>
      </c>
      <c r="ICO121" s="285" t="s">
        <v>376</v>
      </c>
      <c r="ICP121" s="285" t="s">
        <v>377</v>
      </c>
      <c r="ICQ121" s="285" t="s">
        <v>376</v>
      </c>
      <c r="ICR121" s="285" t="s">
        <v>377</v>
      </c>
      <c r="ICS121" s="285" t="s">
        <v>376</v>
      </c>
      <c r="ICT121" s="285" t="s">
        <v>377</v>
      </c>
      <c r="ICU121" s="285" t="s">
        <v>376</v>
      </c>
      <c r="ICV121" s="285" t="s">
        <v>377</v>
      </c>
      <c r="ICW121" s="285" t="s">
        <v>376</v>
      </c>
      <c r="ICX121" s="285" t="s">
        <v>377</v>
      </c>
      <c r="ICY121" s="285" t="s">
        <v>376</v>
      </c>
      <c r="ICZ121" s="285" t="s">
        <v>377</v>
      </c>
      <c r="IDA121" s="285" t="s">
        <v>376</v>
      </c>
      <c r="IDB121" s="285" t="s">
        <v>377</v>
      </c>
      <c r="IDC121" s="285" t="s">
        <v>376</v>
      </c>
      <c r="IDD121" s="285" t="s">
        <v>377</v>
      </c>
      <c r="IDE121" s="285" t="s">
        <v>376</v>
      </c>
      <c r="IDF121" s="285" t="s">
        <v>377</v>
      </c>
      <c r="IDG121" s="285" t="s">
        <v>376</v>
      </c>
      <c r="IDH121" s="285" t="s">
        <v>377</v>
      </c>
      <c r="IDI121" s="285" t="s">
        <v>376</v>
      </c>
      <c r="IDJ121" s="285" t="s">
        <v>377</v>
      </c>
      <c r="IDK121" s="285" t="s">
        <v>376</v>
      </c>
      <c r="IDL121" s="285" t="s">
        <v>377</v>
      </c>
      <c r="IDM121" s="285" t="s">
        <v>376</v>
      </c>
      <c r="IDN121" s="285" t="s">
        <v>377</v>
      </c>
      <c r="IDO121" s="285" t="s">
        <v>376</v>
      </c>
      <c r="IDP121" s="285" t="s">
        <v>377</v>
      </c>
      <c r="IDQ121" s="285" t="s">
        <v>376</v>
      </c>
      <c r="IDR121" s="285" t="s">
        <v>377</v>
      </c>
      <c r="IDS121" s="285" t="s">
        <v>376</v>
      </c>
      <c r="IDT121" s="285" t="s">
        <v>377</v>
      </c>
      <c r="IDU121" s="285" t="s">
        <v>376</v>
      </c>
      <c r="IDV121" s="285" t="s">
        <v>377</v>
      </c>
      <c r="IDW121" s="285" t="s">
        <v>376</v>
      </c>
      <c r="IDX121" s="285" t="s">
        <v>377</v>
      </c>
      <c r="IDY121" s="285" t="s">
        <v>376</v>
      </c>
      <c r="IDZ121" s="285" t="s">
        <v>377</v>
      </c>
      <c r="IEA121" s="285" t="s">
        <v>376</v>
      </c>
      <c r="IEB121" s="285" t="s">
        <v>377</v>
      </c>
      <c r="IEC121" s="285" t="s">
        <v>376</v>
      </c>
      <c r="IED121" s="285" t="s">
        <v>377</v>
      </c>
      <c r="IEE121" s="285" t="s">
        <v>376</v>
      </c>
      <c r="IEF121" s="285" t="s">
        <v>377</v>
      </c>
      <c r="IEG121" s="285" t="s">
        <v>376</v>
      </c>
      <c r="IEH121" s="285" t="s">
        <v>377</v>
      </c>
      <c r="IEI121" s="285" t="s">
        <v>376</v>
      </c>
      <c r="IEJ121" s="285" t="s">
        <v>377</v>
      </c>
      <c r="IEK121" s="285" t="s">
        <v>376</v>
      </c>
      <c r="IEL121" s="285" t="s">
        <v>377</v>
      </c>
      <c r="IEM121" s="285" t="s">
        <v>376</v>
      </c>
      <c r="IEN121" s="285" t="s">
        <v>377</v>
      </c>
      <c r="IEO121" s="285" t="s">
        <v>376</v>
      </c>
      <c r="IEP121" s="285" t="s">
        <v>377</v>
      </c>
      <c r="IEQ121" s="285" t="s">
        <v>376</v>
      </c>
      <c r="IER121" s="285" t="s">
        <v>377</v>
      </c>
      <c r="IES121" s="285" t="s">
        <v>376</v>
      </c>
      <c r="IET121" s="285" t="s">
        <v>377</v>
      </c>
      <c r="IEU121" s="285" t="s">
        <v>376</v>
      </c>
      <c r="IEV121" s="285" t="s">
        <v>377</v>
      </c>
      <c r="IEW121" s="285" t="s">
        <v>376</v>
      </c>
      <c r="IEX121" s="285" t="s">
        <v>377</v>
      </c>
      <c r="IEY121" s="285" t="s">
        <v>376</v>
      </c>
      <c r="IEZ121" s="285" t="s">
        <v>377</v>
      </c>
      <c r="IFA121" s="285" t="s">
        <v>376</v>
      </c>
      <c r="IFB121" s="285" t="s">
        <v>377</v>
      </c>
      <c r="IFC121" s="285" t="s">
        <v>376</v>
      </c>
      <c r="IFD121" s="285" t="s">
        <v>377</v>
      </c>
      <c r="IFE121" s="285" t="s">
        <v>376</v>
      </c>
      <c r="IFF121" s="285" t="s">
        <v>377</v>
      </c>
      <c r="IFG121" s="285" t="s">
        <v>376</v>
      </c>
      <c r="IFH121" s="285" t="s">
        <v>377</v>
      </c>
      <c r="IFI121" s="285" t="s">
        <v>376</v>
      </c>
      <c r="IFJ121" s="285" t="s">
        <v>377</v>
      </c>
      <c r="IFK121" s="285" t="s">
        <v>376</v>
      </c>
      <c r="IFL121" s="285" t="s">
        <v>377</v>
      </c>
      <c r="IFM121" s="285" t="s">
        <v>376</v>
      </c>
      <c r="IFN121" s="285" t="s">
        <v>377</v>
      </c>
      <c r="IFO121" s="285" t="s">
        <v>376</v>
      </c>
      <c r="IFP121" s="285" t="s">
        <v>377</v>
      </c>
      <c r="IFQ121" s="285" t="s">
        <v>376</v>
      </c>
      <c r="IFR121" s="285" t="s">
        <v>377</v>
      </c>
      <c r="IFS121" s="285" t="s">
        <v>376</v>
      </c>
      <c r="IFT121" s="285" t="s">
        <v>377</v>
      </c>
      <c r="IFU121" s="285" t="s">
        <v>376</v>
      </c>
      <c r="IFV121" s="285" t="s">
        <v>377</v>
      </c>
      <c r="IFW121" s="285" t="s">
        <v>376</v>
      </c>
      <c r="IFX121" s="285" t="s">
        <v>377</v>
      </c>
      <c r="IFY121" s="285" t="s">
        <v>376</v>
      </c>
      <c r="IFZ121" s="285" t="s">
        <v>377</v>
      </c>
      <c r="IGA121" s="285" t="s">
        <v>376</v>
      </c>
      <c r="IGB121" s="285" t="s">
        <v>377</v>
      </c>
      <c r="IGC121" s="285" t="s">
        <v>376</v>
      </c>
      <c r="IGD121" s="285" t="s">
        <v>377</v>
      </c>
      <c r="IGE121" s="285" t="s">
        <v>376</v>
      </c>
      <c r="IGF121" s="285" t="s">
        <v>377</v>
      </c>
      <c r="IGG121" s="285" t="s">
        <v>376</v>
      </c>
      <c r="IGH121" s="285" t="s">
        <v>377</v>
      </c>
      <c r="IGI121" s="285" t="s">
        <v>376</v>
      </c>
      <c r="IGJ121" s="285" t="s">
        <v>377</v>
      </c>
      <c r="IGK121" s="285" t="s">
        <v>376</v>
      </c>
      <c r="IGL121" s="285" t="s">
        <v>377</v>
      </c>
      <c r="IGM121" s="285" t="s">
        <v>376</v>
      </c>
      <c r="IGN121" s="285" t="s">
        <v>377</v>
      </c>
      <c r="IGO121" s="285" t="s">
        <v>376</v>
      </c>
      <c r="IGP121" s="285" t="s">
        <v>377</v>
      </c>
      <c r="IGQ121" s="285" t="s">
        <v>376</v>
      </c>
      <c r="IGR121" s="285" t="s">
        <v>377</v>
      </c>
      <c r="IGS121" s="285" t="s">
        <v>376</v>
      </c>
      <c r="IGT121" s="285" t="s">
        <v>377</v>
      </c>
      <c r="IGU121" s="285" t="s">
        <v>376</v>
      </c>
      <c r="IGV121" s="285" t="s">
        <v>377</v>
      </c>
      <c r="IGW121" s="285" t="s">
        <v>376</v>
      </c>
      <c r="IGX121" s="285" t="s">
        <v>377</v>
      </c>
      <c r="IGY121" s="285" t="s">
        <v>376</v>
      </c>
      <c r="IGZ121" s="285" t="s">
        <v>377</v>
      </c>
      <c r="IHA121" s="285" t="s">
        <v>376</v>
      </c>
      <c r="IHB121" s="285" t="s">
        <v>377</v>
      </c>
      <c r="IHC121" s="285" t="s">
        <v>376</v>
      </c>
      <c r="IHD121" s="285" t="s">
        <v>377</v>
      </c>
      <c r="IHE121" s="285" t="s">
        <v>376</v>
      </c>
      <c r="IHF121" s="285" t="s">
        <v>377</v>
      </c>
      <c r="IHG121" s="285" t="s">
        <v>376</v>
      </c>
      <c r="IHH121" s="285" t="s">
        <v>377</v>
      </c>
      <c r="IHI121" s="285" t="s">
        <v>376</v>
      </c>
      <c r="IHJ121" s="285" t="s">
        <v>377</v>
      </c>
      <c r="IHK121" s="285" t="s">
        <v>376</v>
      </c>
      <c r="IHL121" s="285" t="s">
        <v>377</v>
      </c>
      <c r="IHM121" s="285" t="s">
        <v>376</v>
      </c>
      <c r="IHN121" s="285" t="s">
        <v>377</v>
      </c>
      <c r="IHO121" s="285" t="s">
        <v>376</v>
      </c>
      <c r="IHP121" s="285" t="s">
        <v>377</v>
      </c>
      <c r="IHQ121" s="285" t="s">
        <v>376</v>
      </c>
      <c r="IHR121" s="285" t="s">
        <v>377</v>
      </c>
      <c r="IHS121" s="285" t="s">
        <v>376</v>
      </c>
      <c r="IHT121" s="285" t="s">
        <v>377</v>
      </c>
      <c r="IHU121" s="285" t="s">
        <v>376</v>
      </c>
      <c r="IHV121" s="285" t="s">
        <v>377</v>
      </c>
      <c r="IHW121" s="285" t="s">
        <v>376</v>
      </c>
      <c r="IHX121" s="285" t="s">
        <v>377</v>
      </c>
      <c r="IHY121" s="285" t="s">
        <v>376</v>
      </c>
      <c r="IHZ121" s="285" t="s">
        <v>377</v>
      </c>
      <c r="IIA121" s="285" t="s">
        <v>376</v>
      </c>
      <c r="IIB121" s="285" t="s">
        <v>377</v>
      </c>
      <c r="IIC121" s="285" t="s">
        <v>376</v>
      </c>
      <c r="IID121" s="285" t="s">
        <v>377</v>
      </c>
      <c r="IIE121" s="285" t="s">
        <v>376</v>
      </c>
      <c r="IIF121" s="285" t="s">
        <v>377</v>
      </c>
      <c r="IIG121" s="285" t="s">
        <v>376</v>
      </c>
      <c r="IIH121" s="285" t="s">
        <v>377</v>
      </c>
      <c r="III121" s="285" t="s">
        <v>376</v>
      </c>
      <c r="IIJ121" s="285" t="s">
        <v>377</v>
      </c>
      <c r="IIK121" s="285" t="s">
        <v>376</v>
      </c>
      <c r="IIL121" s="285" t="s">
        <v>377</v>
      </c>
      <c r="IIM121" s="285" t="s">
        <v>376</v>
      </c>
      <c r="IIN121" s="285" t="s">
        <v>377</v>
      </c>
      <c r="IIO121" s="285" t="s">
        <v>376</v>
      </c>
      <c r="IIP121" s="285" t="s">
        <v>377</v>
      </c>
      <c r="IIQ121" s="285" t="s">
        <v>376</v>
      </c>
      <c r="IIR121" s="285" t="s">
        <v>377</v>
      </c>
      <c r="IIS121" s="285" t="s">
        <v>376</v>
      </c>
      <c r="IIT121" s="285" t="s">
        <v>377</v>
      </c>
      <c r="IIU121" s="285" t="s">
        <v>376</v>
      </c>
      <c r="IIV121" s="285" t="s">
        <v>377</v>
      </c>
      <c r="IIW121" s="285" t="s">
        <v>376</v>
      </c>
      <c r="IIX121" s="285" t="s">
        <v>377</v>
      </c>
      <c r="IIY121" s="285" t="s">
        <v>376</v>
      </c>
      <c r="IIZ121" s="285" t="s">
        <v>377</v>
      </c>
      <c r="IJA121" s="285" t="s">
        <v>376</v>
      </c>
      <c r="IJB121" s="285" t="s">
        <v>377</v>
      </c>
      <c r="IJC121" s="285" t="s">
        <v>376</v>
      </c>
      <c r="IJD121" s="285" t="s">
        <v>377</v>
      </c>
      <c r="IJE121" s="285" t="s">
        <v>376</v>
      </c>
      <c r="IJF121" s="285" t="s">
        <v>377</v>
      </c>
      <c r="IJG121" s="285" t="s">
        <v>376</v>
      </c>
      <c r="IJH121" s="285" t="s">
        <v>377</v>
      </c>
      <c r="IJI121" s="285" t="s">
        <v>376</v>
      </c>
      <c r="IJJ121" s="285" t="s">
        <v>377</v>
      </c>
      <c r="IJK121" s="285" t="s">
        <v>376</v>
      </c>
      <c r="IJL121" s="285" t="s">
        <v>377</v>
      </c>
      <c r="IJM121" s="285" t="s">
        <v>376</v>
      </c>
      <c r="IJN121" s="285" t="s">
        <v>377</v>
      </c>
      <c r="IJO121" s="285" t="s">
        <v>376</v>
      </c>
      <c r="IJP121" s="285" t="s">
        <v>377</v>
      </c>
      <c r="IJQ121" s="285" t="s">
        <v>376</v>
      </c>
      <c r="IJR121" s="285" t="s">
        <v>377</v>
      </c>
      <c r="IJS121" s="285" t="s">
        <v>376</v>
      </c>
      <c r="IJT121" s="285" t="s">
        <v>377</v>
      </c>
      <c r="IJU121" s="285" t="s">
        <v>376</v>
      </c>
      <c r="IJV121" s="285" t="s">
        <v>377</v>
      </c>
      <c r="IJW121" s="285" t="s">
        <v>376</v>
      </c>
      <c r="IJX121" s="285" t="s">
        <v>377</v>
      </c>
      <c r="IJY121" s="285" t="s">
        <v>376</v>
      </c>
      <c r="IJZ121" s="285" t="s">
        <v>377</v>
      </c>
      <c r="IKA121" s="285" t="s">
        <v>376</v>
      </c>
      <c r="IKB121" s="285" t="s">
        <v>377</v>
      </c>
      <c r="IKC121" s="285" t="s">
        <v>376</v>
      </c>
      <c r="IKD121" s="285" t="s">
        <v>377</v>
      </c>
      <c r="IKE121" s="285" t="s">
        <v>376</v>
      </c>
      <c r="IKF121" s="285" t="s">
        <v>377</v>
      </c>
      <c r="IKG121" s="285" t="s">
        <v>376</v>
      </c>
      <c r="IKH121" s="285" t="s">
        <v>377</v>
      </c>
      <c r="IKI121" s="285" t="s">
        <v>376</v>
      </c>
      <c r="IKJ121" s="285" t="s">
        <v>377</v>
      </c>
      <c r="IKK121" s="285" t="s">
        <v>376</v>
      </c>
      <c r="IKL121" s="285" t="s">
        <v>377</v>
      </c>
      <c r="IKM121" s="285" t="s">
        <v>376</v>
      </c>
      <c r="IKN121" s="285" t="s">
        <v>377</v>
      </c>
      <c r="IKO121" s="285" t="s">
        <v>376</v>
      </c>
      <c r="IKP121" s="285" t="s">
        <v>377</v>
      </c>
      <c r="IKQ121" s="285" t="s">
        <v>376</v>
      </c>
      <c r="IKR121" s="285" t="s">
        <v>377</v>
      </c>
      <c r="IKS121" s="285" t="s">
        <v>376</v>
      </c>
      <c r="IKT121" s="285" t="s">
        <v>377</v>
      </c>
      <c r="IKU121" s="285" t="s">
        <v>376</v>
      </c>
      <c r="IKV121" s="285" t="s">
        <v>377</v>
      </c>
      <c r="IKW121" s="285" t="s">
        <v>376</v>
      </c>
      <c r="IKX121" s="285" t="s">
        <v>377</v>
      </c>
      <c r="IKY121" s="285" t="s">
        <v>376</v>
      </c>
      <c r="IKZ121" s="285" t="s">
        <v>377</v>
      </c>
      <c r="ILA121" s="285" t="s">
        <v>376</v>
      </c>
      <c r="ILB121" s="285" t="s">
        <v>377</v>
      </c>
      <c r="ILC121" s="285" t="s">
        <v>376</v>
      </c>
      <c r="ILD121" s="285" t="s">
        <v>377</v>
      </c>
      <c r="ILE121" s="285" t="s">
        <v>376</v>
      </c>
      <c r="ILF121" s="285" t="s">
        <v>377</v>
      </c>
      <c r="ILG121" s="285" t="s">
        <v>376</v>
      </c>
      <c r="ILH121" s="285" t="s">
        <v>377</v>
      </c>
      <c r="ILI121" s="285" t="s">
        <v>376</v>
      </c>
      <c r="ILJ121" s="285" t="s">
        <v>377</v>
      </c>
      <c r="ILK121" s="285" t="s">
        <v>376</v>
      </c>
      <c r="ILL121" s="285" t="s">
        <v>377</v>
      </c>
      <c r="ILM121" s="285" t="s">
        <v>376</v>
      </c>
      <c r="ILN121" s="285" t="s">
        <v>377</v>
      </c>
      <c r="ILO121" s="285" t="s">
        <v>376</v>
      </c>
      <c r="ILP121" s="285" t="s">
        <v>377</v>
      </c>
      <c r="ILQ121" s="285" t="s">
        <v>376</v>
      </c>
      <c r="ILR121" s="285" t="s">
        <v>377</v>
      </c>
      <c r="ILS121" s="285" t="s">
        <v>376</v>
      </c>
      <c r="ILT121" s="285" t="s">
        <v>377</v>
      </c>
      <c r="ILU121" s="285" t="s">
        <v>376</v>
      </c>
      <c r="ILV121" s="285" t="s">
        <v>377</v>
      </c>
      <c r="ILW121" s="285" t="s">
        <v>376</v>
      </c>
      <c r="ILX121" s="285" t="s">
        <v>377</v>
      </c>
      <c r="ILY121" s="285" t="s">
        <v>376</v>
      </c>
      <c r="ILZ121" s="285" t="s">
        <v>377</v>
      </c>
      <c r="IMA121" s="285" t="s">
        <v>376</v>
      </c>
      <c r="IMB121" s="285" t="s">
        <v>377</v>
      </c>
      <c r="IMC121" s="285" t="s">
        <v>376</v>
      </c>
      <c r="IMD121" s="285" t="s">
        <v>377</v>
      </c>
      <c r="IME121" s="285" t="s">
        <v>376</v>
      </c>
      <c r="IMF121" s="285" t="s">
        <v>377</v>
      </c>
      <c r="IMG121" s="285" t="s">
        <v>376</v>
      </c>
      <c r="IMH121" s="285" t="s">
        <v>377</v>
      </c>
      <c r="IMI121" s="285" t="s">
        <v>376</v>
      </c>
      <c r="IMJ121" s="285" t="s">
        <v>377</v>
      </c>
      <c r="IMK121" s="285" t="s">
        <v>376</v>
      </c>
      <c r="IML121" s="285" t="s">
        <v>377</v>
      </c>
      <c r="IMM121" s="285" t="s">
        <v>376</v>
      </c>
      <c r="IMN121" s="285" t="s">
        <v>377</v>
      </c>
      <c r="IMO121" s="285" t="s">
        <v>376</v>
      </c>
      <c r="IMP121" s="285" t="s">
        <v>377</v>
      </c>
      <c r="IMQ121" s="285" t="s">
        <v>376</v>
      </c>
      <c r="IMR121" s="285" t="s">
        <v>377</v>
      </c>
      <c r="IMS121" s="285" t="s">
        <v>376</v>
      </c>
      <c r="IMT121" s="285" t="s">
        <v>377</v>
      </c>
      <c r="IMU121" s="285" t="s">
        <v>376</v>
      </c>
      <c r="IMV121" s="285" t="s">
        <v>377</v>
      </c>
      <c r="IMW121" s="285" t="s">
        <v>376</v>
      </c>
      <c r="IMX121" s="285" t="s">
        <v>377</v>
      </c>
      <c r="IMY121" s="285" t="s">
        <v>376</v>
      </c>
      <c r="IMZ121" s="285" t="s">
        <v>377</v>
      </c>
      <c r="INA121" s="285" t="s">
        <v>376</v>
      </c>
      <c r="INB121" s="285" t="s">
        <v>377</v>
      </c>
      <c r="INC121" s="285" t="s">
        <v>376</v>
      </c>
      <c r="IND121" s="285" t="s">
        <v>377</v>
      </c>
      <c r="INE121" s="285" t="s">
        <v>376</v>
      </c>
      <c r="INF121" s="285" t="s">
        <v>377</v>
      </c>
      <c r="ING121" s="285" t="s">
        <v>376</v>
      </c>
      <c r="INH121" s="285" t="s">
        <v>377</v>
      </c>
      <c r="INI121" s="285" t="s">
        <v>376</v>
      </c>
      <c r="INJ121" s="285" t="s">
        <v>377</v>
      </c>
      <c r="INK121" s="285" t="s">
        <v>376</v>
      </c>
      <c r="INL121" s="285" t="s">
        <v>377</v>
      </c>
      <c r="INM121" s="285" t="s">
        <v>376</v>
      </c>
      <c r="INN121" s="285" t="s">
        <v>377</v>
      </c>
      <c r="INO121" s="285" t="s">
        <v>376</v>
      </c>
      <c r="INP121" s="285" t="s">
        <v>377</v>
      </c>
      <c r="INQ121" s="285" t="s">
        <v>376</v>
      </c>
      <c r="INR121" s="285" t="s">
        <v>377</v>
      </c>
      <c r="INS121" s="285" t="s">
        <v>376</v>
      </c>
      <c r="INT121" s="285" t="s">
        <v>377</v>
      </c>
      <c r="INU121" s="285" t="s">
        <v>376</v>
      </c>
      <c r="INV121" s="285" t="s">
        <v>377</v>
      </c>
      <c r="INW121" s="285" t="s">
        <v>376</v>
      </c>
      <c r="INX121" s="285" t="s">
        <v>377</v>
      </c>
      <c r="INY121" s="285" t="s">
        <v>376</v>
      </c>
      <c r="INZ121" s="285" t="s">
        <v>377</v>
      </c>
      <c r="IOA121" s="285" t="s">
        <v>376</v>
      </c>
      <c r="IOB121" s="285" t="s">
        <v>377</v>
      </c>
      <c r="IOC121" s="285" t="s">
        <v>376</v>
      </c>
      <c r="IOD121" s="285" t="s">
        <v>377</v>
      </c>
      <c r="IOE121" s="285" t="s">
        <v>376</v>
      </c>
      <c r="IOF121" s="285" t="s">
        <v>377</v>
      </c>
      <c r="IOG121" s="285" t="s">
        <v>376</v>
      </c>
      <c r="IOH121" s="285" t="s">
        <v>377</v>
      </c>
      <c r="IOI121" s="285" t="s">
        <v>376</v>
      </c>
      <c r="IOJ121" s="285" t="s">
        <v>377</v>
      </c>
      <c r="IOK121" s="285" t="s">
        <v>376</v>
      </c>
      <c r="IOL121" s="285" t="s">
        <v>377</v>
      </c>
      <c r="IOM121" s="285" t="s">
        <v>376</v>
      </c>
      <c r="ION121" s="285" t="s">
        <v>377</v>
      </c>
      <c r="IOO121" s="285" t="s">
        <v>376</v>
      </c>
      <c r="IOP121" s="285" t="s">
        <v>377</v>
      </c>
      <c r="IOQ121" s="285" t="s">
        <v>376</v>
      </c>
      <c r="IOR121" s="285" t="s">
        <v>377</v>
      </c>
      <c r="IOS121" s="285" t="s">
        <v>376</v>
      </c>
      <c r="IOT121" s="285" t="s">
        <v>377</v>
      </c>
      <c r="IOU121" s="285" t="s">
        <v>376</v>
      </c>
      <c r="IOV121" s="285" t="s">
        <v>377</v>
      </c>
      <c r="IOW121" s="285" t="s">
        <v>376</v>
      </c>
      <c r="IOX121" s="285" t="s">
        <v>377</v>
      </c>
      <c r="IOY121" s="285" t="s">
        <v>376</v>
      </c>
      <c r="IOZ121" s="285" t="s">
        <v>377</v>
      </c>
      <c r="IPA121" s="285" t="s">
        <v>376</v>
      </c>
      <c r="IPB121" s="285" t="s">
        <v>377</v>
      </c>
      <c r="IPC121" s="285" t="s">
        <v>376</v>
      </c>
      <c r="IPD121" s="285" t="s">
        <v>377</v>
      </c>
      <c r="IPE121" s="285" t="s">
        <v>376</v>
      </c>
      <c r="IPF121" s="285" t="s">
        <v>377</v>
      </c>
      <c r="IPG121" s="285" t="s">
        <v>376</v>
      </c>
      <c r="IPH121" s="285" t="s">
        <v>377</v>
      </c>
      <c r="IPI121" s="285" t="s">
        <v>376</v>
      </c>
      <c r="IPJ121" s="285" t="s">
        <v>377</v>
      </c>
      <c r="IPK121" s="285" t="s">
        <v>376</v>
      </c>
      <c r="IPL121" s="285" t="s">
        <v>377</v>
      </c>
      <c r="IPM121" s="285" t="s">
        <v>376</v>
      </c>
      <c r="IPN121" s="285" t="s">
        <v>377</v>
      </c>
      <c r="IPO121" s="285" t="s">
        <v>376</v>
      </c>
      <c r="IPP121" s="285" t="s">
        <v>377</v>
      </c>
      <c r="IPQ121" s="285" t="s">
        <v>376</v>
      </c>
      <c r="IPR121" s="285" t="s">
        <v>377</v>
      </c>
      <c r="IPS121" s="285" t="s">
        <v>376</v>
      </c>
      <c r="IPT121" s="285" t="s">
        <v>377</v>
      </c>
      <c r="IPU121" s="285" t="s">
        <v>376</v>
      </c>
      <c r="IPV121" s="285" t="s">
        <v>377</v>
      </c>
      <c r="IPW121" s="285" t="s">
        <v>376</v>
      </c>
      <c r="IPX121" s="285" t="s">
        <v>377</v>
      </c>
      <c r="IPY121" s="285" t="s">
        <v>376</v>
      </c>
      <c r="IPZ121" s="285" t="s">
        <v>377</v>
      </c>
      <c r="IQA121" s="285" t="s">
        <v>376</v>
      </c>
      <c r="IQB121" s="285" t="s">
        <v>377</v>
      </c>
      <c r="IQC121" s="285" t="s">
        <v>376</v>
      </c>
      <c r="IQD121" s="285" t="s">
        <v>377</v>
      </c>
      <c r="IQE121" s="285" t="s">
        <v>376</v>
      </c>
      <c r="IQF121" s="285" t="s">
        <v>377</v>
      </c>
      <c r="IQG121" s="285" t="s">
        <v>376</v>
      </c>
      <c r="IQH121" s="285" t="s">
        <v>377</v>
      </c>
      <c r="IQI121" s="285" t="s">
        <v>376</v>
      </c>
      <c r="IQJ121" s="285" t="s">
        <v>377</v>
      </c>
      <c r="IQK121" s="285" t="s">
        <v>376</v>
      </c>
      <c r="IQL121" s="285" t="s">
        <v>377</v>
      </c>
      <c r="IQM121" s="285" t="s">
        <v>376</v>
      </c>
      <c r="IQN121" s="285" t="s">
        <v>377</v>
      </c>
      <c r="IQO121" s="285" t="s">
        <v>376</v>
      </c>
      <c r="IQP121" s="285" t="s">
        <v>377</v>
      </c>
      <c r="IQQ121" s="285" t="s">
        <v>376</v>
      </c>
      <c r="IQR121" s="285" t="s">
        <v>377</v>
      </c>
      <c r="IQS121" s="285" t="s">
        <v>376</v>
      </c>
      <c r="IQT121" s="285" t="s">
        <v>377</v>
      </c>
      <c r="IQU121" s="285" t="s">
        <v>376</v>
      </c>
      <c r="IQV121" s="285" t="s">
        <v>377</v>
      </c>
      <c r="IQW121" s="285" t="s">
        <v>376</v>
      </c>
      <c r="IQX121" s="285" t="s">
        <v>377</v>
      </c>
      <c r="IQY121" s="285" t="s">
        <v>376</v>
      </c>
      <c r="IQZ121" s="285" t="s">
        <v>377</v>
      </c>
      <c r="IRA121" s="285" t="s">
        <v>376</v>
      </c>
      <c r="IRB121" s="285" t="s">
        <v>377</v>
      </c>
      <c r="IRC121" s="285" t="s">
        <v>376</v>
      </c>
      <c r="IRD121" s="285" t="s">
        <v>377</v>
      </c>
      <c r="IRE121" s="285" t="s">
        <v>376</v>
      </c>
      <c r="IRF121" s="285" t="s">
        <v>377</v>
      </c>
      <c r="IRG121" s="285" t="s">
        <v>376</v>
      </c>
      <c r="IRH121" s="285" t="s">
        <v>377</v>
      </c>
      <c r="IRI121" s="285" t="s">
        <v>376</v>
      </c>
      <c r="IRJ121" s="285" t="s">
        <v>377</v>
      </c>
      <c r="IRK121" s="285" t="s">
        <v>376</v>
      </c>
      <c r="IRL121" s="285" t="s">
        <v>377</v>
      </c>
      <c r="IRM121" s="285" t="s">
        <v>376</v>
      </c>
      <c r="IRN121" s="285" t="s">
        <v>377</v>
      </c>
      <c r="IRO121" s="285" t="s">
        <v>376</v>
      </c>
      <c r="IRP121" s="285" t="s">
        <v>377</v>
      </c>
      <c r="IRQ121" s="285" t="s">
        <v>376</v>
      </c>
      <c r="IRR121" s="285" t="s">
        <v>377</v>
      </c>
      <c r="IRS121" s="285" t="s">
        <v>376</v>
      </c>
      <c r="IRT121" s="285" t="s">
        <v>377</v>
      </c>
      <c r="IRU121" s="285" t="s">
        <v>376</v>
      </c>
      <c r="IRV121" s="285" t="s">
        <v>377</v>
      </c>
      <c r="IRW121" s="285" t="s">
        <v>376</v>
      </c>
      <c r="IRX121" s="285" t="s">
        <v>377</v>
      </c>
      <c r="IRY121" s="285" t="s">
        <v>376</v>
      </c>
      <c r="IRZ121" s="285" t="s">
        <v>377</v>
      </c>
      <c r="ISA121" s="285" t="s">
        <v>376</v>
      </c>
      <c r="ISB121" s="285" t="s">
        <v>377</v>
      </c>
      <c r="ISC121" s="285" t="s">
        <v>376</v>
      </c>
      <c r="ISD121" s="285" t="s">
        <v>377</v>
      </c>
      <c r="ISE121" s="285" t="s">
        <v>376</v>
      </c>
      <c r="ISF121" s="285" t="s">
        <v>377</v>
      </c>
      <c r="ISG121" s="285" t="s">
        <v>376</v>
      </c>
      <c r="ISH121" s="285" t="s">
        <v>377</v>
      </c>
      <c r="ISI121" s="285" t="s">
        <v>376</v>
      </c>
      <c r="ISJ121" s="285" t="s">
        <v>377</v>
      </c>
      <c r="ISK121" s="285" t="s">
        <v>376</v>
      </c>
      <c r="ISL121" s="285" t="s">
        <v>377</v>
      </c>
      <c r="ISM121" s="285" t="s">
        <v>376</v>
      </c>
      <c r="ISN121" s="285" t="s">
        <v>377</v>
      </c>
      <c r="ISO121" s="285" t="s">
        <v>376</v>
      </c>
      <c r="ISP121" s="285" t="s">
        <v>377</v>
      </c>
      <c r="ISQ121" s="285" t="s">
        <v>376</v>
      </c>
      <c r="ISR121" s="285" t="s">
        <v>377</v>
      </c>
      <c r="ISS121" s="285" t="s">
        <v>376</v>
      </c>
      <c r="IST121" s="285" t="s">
        <v>377</v>
      </c>
      <c r="ISU121" s="285" t="s">
        <v>376</v>
      </c>
      <c r="ISV121" s="285" t="s">
        <v>377</v>
      </c>
      <c r="ISW121" s="285" t="s">
        <v>376</v>
      </c>
      <c r="ISX121" s="285" t="s">
        <v>377</v>
      </c>
      <c r="ISY121" s="285" t="s">
        <v>376</v>
      </c>
      <c r="ISZ121" s="285" t="s">
        <v>377</v>
      </c>
      <c r="ITA121" s="285" t="s">
        <v>376</v>
      </c>
      <c r="ITB121" s="285" t="s">
        <v>377</v>
      </c>
      <c r="ITC121" s="285" t="s">
        <v>376</v>
      </c>
      <c r="ITD121" s="285" t="s">
        <v>377</v>
      </c>
      <c r="ITE121" s="285" t="s">
        <v>376</v>
      </c>
      <c r="ITF121" s="285" t="s">
        <v>377</v>
      </c>
      <c r="ITG121" s="285" t="s">
        <v>376</v>
      </c>
      <c r="ITH121" s="285" t="s">
        <v>377</v>
      </c>
      <c r="ITI121" s="285" t="s">
        <v>376</v>
      </c>
      <c r="ITJ121" s="285" t="s">
        <v>377</v>
      </c>
      <c r="ITK121" s="285" t="s">
        <v>376</v>
      </c>
      <c r="ITL121" s="285" t="s">
        <v>377</v>
      </c>
      <c r="ITM121" s="285" t="s">
        <v>376</v>
      </c>
      <c r="ITN121" s="285" t="s">
        <v>377</v>
      </c>
      <c r="ITO121" s="285" t="s">
        <v>376</v>
      </c>
      <c r="ITP121" s="285" t="s">
        <v>377</v>
      </c>
      <c r="ITQ121" s="285" t="s">
        <v>376</v>
      </c>
      <c r="ITR121" s="285" t="s">
        <v>377</v>
      </c>
      <c r="ITS121" s="285" t="s">
        <v>376</v>
      </c>
      <c r="ITT121" s="285" t="s">
        <v>377</v>
      </c>
      <c r="ITU121" s="285" t="s">
        <v>376</v>
      </c>
      <c r="ITV121" s="285" t="s">
        <v>377</v>
      </c>
      <c r="ITW121" s="285" t="s">
        <v>376</v>
      </c>
      <c r="ITX121" s="285" t="s">
        <v>377</v>
      </c>
      <c r="ITY121" s="285" t="s">
        <v>376</v>
      </c>
      <c r="ITZ121" s="285" t="s">
        <v>377</v>
      </c>
      <c r="IUA121" s="285" t="s">
        <v>376</v>
      </c>
      <c r="IUB121" s="285" t="s">
        <v>377</v>
      </c>
      <c r="IUC121" s="285" t="s">
        <v>376</v>
      </c>
      <c r="IUD121" s="285" t="s">
        <v>377</v>
      </c>
      <c r="IUE121" s="285" t="s">
        <v>376</v>
      </c>
      <c r="IUF121" s="285" t="s">
        <v>377</v>
      </c>
      <c r="IUG121" s="285" t="s">
        <v>376</v>
      </c>
      <c r="IUH121" s="285" t="s">
        <v>377</v>
      </c>
      <c r="IUI121" s="285" t="s">
        <v>376</v>
      </c>
      <c r="IUJ121" s="285" t="s">
        <v>377</v>
      </c>
      <c r="IUK121" s="285" t="s">
        <v>376</v>
      </c>
      <c r="IUL121" s="285" t="s">
        <v>377</v>
      </c>
      <c r="IUM121" s="285" t="s">
        <v>376</v>
      </c>
      <c r="IUN121" s="285" t="s">
        <v>377</v>
      </c>
      <c r="IUO121" s="285" t="s">
        <v>376</v>
      </c>
      <c r="IUP121" s="285" t="s">
        <v>377</v>
      </c>
      <c r="IUQ121" s="285" t="s">
        <v>376</v>
      </c>
      <c r="IUR121" s="285" t="s">
        <v>377</v>
      </c>
      <c r="IUS121" s="285" t="s">
        <v>376</v>
      </c>
      <c r="IUT121" s="285" t="s">
        <v>377</v>
      </c>
      <c r="IUU121" s="285" t="s">
        <v>376</v>
      </c>
      <c r="IUV121" s="285" t="s">
        <v>377</v>
      </c>
      <c r="IUW121" s="285" t="s">
        <v>376</v>
      </c>
      <c r="IUX121" s="285" t="s">
        <v>377</v>
      </c>
      <c r="IUY121" s="285" t="s">
        <v>376</v>
      </c>
      <c r="IUZ121" s="285" t="s">
        <v>377</v>
      </c>
      <c r="IVA121" s="285" t="s">
        <v>376</v>
      </c>
      <c r="IVB121" s="285" t="s">
        <v>377</v>
      </c>
      <c r="IVC121" s="285" t="s">
        <v>376</v>
      </c>
      <c r="IVD121" s="285" t="s">
        <v>377</v>
      </c>
      <c r="IVE121" s="285" t="s">
        <v>376</v>
      </c>
      <c r="IVF121" s="285" t="s">
        <v>377</v>
      </c>
      <c r="IVG121" s="285" t="s">
        <v>376</v>
      </c>
      <c r="IVH121" s="285" t="s">
        <v>377</v>
      </c>
      <c r="IVI121" s="285" t="s">
        <v>376</v>
      </c>
      <c r="IVJ121" s="285" t="s">
        <v>377</v>
      </c>
      <c r="IVK121" s="285" t="s">
        <v>376</v>
      </c>
      <c r="IVL121" s="285" t="s">
        <v>377</v>
      </c>
      <c r="IVM121" s="285" t="s">
        <v>376</v>
      </c>
      <c r="IVN121" s="285" t="s">
        <v>377</v>
      </c>
      <c r="IVO121" s="285" t="s">
        <v>376</v>
      </c>
      <c r="IVP121" s="285" t="s">
        <v>377</v>
      </c>
      <c r="IVQ121" s="285" t="s">
        <v>376</v>
      </c>
      <c r="IVR121" s="285" t="s">
        <v>377</v>
      </c>
      <c r="IVS121" s="285" t="s">
        <v>376</v>
      </c>
      <c r="IVT121" s="285" t="s">
        <v>377</v>
      </c>
      <c r="IVU121" s="285" t="s">
        <v>376</v>
      </c>
      <c r="IVV121" s="285" t="s">
        <v>377</v>
      </c>
      <c r="IVW121" s="285" t="s">
        <v>376</v>
      </c>
      <c r="IVX121" s="285" t="s">
        <v>377</v>
      </c>
      <c r="IVY121" s="285" t="s">
        <v>376</v>
      </c>
      <c r="IVZ121" s="285" t="s">
        <v>377</v>
      </c>
      <c r="IWA121" s="285" t="s">
        <v>376</v>
      </c>
      <c r="IWB121" s="285" t="s">
        <v>377</v>
      </c>
      <c r="IWC121" s="285" t="s">
        <v>376</v>
      </c>
      <c r="IWD121" s="285" t="s">
        <v>377</v>
      </c>
      <c r="IWE121" s="285" t="s">
        <v>376</v>
      </c>
      <c r="IWF121" s="285" t="s">
        <v>377</v>
      </c>
      <c r="IWG121" s="285" t="s">
        <v>376</v>
      </c>
      <c r="IWH121" s="285" t="s">
        <v>377</v>
      </c>
      <c r="IWI121" s="285" t="s">
        <v>376</v>
      </c>
      <c r="IWJ121" s="285" t="s">
        <v>377</v>
      </c>
      <c r="IWK121" s="285" t="s">
        <v>376</v>
      </c>
      <c r="IWL121" s="285" t="s">
        <v>377</v>
      </c>
      <c r="IWM121" s="285" t="s">
        <v>376</v>
      </c>
      <c r="IWN121" s="285" t="s">
        <v>377</v>
      </c>
      <c r="IWO121" s="285" t="s">
        <v>376</v>
      </c>
      <c r="IWP121" s="285" t="s">
        <v>377</v>
      </c>
      <c r="IWQ121" s="285" t="s">
        <v>376</v>
      </c>
      <c r="IWR121" s="285" t="s">
        <v>377</v>
      </c>
      <c r="IWS121" s="285" t="s">
        <v>376</v>
      </c>
      <c r="IWT121" s="285" t="s">
        <v>377</v>
      </c>
      <c r="IWU121" s="285" t="s">
        <v>376</v>
      </c>
      <c r="IWV121" s="285" t="s">
        <v>377</v>
      </c>
      <c r="IWW121" s="285" t="s">
        <v>376</v>
      </c>
      <c r="IWX121" s="285" t="s">
        <v>377</v>
      </c>
      <c r="IWY121" s="285" t="s">
        <v>376</v>
      </c>
      <c r="IWZ121" s="285" t="s">
        <v>377</v>
      </c>
      <c r="IXA121" s="285" t="s">
        <v>376</v>
      </c>
      <c r="IXB121" s="285" t="s">
        <v>377</v>
      </c>
      <c r="IXC121" s="285" t="s">
        <v>376</v>
      </c>
      <c r="IXD121" s="285" t="s">
        <v>377</v>
      </c>
      <c r="IXE121" s="285" t="s">
        <v>376</v>
      </c>
      <c r="IXF121" s="285" t="s">
        <v>377</v>
      </c>
      <c r="IXG121" s="285" t="s">
        <v>376</v>
      </c>
      <c r="IXH121" s="285" t="s">
        <v>377</v>
      </c>
      <c r="IXI121" s="285" t="s">
        <v>376</v>
      </c>
      <c r="IXJ121" s="285" t="s">
        <v>377</v>
      </c>
      <c r="IXK121" s="285" t="s">
        <v>376</v>
      </c>
      <c r="IXL121" s="285" t="s">
        <v>377</v>
      </c>
      <c r="IXM121" s="285" t="s">
        <v>376</v>
      </c>
      <c r="IXN121" s="285" t="s">
        <v>377</v>
      </c>
      <c r="IXO121" s="285" t="s">
        <v>376</v>
      </c>
      <c r="IXP121" s="285" t="s">
        <v>377</v>
      </c>
      <c r="IXQ121" s="285" t="s">
        <v>376</v>
      </c>
      <c r="IXR121" s="285" t="s">
        <v>377</v>
      </c>
      <c r="IXS121" s="285" t="s">
        <v>376</v>
      </c>
      <c r="IXT121" s="285" t="s">
        <v>377</v>
      </c>
      <c r="IXU121" s="285" t="s">
        <v>376</v>
      </c>
      <c r="IXV121" s="285" t="s">
        <v>377</v>
      </c>
      <c r="IXW121" s="285" t="s">
        <v>376</v>
      </c>
      <c r="IXX121" s="285" t="s">
        <v>377</v>
      </c>
      <c r="IXY121" s="285" t="s">
        <v>376</v>
      </c>
      <c r="IXZ121" s="285" t="s">
        <v>377</v>
      </c>
      <c r="IYA121" s="285" t="s">
        <v>376</v>
      </c>
      <c r="IYB121" s="285" t="s">
        <v>377</v>
      </c>
      <c r="IYC121" s="285" t="s">
        <v>376</v>
      </c>
      <c r="IYD121" s="285" t="s">
        <v>377</v>
      </c>
      <c r="IYE121" s="285" t="s">
        <v>376</v>
      </c>
      <c r="IYF121" s="285" t="s">
        <v>377</v>
      </c>
      <c r="IYG121" s="285" t="s">
        <v>376</v>
      </c>
      <c r="IYH121" s="285" t="s">
        <v>377</v>
      </c>
      <c r="IYI121" s="285" t="s">
        <v>376</v>
      </c>
      <c r="IYJ121" s="285" t="s">
        <v>377</v>
      </c>
      <c r="IYK121" s="285" t="s">
        <v>376</v>
      </c>
      <c r="IYL121" s="285" t="s">
        <v>377</v>
      </c>
      <c r="IYM121" s="285" t="s">
        <v>376</v>
      </c>
      <c r="IYN121" s="285" t="s">
        <v>377</v>
      </c>
      <c r="IYO121" s="285" t="s">
        <v>376</v>
      </c>
      <c r="IYP121" s="285" t="s">
        <v>377</v>
      </c>
      <c r="IYQ121" s="285" t="s">
        <v>376</v>
      </c>
      <c r="IYR121" s="285" t="s">
        <v>377</v>
      </c>
      <c r="IYS121" s="285" t="s">
        <v>376</v>
      </c>
      <c r="IYT121" s="285" t="s">
        <v>377</v>
      </c>
      <c r="IYU121" s="285" t="s">
        <v>376</v>
      </c>
      <c r="IYV121" s="285" t="s">
        <v>377</v>
      </c>
      <c r="IYW121" s="285" t="s">
        <v>376</v>
      </c>
      <c r="IYX121" s="285" t="s">
        <v>377</v>
      </c>
      <c r="IYY121" s="285" t="s">
        <v>376</v>
      </c>
      <c r="IYZ121" s="285" t="s">
        <v>377</v>
      </c>
      <c r="IZA121" s="285" t="s">
        <v>376</v>
      </c>
      <c r="IZB121" s="285" t="s">
        <v>377</v>
      </c>
      <c r="IZC121" s="285" t="s">
        <v>376</v>
      </c>
      <c r="IZD121" s="285" t="s">
        <v>377</v>
      </c>
      <c r="IZE121" s="285" t="s">
        <v>376</v>
      </c>
      <c r="IZF121" s="285" t="s">
        <v>377</v>
      </c>
      <c r="IZG121" s="285" t="s">
        <v>376</v>
      </c>
      <c r="IZH121" s="285" t="s">
        <v>377</v>
      </c>
      <c r="IZI121" s="285" t="s">
        <v>376</v>
      </c>
      <c r="IZJ121" s="285" t="s">
        <v>377</v>
      </c>
      <c r="IZK121" s="285" t="s">
        <v>376</v>
      </c>
      <c r="IZL121" s="285" t="s">
        <v>377</v>
      </c>
      <c r="IZM121" s="285" t="s">
        <v>376</v>
      </c>
      <c r="IZN121" s="285" t="s">
        <v>377</v>
      </c>
      <c r="IZO121" s="285" t="s">
        <v>376</v>
      </c>
      <c r="IZP121" s="285" t="s">
        <v>377</v>
      </c>
      <c r="IZQ121" s="285" t="s">
        <v>376</v>
      </c>
      <c r="IZR121" s="285" t="s">
        <v>377</v>
      </c>
      <c r="IZS121" s="285" t="s">
        <v>376</v>
      </c>
      <c r="IZT121" s="285" t="s">
        <v>377</v>
      </c>
      <c r="IZU121" s="285" t="s">
        <v>376</v>
      </c>
      <c r="IZV121" s="285" t="s">
        <v>377</v>
      </c>
      <c r="IZW121" s="285" t="s">
        <v>376</v>
      </c>
      <c r="IZX121" s="285" t="s">
        <v>377</v>
      </c>
      <c r="IZY121" s="285" t="s">
        <v>376</v>
      </c>
      <c r="IZZ121" s="285" t="s">
        <v>377</v>
      </c>
      <c r="JAA121" s="285" t="s">
        <v>376</v>
      </c>
      <c r="JAB121" s="285" t="s">
        <v>377</v>
      </c>
      <c r="JAC121" s="285" t="s">
        <v>376</v>
      </c>
      <c r="JAD121" s="285" t="s">
        <v>377</v>
      </c>
      <c r="JAE121" s="285" t="s">
        <v>376</v>
      </c>
      <c r="JAF121" s="285" t="s">
        <v>377</v>
      </c>
      <c r="JAG121" s="285" t="s">
        <v>376</v>
      </c>
      <c r="JAH121" s="285" t="s">
        <v>377</v>
      </c>
      <c r="JAI121" s="285" t="s">
        <v>376</v>
      </c>
      <c r="JAJ121" s="285" t="s">
        <v>377</v>
      </c>
      <c r="JAK121" s="285" t="s">
        <v>376</v>
      </c>
      <c r="JAL121" s="285" t="s">
        <v>377</v>
      </c>
      <c r="JAM121" s="285" t="s">
        <v>376</v>
      </c>
      <c r="JAN121" s="285" t="s">
        <v>377</v>
      </c>
      <c r="JAO121" s="285" t="s">
        <v>376</v>
      </c>
      <c r="JAP121" s="285" t="s">
        <v>377</v>
      </c>
      <c r="JAQ121" s="285" t="s">
        <v>376</v>
      </c>
      <c r="JAR121" s="285" t="s">
        <v>377</v>
      </c>
      <c r="JAS121" s="285" t="s">
        <v>376</v>
      </c>
      <c r="JAT121" s="285" t="s">
        <v>377</v>
      </c>
      <c r="JAU121" s="285" t="s">
        <v>376</v>
      </c>
      <c r="JAV121" s="285" t="s">
        <v>377</v>
      </c>
      <c r="JAW121" s="285" t="s">
        <v>376</v>
      </c>
      <c r="JAX121" s="285" t="s">
        <v>377</v>
      </c>
      <c r="JAY121" s="285" t="s">
        <v>376</v>
      </c>
      <c r="JAZ121" s="285" t="s">
        <v>377</v>
      </c>
      <c r="JBA121" s="285" t="s">
        <v>376</v>
      </c>
      <c r="JBB121" s="285" t="s">
        <v>377</v>
      </c>
      <c r="JBC121" s="285" t="s">
        <v>376</v>
      </c>
      <c r="JBD121" s="285" t="s">
        <v>377</v>
      </c>
      <c r="JBE121" s="285" t="s">
        <v>376</v>
      </c>
      <c r="JBF121" s="285" t="s">
        <v>377</v>
      </c>
      <c r="JBG121" s="285" t="s">
        <v>376</v>
      </c>
      <c r="JBH121" s="285" t="s">
        <v>377</v>
      </c>
      <c r="JBI121" s="285" t="s">
        <v>376</v>
      </c>
      <c r="JBJ121" s="285" t="s">
        <v>377</v>
      </c>
      <c r="JBK121" s="285" t="s">
        <v>376</v>
      </c>
      <c r="JBL121" s="285" t="s">
        <v>377</v>
      </c>
      <c r="JBM121" s="285" t="s">
        <v>376</v>
      </c>
      <c r="JBN121" s="285" t="s">
        <v>377</v>
      </c>
      <c r="JBO121" s="285" t="s">
        <v>376</v>
      </c>
      <c r="JBP121" s="285" t="s">
        <v>377</v>
      </c>
      <c r="JBQ121" s="285" t="s">
        <v>376</v>
      </c>
      <c r="JBR121" s="285" t="s">
        <v>377</v>
      </c>
      <c r="JBS121" s="285" t="s">
        <v>376</v>
      </c>
      <c r="JBT121" s="285" t="s">
        <v>377</v>
      </c>
      <c r="JBU121" s="285" t="s">
        <v>376</v>
      </c>
      <c r="JBV121" s="285" t="s">
        <v>377</v>
      </c>
      <c r="JBW121" s="285" t="s">
        <v>376</v>
      </c>
      <c r="JBX121" s="285" t="s">
        <v>377</v>
      </c>
      <c r="JBY121" s="285" t="s">
        <v>376</v>
      </c>
      <c r="JBZ121" s="285" t="s">
        <v>377</v>
      </c>
      <c r="JCA121" s="285" t="s">
        <v>376</v>
      </c>
      <c r="JCB121" s="285" t="s">
        <v>377</v>
      </c>
      <c r="JCC121" s="285" t="s">
        <v>376</v>
      </c>
      <c r="JCD121" s="285" t="s">
        <v>377</v>
      </c>
      <c r="JCE121" s="285" t="s">
        <v>376</v>
      </c>
      <c r="JCF121" s="285" t="s">
        <v>377</v>
      </c>
      <c r="JCG121" s="285" t="s">
        <v>376</v>
      </c>
      <c r="JCH121" s="285" t="s">
        <v>377</v>
      </c>
      <c r="JCI121" s="285" t="s">
        <v>376</v>
      </c>
      <c r="JCJ121" s="285" t="s">
        <v>377</v>
      </c>
      <c r="JCK121" s="285" t="s">
        <v>376</v>
      </c>
      <c r="JCL121" s="285" t="s">
        <v>377</v>
      </c>
      <c r="JCM121" s="285" t="s">
        <v>376</v>
      </c>
      <c r="JCN121" s="285" t="s">
        <v>377</v>
      </c>
      <c r="JCO121" s="285" t="s">
        <v>376</v>
      </c>
      <c r="JCP121" s="285" t="s">
        <v>377</v>
      </c>
      <c r="JCQ121" s="285" t="s">
        <v>376</v>
      </c>
      <c r="JCR121" s="285" t="s">
        <v>377</v>
      </c>
      <c r="JCS121" s="285" t="s">
        <v>376</v>
      </c>
      <c r="JCT121" s="285" t="s">
        <v>377</v>
      </c>
      <c r="JCU121" s="285" t="s">
        <v>376</v>
      </c>
      <c r="JCV121" s="285" t="s">
        <v>377</v>
      </c>
      <c r="JCW121" s="285" t="s">
        <v>376</v>
      </c>
      <c r="JCX121" s="285" t="s">
        <v>377</v>
      </c>
      <c r="JCY121" s="285" t="s">
        <v>376</v>
      </c>
      <c r="JCZ121" s="285" t="s">
        <v>377</v>
      </c>
      <c r="JDA121" s="285" t="s">
        <v>376</v>
      </c>
      <c r="JDB121" s="285" t="s">
        <v>377</v>
      </c>
      <c r="JDC121" s="285" t="s">
        <v>376</v>
      </c>
      <c r="JDD121" s="285" t="s">
        <v>377</v>
      </c>
      <c r="JDE121" s="285" t="s">
        <v>376</v>
      </c>
      <c r="JDF121" s="285" t="s">
        <v>377</v>
      </c>
      <c r="JDG121" s="285" t="s">
        <v>376</v>
      </c>
      <c r="JDH121" s="285" t="s">
        <v>377</v>
      </c>
      <c r="JDI121" s="285" t="s">
        <v>376</v>
      </c>
      <c r="JDJ121" s="285" t="s">
        <v>377</v>
      </c>
      <c r="JDK121" s="285" t="s">
        <v>376</v>
      </c>
      <c r="JDL121" s="285" t="s">
        <v>377</v>
      </c>
      <c r="JDM121" s="285" t="s">
        <v>376</v>
      </c>
      <c r="JDN121" s="285" t="s">
        <v>377</v>
      </c>
      <c r="JDO121" s="285" t="s">
        <v>376</v>
      </c>
      <c r="JDP121" s="285" t="s">
        <v>377</v>
      </c>
      <c r="JDQ121" s="285" t="s">
        <v>376</v>
      </c>
      <c r="JDR121" s="285" t="s">
        <v>377</v>
      </c>
      <c r="JDS121" s="285" t="s">
        <v>376</v>
      </c>
      <c r="JDT121" s="285" t="s">
        <v>377</v>
      </c>
      <c r="JDU121" s="285" t="s">
        <v>376</v>
      </c>
      <c r="JDV121" s="285" t="s">
        <v>377</v>
      </c>
      <c r="JDW121" s="285" t="s">
        <v>376</v>
      </c>
      <c r="JDX121" s="285" t="s">
        <v>377</v>
      </c>
      <c r="JDY121" s="285" t="s">
        <v>376</v>
      </c>
      <c r="JDZ121" s="285" t="s">
        <v>377</v>
      </c>
      <c r="JEA121" s="285" t="s">
        <v>376</v>
      </c>
      <c r="JEB121" s="285" t="s">
        <v>377</v>
      </c>
      <c r="JEC121" s="285" t="s">
        <v>376</v>
      </c>
      <c r="JED121" s="285" t="s">
        <v>377</v>
      </c>
      <c r="JEE121" s="285" t="s">
        <v>376</v>
      </c>
      <c r="JEF121" s="285" t="s">
        <v>377</v>
      </c>
      <c r="JEG121" s="285" t="s">
        <v>376</v>
      </c>
      <c r="JEH121" s="285" t="s">
        <v>377</v>
      </c>
      <c r="JEI121" s="285" t="s">
        <v>376</v>
      </c>
      <c r="JEJ121" s="285" t="s">
        <v>377</v>
      </c>
      <c r="JEK121" s="285" t="s">
        <v>376</v>
      </c>
      <c r="JEL121" s="285" t="s">
        <v>377</v>
      </c>
      <c r="JEM121" s="285" t="s">
        <v>376</v>
      </c>
      <c r="JEN121" s="285" t="s">
        <v>377</v>
      </c>
      <c r="JEO121" s="285" t="s">
        <v>376</v>
      </c>
      <c r="JEP121" s="285" t="s">
        <v>377</v>
      </c>
      <c r="JEQ121" s="285" t="s">
        <v>376</v>
      </c>
      <c r="JER121" s="285" t="s">
        <v>377</v>
      </c>
      <c r="JES121" s="285" t="s">
        <v>376</v>
      </c>
      <c r="JET121" s="285" t="s">
        <v>377</v>
      </c>
      <c r="JEU121" s="285" t="s">
        <v>376</v>
      </c>
      <c r="JEV121" s="285" t="s">
        <v>377</v>
      </c>
      <c r="JEW121" s="285" t="s">
        <v>376</v>
      </c>
      <c r="JEX121" s="285" t="s">
        <v>377</v>
      </c>
      <c r="JEY121" s="285" t="s">
        <v>376</v>
      </c>
      <c r="JEZ121" s="285" t="s">
        <v>377</v>
      </c>
      <c r="JFA121" s="285" t="s">
        <v>376</v>
      </c>
      <c r="JFB121" s="285" t="s">
        <v>377</v>
      </c>
      <c r="JFC121" s="285" t="s">
        <v>376</v>
      </c>
      <c r="JFD121" s="285" t="s">
        <v>377</v>
      </c>
      <c r="JFE121" s="285" t="s">
        <v>376</v>
      </c>
      <c r="JFF121" s="285" t="s">
        <v>377</v>
      </c>
      <c r="JFG121" s="285" t="s">
        <v>376</v>
      </c>
      <c r="JFH121" s="285" t="s">
        <v>377</v>
      </c>
      <c r="JFI121" s="285" t="s">
        <v>376</v>
      </c>
      <c r="JFJ121" s="285" t="s">
        <v>377</v>
      </c>
      <c r="JFK121" s="285" t="s">
        <v>376</v>
      </c>
      <c r="JFL121" s="285" t="s">
        <v>377</v>
      </c>
      <c r="JFM121" s="285" t="s">
        <v>376</v>
      </c>
      <c r="JFN121" s="285" t="s">
        <v>377</v>
      </c>
      <c r="JFO121" s="285" t="s">
        <v>376</v>
      </c>
      <c r="JFP121" s="285" t="s">
        <v>377</v>
      </c>
      <c r="JFQ121" s="285" t="s">
        <v>376</v>
      </c>
      <c r="JFR121" s="285" t="s">
        <v>377</v>
      </c>
      <c r="JFS121" s="285" t="s">
        <v>376</v>
      </c>
      <c r="JFT121" s="285" t="s">
        <v>377</v>
      </c>
      <c r="JFU121" s="285" t="s">
        <v>376</v>
      </c>
      <c r="JFV121" s="285" t="s">
        <v>377</v>
      </c>
      <c r="JFW121" s="285" t="s">
        <v>376</v>
      </c>
      <c r="JFX121" s="285" t="s">
        <v>377</v>
      </c>
      <c r="JFY121" s="285" t="s">
        <v>376</v>
      </c>
      <c r="JFZ121" s="285" t="s">
        <v>377</v>
      </c>
      <c r="JGA121" s="285" t="s">
        <v>376</v>
      </c>
      <c r="JGB121" s="285" t="s">
        <v>377</v>
      </c>
      <c r="JGC121" s="285" t="s">
        <v>376</v>
      </c>
      <c r="JGD121" s="285" t="s">
        <v>377</v>
      </c>
      <c r="JGE121" s="285" t="s">
        <v>376</v>
      </c>
      <c r="JGF121" s="285" t="s">
        <v>377</v>
      </c>
      <c r="JGG121" s="285" t="s">
        <v>376</v>
      </c>
      <c r="JGH121" s="285" t="s">
        <v>377</v>
      </c>
      <c r="JGI121" s="285" t="s">
        <v>376</v>
      </c>
      <c r="JGJ121" s="285" t="s">
        <v>377</v>
      </c>
      <c r="JGK121" s="285" t="s">
        <v>376</v>
      </c>
      <c r="JGL121" s="285" t="s">
        <v>377</v>
      </c>
      <c r="JGM121" s="285" t="s">
        <v>376</v>
      </c>
      <c r="JGN121" s="285" t="s">
        <v>377</v>
      </c>
      <c r="JGO121" s="285" t="s">
        <v>376</v>
      </c>
      <c r="JGP121" s="285" t="s">
        <v>377</v>
      </c>
      <c r="JGQ121" s="285" t="s">
        <v>376</v>
      </c>
      <c r="JGR121" s="285" t="s">
        <v>377</v>
      </c>
      <c r="JGS121" s="285" t="s">
        <v>376</v>
      </c>
      <c r="JGT121" s="285" t="s">
        <v>377</v>
      </c>
      <c r="JGU121" s="285" t="s">
        <v>376</v>
      </c>
      <c r="JGV121" s="285" t="s">
        <v>377</v>
      </c>
      <c r="JGW121" s="285" t="s">
        <v>376</v>
      </c>
      <c r="JGX121" s="285" t="s">
        <v>377</v>
      </c>
      <c r="JGY121" s="285" t="s">
        <v>376</v>
      </c>
      <c r="JGZ121" s="285" t="s">
        <v>377</v>
      </c>
      <c r="JHA121" s="285" t="s">
        <v>376</v>
      </c>
      <c r="JHB121" s="285" t="s">
        <v>377</v>
      </c>
      <c r="JHC121" s="285" t="s">
        <v>376</v>
      </c>
      <c r="JHD121" s="285" t="s">
        <v>377</v>
      </c>
      <c r="JHE121" s="285" t="s">
        <v>376</v>
      </c>
      <c r="JHF121" s="285" t="s">
        <v>377</v>
      </c>
      <c r="JHG121" s="285" t="s">
        <v>376</v>
      </c>
      <c r="JHH121" s="285" t="s">
        <v>377</v>
      </c>
      <c r="JHI121" s="285" t="s">
        <v>376</v>
      </c>
      <c r="JHJ121" s="285" t="s">
        <v>377</v>
      </c>
      <c r="JHK121" s="285" t="s">
        <v>376</v>
      </c>
      <c r="JHL121" s="285" t="s">
        <v>377</v>
      </c>
      <c r="JHM121" s="285" t="s">
        <v>376</v>
      </c>
      <c r="JHN121" s="285" t="s">
        <v>377</v>
      </c>
      <c r="JHO121" s="285" t="s">
        <v>376</v>
      </c>
      <c r="JHP121" s="285" t="s">
        <v>377</v>
      </c>
      <c r="JHQ121" s="285" t="s">
        <v>376</v>
      </c>
      <c r="JHR121" s="285" t="s">
        <v>377</v>
      </c>
      <c r="JHS121" s="285" t="s">
        <v>376</v>
      </c>
      <c r="JHT121" s="285" t="s">
        <v>377</v>
      </c>
      <c r="JHU121" s="285" t="s">
        <v>376</v>
      </c>
      <c r="JHV121" s="285" t="s">
        <v>377</v>
      </c>
      <c r="JHW121" s="285" t="s">
        <v>376</v>
      </c>
      <c r="JHX121" s="285" t="s">
        <v>377</v>
      </c>
      <c r="JHY121" s="285" t="s">
        <v>376</v>
      </c>
      <c r="JHZ121" s="285" t="s">
        <v>377</v>
      </c>
      <c r="JIA121" s="285" t="s">
        <v>376</v>
      </c>
      <c r="JIB121" s="285" t="s">
        <v>377</v>
      </c>
      <c r="JIC121" s="285" t="s">
        <v>376</v>
      </c>
      <c r="JID121" s="285" t="s">
        <v>377</v>
      </c>
      <c r="JIE121" s="285" t="s">
        <v>376</v>
      </c>
      <c r="JIF121" s="285" t="s">
        <v>377</v>
      </c>
      <c r="JIG121" s="285" t="s">
        <v>376</v>
      </c>
      <c r="JIH121" s="285" t="s">
        <v>377</v>
      </c>
      <c r="JII121" s="285" t="s">
        <v>376</v>
      </c>
      <c r="JIJ121" s="285" t="s">
        <v>377</v>
      </c>
      <c r="JIK121" s="285" t="s">
        <v>376</v>
      </c>
      <c r="JIL121" s="285" t="s">
        <v>377</v>
      </c>
      <c r="JIM121" s="285" t="s">
        <v>376</v>
      </c>
      <c r="JIN121" s="285" t="s">
        <v>377</v>
      </c>
      <c r="JIO121" s="285" t="s">
        <v>376</v>
      </c>
      <c r="JIP121" s="285" t="s">
        <v>377</v>
      </c>
      <c r="JIQ121" s="285" t="s">
        <v>376</v>
      </c>
      <c r="JIR121" s="285" t="s">
        <v>377</v>
      </c>
      <c r="JIS121" s="285" t="s">
        <v>376</v>
      </c>
      <c r="JIT121" s="285" t="s">
        <v>377</v>
      </c>
      <c r="JIU121" s="285" t="s">
        <v>376</v>
      </c>
      <c r="JIV121" s="285" t="s">
        <v>377</v>
      </c>
      <c r="JIW121" s="285" t="s">
        <v>376</v>
      </c>
      <c r="JIX121" s="285" t="s">
        <v>377</v>
      </c>
      <c r="JIY121" s="285" t="s">
        <v>376</v>
      </c>
      <c r="JIZ121" s="285" t="s">
        <v>377</v>
      </c>
      <c r="JJA121" s="285" t="s">
        <v>376</v>
      </c>
      <c r="JJB121" s="285" t="s">
        <v>377</v>
      </c>
      <c r="JJC121" s="285" t="s">
        <v>376</v>
      </c>
      <c r="JJD121" s="285" t="s">
        <v>377</v>
      </c>
      <c r="JJE121" s="285" t="s">
        <v>376</v>
      </c>
      <c r="JJF121" s="285" t="s">
        <v>377</v>
      </c>
      <c r="JJG121" s="285" t="s">
        <v>376</v>
      </c>
      <c r="JJH121" s="285" t="s">
        <v>377</v>
      </c>
      <c r="JJI121" s="285" t="s">
        <v>376</v>
      </c>
      <c r="JJJ121" s="285" t="s">
        <v>377</v>
      </c>
      <c r="JJK121" s="285" t="s">
        <v>376</v>
      </c>
      <c r="JJL121" s="285" t="s">
        <v>377</v>
      </c>
      <c r="JJM121" s="285" t="s">
        <v>376</v>
      </c>
      <c r="JJN121" s="285" t="s">
        <v>377</v>
      </c>
      <c r="JJO121" s="285" t="s">
        <v>376</v>
      </c>
      <c r="JJP121" s="285" t="s">
        <v>377</v>
      </c>
      <c r="JJQ121" s="285" t="s">
        <v>376</v>
      </c>
      <c r="JJR121" s="285" t="s">
        <v>377</v>
      </c>
      <c r="JJS121" s="285" t="s">
        <v>376</v>
      </c>
      <c r="JJT121" s="285" t="s">
        <v>377</v>
      </c>
      <c r="JJU121" s="285" t="s">
        <v>376</v>
      </c>
      <c r="JJV121" s="285" t="s">
        <v>377</v>
      </c>
      <c r="JJW121" s="285" t="s">
        <v>376</v>
      </c>
      <c r="JJX121" s="285" t="s">
        <v>377</v>
      </c>
      <c r="JJY121" s="285" t="s">
        <v>376</v>
      </c>
      <c r="JJZ121" s="285" t="s">
        <v>377</v>
      </c>
      <c r="JKA121" s="285" t="s">
        <v>376</v>
      </c>
      <c r="JKB121" s="285" t="s">
        <v>377</v>
      </c>
      <c r="JKC121" s="285" t="s">
        <v>376</v>
      </c>
      <c r="JKD121" s="285" t="s">
        <v>377</v>
      </c>
      <c r="JKE121" s="285" t="s">
        <v>376</v>
      </c>
      <c r="JKF121" s="285" t="s">
        <v>377</v>
      </c>
      <c r="JKG121" s="285" t="s">
        <v>376</v>
      </c>
      <c r="JKH121" s="285" t="s">
        <v>377</v>
      </c>
      <c r="JKI121" s="285" t="s">
        <v>376</v>
      </c>
      <c r="JKJ121" s="285" t="s">
        <v>377</v>
      </c>
      <c r="JKK121" s="285" t="s">
        <v>376</v>
      </c>
      <c r="JKL121" s="285" t="s">
        <v>377</v>
      </c>
      <c r="JKM121" s="285" t="s">
        <v>376</v>
      </c>
      <c r="JKN121" s="285" t="s">
        <v>377</v>
      </c>
      <c r="JKO121" s="285" t="s">
        <v>376</v>
      </c>
      <c r="JKP121" s="285" t="s">
        <v>377</v>
      </c>
      <c r="JKQ121" s="285" t="s">
        <v>376</v>
      </c>
      <c r="JKR121" s="285" t="s">
        <v>377</v>
      </c>
      <c r="JKS121" s="285" t="s">
        <v>376</v>
      </c>
      <c r="JKT121" s="285" t="s">
        <v>377</v>
      </c>
      <c r="JKU121" s="285" t="s">
        <v>376</v>
      </c>
      <c r="JKV121" s="285" t="s">
        <v>377</v>
      </c>
      <c r="JKW121" s="285" t="s">
        <v>376</v>
      </c>
      <c r="JKX121" s="285" t="s">
        <v>377</v>
      </c>
      <c r="JKY121" s="285" t="s">
        <v>376</v>
      </c>
      <c r="JKZ121" s="285" t="s">
        <v>377</v>
      </c>
      <c r="JLA121" s="285" t="s">
        <v>376</v>
      </c>
      <c r="JLB121" s="285" t="s">
        <v>377</v>
      </c>
      <c r="JLC121" s="285" t="s">
        <v>376</v>
      </c>
      <c r="JLD121" s="285" t="s">
        <v>377</v>
      </c>
      <c r="JLE121" s="285" t="s">
        <v>376</v>
      </c>
      <c r="JLF121" s="285" t="s">
        <v>377</v>
      </c>
      <c r="JLG121" s="285" t="s">
        <v>376</v>
      </c>
      <c r="JLH121" s="285" t="s">
        <v>377</v>
      </c>
      <c r="JLI121" s="285" t="s">
        <v>376</v>
      </c>
      <c r="JLJ121" s="285" t="s">
        <v>377</v>
      </c>
      <c r="JLK121" s="285" t="s">
        <v>376</v>
      </c>
      <c r="JLL121" s="285" t="s">
        <v>377</v>
      </c>
      <c r="JLM121" s="285" t="s">
        <v>376</v>
      </c>
      <c r="JLN121" s="285" t="s">
        <v>377</v>
      </c>
      <c r="JLO121" s="285" t="s">
        <v>376</v>
      </c>
      <c r="JLP121" s="285" t="s">
        <v>377</v>
      </c>
      <c r="JLQ121" s="285" t="s">
        <v>376</v>
      </c>
      <c r="JLR121" s="285" t="s">
        <v>377</v>
      </c>
      <c r="JLS121" s="285" t="s">
        <v>376</v>
      </c>
      <c r="JLT121" s="285" t="s">
        <v>377</v>
      </c>
      <c r="JLU121" s="285" t="s">
        <v>376</v>
      </c>
      <c r="JLV121" s="285" t="s">
        <v>377</v>
      </c>
      <c r="JLW121" s="285" t="s">
        <v>376</v>
      </c>
      <c r="JLX121" s="285" t="s">
        <v>377</v>
      </c>
      <c r="JLY121" s="285" t="s">
        <v>376</v>
      </c>
      <c r="JLZ121" s="285" t="s">
        <v>377</v>
      </c>
      <c r="JMA121" s="285" t="s">
        <v>376</v>
      </c>
      <c r="JMB121" s="285" t="s">
        <v>377</v>
      </c>
      <c r="JMC121" s="285" t="s">
        <v>376</v>
      </c>
      <c r="JMD121" s="285" t="s">
        <v>377</v>
      </c>
      <c r="JME121" s="285" t="s">
        <v>376</v>
      </c>
      <c r="JMF121" s="285" t="s">
        <v>377</v>
      </c>
      <c r="JMG121" s="285" t="s">
        <v>376</v>
      </c>
      <c r="JMH121" s="285" t="s">
        <v>377</v>
      </c>
      <c r="JMI121" s="285" t="s">
        <v>376</v>
      </c>
      <c r="JMJ121" s="285" t="s">
        <v>377</v>
      </c>
      <c r="JMK121" s="285" t="s">
        <v>376</v>
      </c>
      <c r="JML121" s="285" t="s">
        <v>377</v>
      </c>
      <c r="JMM121" s="285" t="s">
        <v>376</v>
      </c>
      <c r="JMN121" s="285" t="s">
        <v>377</v>
      </c>
      <c r="JMO121" s="285" t="s">
        <v>376</v>
      </c>
      <c r="JMP121" s="285" t="s">
        <v>377</v>
      </c>
      <c r="JMQ121" s="285" t="s">
        <v>376</v>
      </c>
      <c r="JMR121" s="285" t="s">
        <v>377</v>
      </c>
      <c r="JMS121" s="285" t="s">
        <v>376</v>
      </c>
      <c r="JMT121" s="285" t="s">
        <v>377</v>
      </c>
      <c r="JMU121" s="285" t="s">
        <v>376</v>
      </c>
      <c r="JMV121" s="285" t="s">
        <v>377</v>
      </c>
      <c r="JMW121" s="285" t="s">
        <v>376</v>
      </c>
      <c r="JMX121" s="285" t="s">
        <v>377</v>
      </c>
      <c r="JMY121" s="285" t="s">
        <v>376</v>
      </c>
      <c r="JMZ121" s="285" t="s">
        <v>377</v>
      </c>
      <c r="JNA121" s="285" t="s">
        <v>376</v>
      </c>
      <c r="JNB121" s="285" t="s">
        <v>377</v>
      </c>
      <c r="JNC121" s="285" t="s">
        <v>376</v>
      </c>
      <c r="JND121" s="285" t="s">
        <v>377</v>
      </c>
      <c r="JNE121" s="285" t="s">
        <v>376</v>
      </c>
      <c r="JNF121" s="285" t="s">
        <v>377</v>
      </c>
      <c r="JNG121" s="285" t="s">
        <v>376</v>
      </c>
      <c r="JNH121" s="285" t="s">
        <v>377</v>
      </c>
      <c r="JNI121" s="285" t="s">
        <v>376</v>
      </c>
      <c r="JNJ121" s="285" t="s">
        <v>377</v>
      </c>
      <c r="JNK121" s="285" t="s">
        <v>376</v>
      </c>
      <c r="JNL121" s="285" t="s">
        <v>377</v>
      </c>
      <c r="JNM121" s="285" t="s">
        <v>376</v>
      </c>
      <c r="JNN121" s="285" t="s">
        <v>377</v>
      </c>
      <c r="JNO121" s="285" t="s">
        <v>376</v>
      </c>
      <c r="JNP121" s="285" t="s">
        <v>377</v>
      </c>
      <c r="JNQ121" s="285" t="s">
        <v>376</v>
      </c>
      <c r="JNR121" s="285" t="s">
        <v>377</v>
      </c>
      <c r="JNS121" s="285" t="s">
        <v>376</v>
      </c>
      <c r="JNT121" s="285" t="s">
        <v>377</v>
      </c>
      <c r="JNU121" s="285" t="s">
        <v>376</v>
      </c>
      <c r="JNV121" s="285" t="s">
        <v>377</v>
      </c>
      <c r="JNW121" s="285" t="s">
        <v>376</v>
      </c>
      <c r="JNX121" s="285" t="s">
        <v>377</v>
      </c>
      <c r="JNY121" s="285" t="s">
        <v>376</v>
      </c>
      <c r="JNZ121" s="285" t="s">
        <v>377</v>
      </c>
      <c r="JOA121" s="285" t="s">
        <v>376</v>
      </c>
      <c r="JOB121" s="285" t="s">
        <v>377</v>
      </c>
      <c r="JOC121" s="285" t="s">
        <v>376</v>
      </c>
      <c r="JOD121" s="285" t="s">
        <v>377</v>
      </c>
      <c r="JOE121" s="285" t="s">
        <v>376</v>
      </c>
      <c r="JOF121" s="285" t="s">
        <v>377</v>
      </c>
      <c r="JOG121" s="285" t="s">
        <v>376</v>
      </c>
      <c r="JOH121" s="285" t="s">
        <v>377</v>
      </c>
      <c r="JOI121" s="285" t="s">
        <v>376</v>
      </c>
      <c r="JOJ121" s="285" t="s">
        <v>377</v>
      </c>
      <c r="JOK121" s="285" t="s">
        <v>376</v>
      </c>
      <c r="JOL121" s="285" t="s">
        <v>377</v>
      </c>
      <c r="JOM121" s="285" t="s">
        <v>376</v>
      </c>
      <c r="JON121" s="285" t="s">
        <v>377</v>
      </c>
      <c r="JOO121" s="285" t="s">
        <v>376</v>
      </c>
      <c r="JOP121" s="285" t="s">
        <v>377</v>
      </c>
      <c r="JOQ121" s="285" t="s">
        <v>376</v>
      </c>
      <c r="JOR121" s="285" t="s">
        <v>377</v>
      </c>
      <c r="JOS121" s="285" t="s">
        <v>376</v>
      </c>
      <c r="JOT121" s="285" t="s">
        <v>377</v>
      </c>
      <c r="JOU121" s="285" t="s">
        <v>376</v>
      </c>
      <c r="JOV121" s="285" t="s">
        <v>377</v>
      </c>
      <c r="JOW121" s="285" t="s">
        <v>376</v>
      </c>
      <c r="JOX121" s="285" t="s">
        <v>377</v>
      </c>
      <c r="JOY121" s="285" t="s">
        <v>376</v>
      </c>
      <c r="JOZ121" s="285" t="s">
        <v>377</v>
      </c>
      <c r="JPA121" s="285" t="s">
        <v>376</v>
      </c>
      <c r="JPB121" s="285" t="s">
        <v>377</v>
      </c>
      <c r="JPC121" s="285" t="s">
        <v>376</v>
      </c>
      <c r="JPD121" s="285" t="s">
        <v>377</v>
      </c>
      <c r="JPE121" s="285" t="s">
        <v>376</v>
      </c>
      <c r="JPF121" s="285" t="s">
        <v>377</v>
      </c>
      <c r="JPG121" s="285" t="s">
        <v>376</v>
      </c>
      <c r="JPH121" s="285" t="s">
        <v>377</v>
      </c>
      <c r="JPI121" s="285" t="s">
        <v>376</v>
      </c>
      <c r="JPJ121" s="285" t="s">
        <v>377</v>
      </c>
      <c r="JPK121" s="285" t="s">
        <v>376</v>
      </c>
      <c r="JPL121" s="285" t="s">
        <v>377</v>
      </c>
      <c r="JPM121" s="285" t="s">
        <v>376</v>
      </c>
      <c r="JPN121" s="285" t="s">
        <v>377</v>
      </c>
      <c r="JPO121" s="285" t="s">
        <v>376</v>
      </c>
      <c r="JPP121" s="285" t="s">
        <v>377</v>
      </c>
      <c r="JPQ121" s="285" t="s">
        <v>376</v>
      </c>
      <c r="JPR121" s="285" t="s">
        <v>377</v>
      </c>
      <c r="JPS121" s="285" t="s">
        <v>376</v>
      </c>
      <c r="JPT121" s="285" t="s">
        <v>377</v>
      </c>
      <c r="JPU121" s="285" t="s">
        <v>376</v>
      </c>
      <c r="JPV121" s="285" t="s">
        <v>377</v>
      </c>
      <c r="JPW121" s="285" t="s">
        <v>376</v>
      </c>
      <c r="JPX121" s="285" t="s">
        <v>377</v>
      </c>
      <c r="JPY121" s="285" t="s">
        <v>376</v>
      </c>
      <c r="JPZ121" s="285" t="s">
        <v>377</v>
      </c>
      <c r="JQA121" s="285" t="s">
        <v>376</v>
      </c>
      <c r="JQB121" s="285" t="s">
        <v>377</v>
      </c>
      <c r="JQC121" s="285" t="s">
        <v>376</v>
      </c>
      <c r="JQD121" s="285" t="s">
        <v>377</v>
      </c>
      <c r="JQE121" s="285" t="s">
        <v>376</v>
      </c>
      <c r="JQF121" s="285" t="s">
        <v>377</v>
      </c>
      <c r="JQG121" s="285" t="s">
        <v>376</v>
      </c>
      <c r="JQH121" s="285" t="s">
        <v>377</v>
      </c>
      <c r="JQI121" s="285" t="s">
        <v>376</v>
      </c>
      <c r="JQJ121" s="285" t="s">
        <v>377</v>
      </c>
      <c r="JQK121" s="285" t="s">
        <v>376</v>
      </c>
      <c r="JQL121" s="285" t="s">
        <v>377</v>
      </c>
      <c r="JQM121" s="285" t="s">
        <v>376</v>
      </c>
      <c r="JQN121" s="285" t="s">
        <v>377</v>
      </c>
      <c r="JQO121" s="285" t="s">
        <v>376</v>
      </c>
      <c r="JQP121" s="285" t="s">
        <v>377</v>
      </c>
      <c r="JQQ121" s="285" t="s">
        <v>376</v>
      </c>
      <c r="JQR121" s="285" t="s">
        <v>377</v>
      </c>
      <c r="JQS121" s="285" t="s">
        <v>376</v>
      </c>
      <c r="JQT121" s="285" t="s">
        <v>377</v>
      </c>
      <c r="JQU121" s="285" t="s">
        <v>376</v>
      </c>
      <c r="JQV121" s="285" t="s">
        <v>377</v>
      </c>
      <c r="JQW121" s="285" t="s">
        <v>376</v>
      </c>
      <c r="JQX121" s="285" t="s">
        <v>377</v>
      </c>
      <c r="JQY121" s="285" t="s">
        <v>376</v>
      </c>
      <c r="JQZ121" s="285" t="s">
        <v>377</v>
      </c>
      <c r="JRA121" s="285" t="s">
        <v>376</v>
      </c>
      <c r="JRB121" s="285" t="s">
        <v>377</v>
      </c>
      <c r="JRC121" s="285" t="s">
        <v>376</v>
      </c>
      <c r="JRD121" s="285" t="s">
        <v>377</v>
      </c>
      <c r="JRE121" s="285" t="s">
        <v>376</v>
      </c>
      <c r="JRF121" s="285" t="s">
        <v>377</v>
      </c>
      <c r="JRG121" s="285" t="s">
        <v>376</v>
      </c>
      <c r="JRH121" s="285" t="s">
        <v>377</v>
      </c>
      <c r="JRI121" s="285" t="s">
        <v>376</v>
      </c>
      <c r="JRJ121" s="285" t="s">
        <v>377</v>
      </c>
      <c r="JRK121" s="285" t="s">
        <v>376</v>
      </c>
      <c r="JRL121" s="285" t="s">
        <v>377</v>
      </c>
      <c r="JRM121" s="285" t="s">
        <v>376</v>
      </c>
      <c r="JRN121" s="285" t="s">
        <v>377</v>
      </c>
      <c r="JRO121" s="285" t="s">
        <v>376</v>
      </c>
      <c r="JRP121" s="285" t="s">
        <v>377</v>
      </c>
      <c r="JRQ121" s="285" t="s">
        <v>376</v>
      </c>
      <c r="JRR121" s="285" t="s">
        <v>377</v>
      </c>
      <c r="JRS121" s="285" t="s">
        <v>376</v>
      </c>
      <c r="JRT121" s="285" t="s">
        <v>377</v>
      </c>
      <c r="JRU121" s="285" t="s">
        <v>376</v>
      </c>
      <c r="JRV121" s="285" t="s">
        <v>377</v>
      </c>
      <c r="JRW121" s="285" t="s">
        <v>376</v>
      </c>
      <c r="JRX121" s="285" t="s">
        <v>377</v>
      </c>
      <c r="JRY121" s="285" t="s">
        <v>376</v>
      </c>
      <c r="JRZ121" s="285" t="s">
        <v>377</v>
      </c>
      <c r="JSA121" s="285" t="s">
        <v>376</v>
      </c>
      <c r="JSB121" s="285" t="s">
        <v>377</v>
      </c>
      <c r="JSC121" s="285" t="s">
        <v>376</v>
      </c>
      <c r="JSD121" s="285" t="s">
        <v>377</v>
      </c>
      <c r="JSE121" s="285" t="s">
        <v>376</v>
      </c>
      <c r="JSF121" s="285" t="s">
        <v>377</v>
      </c>
      <c r="JSG121" s="285" t="s">
        <v>376</v>
      </c>
      <c r="JSH121" s="285" t="s">
        <v>377</v>
      </c>
      <c r="JSI121" s="285" t="s">
        <v>376</v>
      </c>
      <c r="JSJ121" s="285" t="s">
        <v>377</v>
      </c>
      <c r="JSK121" s="285" t="s">
        <v>376</v>
      </c>
      <c r="JSL121" s="285" t="s">
        <v>377</v>
      </c>
      <c r="JSM121" s="285" t="s">
        <v>376</v>
      </c>
      <c r="JSN121" s="285" t="s">
        <v>377</v>
      </c>
      <c r="JSO121" s="285" t="s">
        <v>376</v>
      </c>
      <c r="JSP121" s="285" t="s">
        <v>377</v>
      </c>
      <c r="JSQ121" s="285" t="s">
        <v>376</v>
      </c>
      <c r="JSR121" s="285" t="s">
        <v>377</v>
      </c>
      <c r="JSS121" s="285" t="s">
        <v>376</v>
      </c>
      <c r="JST121" s="285" t="s">
        <v>377</v>
      </c>
      <c r="JSU121" s="285" t="s">
        <v>376</v>
      </c>
      <c r="JSV121" s="285" t="s">
        <v>377</v>
      </c>
      <c r="JSW121" s="285" t="s">
        <v>376</v>
      </c>
      <c r="JSX121" s="285" t="s">
        <v>377</v>
      </c>
      <c r="JSY121" s="285" t="s">
        <v>376</v>
      </c>
      <c r="JSZ121" s="285" t="s">
        <v>377</v>
      </c>
      <c r="JTA121" s="285" t="s">
        <v>376</v>
      </c>
      <c r="JTB121" s="285" t="s">
        <v>377</v>
      </c>
      <c r="JTC121" s="285" t="s">
        <v>376</v>
      </c>
      <c r="JTD121" s="285" t="s">
        <v>377</v>
      </c>
      <c r="JTE121" s="285" t="s">
        <v>376</v>
      </c>
      <c r="JTF121" s="285" t="s">
        <v>377</v>
      </c>
      <c r="JTG121" s="285" t="s">
        <v>376</v>
      </c>
      <c r="JTH121" s="285" t="s">
        <v>377</v>
      </c>
      <c r="JTI121" s="285" t="s">
        <v>376</v>
      </c>
      <c r="JTJ121" s="285" t="s">
        <v>377</v>
      </c>
      <c r="JTK121" s="285" t="s">
        <v>376</v>
      </c>
      <c r="JTL121" s="285" t="s">
        <v>377</v>
      </c>
      <c r="JTM121" s="285" t="s">
        <v>376</v>
      </c>
      <c r="JTN121" s="285" t="s">
        <v>377</v>
      </c>
      <c r="JTO121" s="285" t="s">
        <v>376</v>
      </c>
      <c r="JTP121" s="285" t="s">
        <v>377</v>
      </c>
      <c r="JTQ121" s="285" t="s">
        <v>376</v>
      </c>
      <c r="JTR121" s="285" t="s">
        <v>377</v>
      </c>
      <c r="JTS121" s="285" t="s">
        <v>376</v>
      </c>
      <c r="JTT121" s="285" t="s">
        <v>377</v>
      </c>
      <c r="JTU121" s="285" t="s">
        <v>376</v>
      </c>
      <c r="JTV121" s="285" t="s">
        <v>377</v>
      </c>
      <c r="JTW121" s="285" t="s">
        <v>376</v>
      </c>
      <c r="JTX121" s="285" t="s">
        <v>377</v>
      </c>
      <c r="JTY121" s="285" t="s">
        <v>376</v>
      </c>
      <c r="JTZ121" s="285" t="s">
        <v>377</v>
      </c>
      <c r="JUA121" s="285" t="s">
        <v>376</v>
      </c>
      <c r="JUB121" s="285" t="s">
        <v>377</v>
      </c>
      <c r="JUC121" s="285" t="s">
        <v>376</v>
      </c>
      <c r="JUD121" s="285" t="s">
        <v>377</v>
      </c>
      <c r="JUE121" s="285" t="s">
        <v>376</v>
      </c>
      <c r="JUF121" s="285" t="s">
        <v>377</v>
      </c>
      <c r="JUG121" s="285" t="s">
        <v>376</v>
      </c>
      <c r="JUH121" s="285" t="s">
        <v>377</v>
      </c>
      <c r="JUI121" s="285" t="s">
        <v>376</v>
      </c>
      <c r="JUJ121" s="285" t="s">
        <v>377</v>
      </c>
      <c r="JUK121" s="285" t="s">
        <v>376</v>
      </c>
      <c r="JUL121" s="285" t="s">
        <v>377</v>
      </c>
      <c r="JUM121" s="285" t="s">
        <v>376</v>
      </c>
      <c r="JUN121" s="285" t="s">
        <v>377</v>
      </c>
      <c r="JUO121" s="285" t="s">
        <v>376</v>
      </c>
      <c r="JUP121" s="285" t="s">
        <v>377</v>
      </c>
      <c r="JUQ121" s="285" t="s">
        <v>376</v>
      </c>
      <c r="JUR121" s="285" t="s">
        <v>377</v>
      </c>
      <c r="JUS121" s="285" t="s">
        <v>376</v>
      </c>
      <c r="JUT121" s="285" t="s">
        <v>377</v>
      </c>
      <c r="JUU121" s="285" t="s">
        <v>376</v>
      </c>
      <c r="JUV121" s="285" t="s">
        <v>377</v>
      </c>
      <c r="JUW121" s="285" t="s">
        <v>376</v>
      </c>
      <c r="JUX121" s="285" t="s">
        <v>377</v>
      </c>
      <c r="JUY121" s="285" t="s">
        <v>376</v>
      </c>
      <c r="JUZ121" s="285" t="s">
        <v>377</v>
      </c>
      <c r="JVA121" s="285" t="s">
        <v>376</v>
      </c>
      <c r="JVB121" s="285" t="s">
        <v>377</v>
      </c>
      <c r="JVC121" s="285" t="s">
        <v>376</v>
      </c>
      <c r="JVD121" s="285" t="s">
        <v>377</v>
      </c>
      <c r="JVE121" s="285" t="s">
        <v>376</v>
      </c>
      <c r="JVF121" s="285" t="s">
        <v>377</v>
      </c>
      <c r="JVG121" s="285" t="s">
        <v>376</v>
      </c>
      <c r="JVH121" s="285" t="s">
        <v>377</v>
      </c>
      <c r="JVI121" s="285" t="s">
        <v>376</v>
      </c>
      <c r="JVJ121" s="285" t="s">
        <v>377</v>
      </c>
      <c r="JVK121" s="285" t="s">
        <v>376</v>
      </c>
      <c r="JVL121" s="285" t="s">
        <v>377</v>
      </c>
      <c r="JVM121" s="285" t="s">
        <v>376</v>
      </c>
      <c r="JVN121" s="285" t="s">
        <v>377</v>
      </c>
      <c r="JVO121" s="285" t="s">
        <v>376</v>
      </c>
      <c r="JVP121" s="285" t="s">
        <v>377</v>
      </c>
      <c r="JVQ121" s="285" t="s">
        <v>376</v>
      </c>
      <c r="JVR121" s="285" t="s">
        <v>377</v>
      </c>
      <c r="JVS121" s="285" t="s">
        <v>376</v>
      </c>
      <c r="JVT121" s="285" t="s">
        <v>377</v>
      </c>
      <c r="JVU121" s="285" t="s">
        <v>376</v>
      </c>
      <c r="JVV121" s="285" t="s">
        <v>377</v>
      </c>
      <c r="JVW121" s="285" t="s">
        <v>376</v>
      </c>
      <c r="JVX121" s="285" t="s">
        <v>377</v>
      </c>
      <c r="JVY121" s="285" t="s">
        <v>376</v>
      </c>
      <c r="JVZ121" s="285" t="s">
        <v>377</v>
      </c>
      <c r="JWA121" s="285" t="s">
        <v>376</v>
      </c>
      <c r="JWB121" s="285" t="s">
        <v>377</v>
      </c>
      <c r="JWC121" s="285" t="s">
        <v>376</v>
      </c>
      <c r="JWD121" s="285" t="s">
        <v>377</v>
      </c>
      <c r="JWE121" s="285" t="s">
        <v>376</v>
      </c>
      <c r="JWF121" s="285" t="s">
        <v>377</v>
      </c>
      <c r="JWG121" s="285" t="s">
        <v>376</v>
      </c>
      <c r="JWH121" s="285" t="s">
        <v>377</v>
      </c>
      <c r="JWI121" s="285" t="s">
        <v>376</v>
      </c>
      <c r="JWJ121" s="285" t="s">
        <v>377</v>
      </c>
      <c r="JWK121" s="285" t="s">
        <v>376</v>
      </c>
      <c r="JWL121" s="285" t="s">
        <v>377</v>
      </c>
      <c r="JWM121" s="285" t="s">
        <v>376</v>
      </c>
      <c r="JWN121" s="285" t="s">
        <v>377</v>
      </c>
      <c r="JWO121" s="285" t="s">
        <v>376</v>
      </c>
      <c r="JWP121" s="285" t="s">
        <v>377</v>
      </c>
      <c r="JWQ121" s="285" t="s">
        <v>376</v>
      </c>
      <c r="JWR121" s="285" t="s">
        <v>377</v>
      </c>
      <c r="JWS121" s="285" t="s">
        <v>376</v>
      </c>
      <c r="JWT121" s="285" t="s">
        <v>377</v>
      </c>
      <c r="JWU121" s="285" t="s">
        <v>376</v>
      </c>
      <c r="JWV121" s="285" t="s">
        <v>377</v>
      </c>
      <c r="JWW121" s="285" t="s">
        <v>376</v>
      </c>
      <c r="JWX121" s="285" t="s">
        <v>377</v>
      </c>
      <c r="JWY121" s="285" t="s">
        <v>376</v>
      </c>
      <c r="JWZ121" s="285" t="s">
        <v>377</v>
      </c>
      <c r="JXA121" s="285" t="s">
        <v>376</v>
      </c>
      <c r="JXB121" s="285" t="s">
        <v>377</v>
      </c>
      <c r="JXC121" s="285" t="s">
        <v>376</v>
      </c>
      <c r="JXD121" s="285" t="s">
        <v>377</v>
      </c>
      <c r="JXE121" s="285" t="s">
        <v>376</v>
      </c>
      <c r="JXF121" s="285" t="s">
        <v>377</v>
      </c>
      <c r="JXG121" s="285" t="s">
        <v>376</v>
      </c>
      <c r="JXH121" s="285" t="s">
        <v>377</v>
      </c>
      <c r="JXI121" s="285" t="s">
        <v>376</v>
      </c>
      <c r="JXJ121" s="285" t="s">
        <v>377</v>
      </c>
      <c r="JXK121" s="285" t="s">
        <v>376</v>
      </c>
      <c r="JXL121" s="285" t="s">
        <v>377</v>
      </c>
      <c r="JXM121" s="285" t="s">
        <v>376</v>
      </c>
      <c r="JXN121" s="285" t="s">
        <v>377</v>
      </c>
      <c r="JXO121" s="285" t="s">
        <v>376</v>
      </c>
      <c r="JXP121" s="285" t="s">
        <v>377</v>
      </c>
      <c r="JXQ121" s="285" t="s">
        <v>376</v>
      </c>
      <c r="JXR121" s="285" t="s">
        <v>377</v>
      </c>
      <c r="JXS121" s="285" t="s">
        <v>376</v>
      </c>
      <c r="JXT121" s="285" t="s">
        <v>377</v>
      </c>
      <c r="JXU121" s="285" t="s">
        <v>376</v>
      </c>
      <c r="JXV121" s="285" t="s">
        <v>377</v>
      </c>
      <c r="JXW121" s="285" t="s">
        <v>376</v>
      </c>
      <c r="JXX121" s="285" t="s">
        <v>377</v>
      </c>
      <c r="JXY121" s="285" t="s">
        <v>376</v>
      </c>
      <c r="JXZ121" s="285" t="s">
        <v>377</v>
      </c>
      <c r="JYA121" s="285" t="s">
        <v>376</v>
      </c>
      <c r="JYB121" s="285" t="s">
        <v>377</v>
      </c>
      <c r="JYC121" s="285" t="s">
        <v>376</v>
      </c>
      <c r="JYD121" s="285" t="s">
        <v>377</v>
      </c>
      <c r="JYE121" s="285" t="s">
        <v>376</v>
      </c>
      <c r="JYF121" s="285" t="s">
        <v>377</v>
      </c>
      <c r="JYG121" s="285" t="s">
        <v>376</v>
      </c>
      <c r="JYH121" s="285" t="s">
        <v>377</v>
      </c>
      <c r="JYI121" s="285" t="s">
        <v>376</v>
      </c>
      <c r="JYJ121" s="285" t="s">
        <v>377</v>
      </c>
      <c r="JYK121" s="285" t="s">
        <v>376</v>
      </c>
      <c r="JYL121" s="285" t="s">
        <v>377</v>
      </c>
      <c r="JYM121" s="285" t="s">
        <v>376</v>
      </c>
      <c r="JYN121" s="285" t="s">
        <v>377</v>
      </c>
      <c r="JYO121" s="285" t="s">
        <v>376</v>
      </c>
      <c r="JYP121" s="285" t="s">
        <v>377</v>
      </c>
      <c r="JYQ121" s="285" t="s">
        <v>376</v>
      </c>
      <c r="JYR121" s="285" t="s">
        <v>377</v>
      </c>
      <c r="JYS121" s="285" t="s">
        <v>376</v>
      </c>
      <c r="JYT121" s="285" t="s">
        <v>377</v>
      </c>
      <c r="JYU121" s="285" t="s">
        <v>376</v>
      </c>
      <c r="JYV121" s="285" t="s">
        <v>377</v>
      </c>
      <c r="JYW121" s="285" t="s">
        <v>376</v>
      </c>
      <c r="JYX121" s="285" t="s">
        <v>377</v>
      </c>
      <c r="JYY121" s="285" t="s">
        <v>376</v>
      </c>
      <c r="JYZ121" s="285" t="s">
        <v>377</v>
      </c>
      <c r="JZA121" s="285" t="s">
        <v>376</v>
      </c>
      <c r="JZB121" s="285" t="s">
        <v>377</v>
      </c>
      <c r="JZC121" s="285" t="s">
        <v>376</v>
      </c>
      <c r="JZD121" s="285" t="s">
        <v>377</v>
      </c>
      <c r="JZE121" s="285" t="s">
        <v>376</v>
      </c>
      <c r="JZF121" s="285" t="s">
        <v>377</v>
      </c>
      <c r="JZG121" s="285" t="s">
        <v>376</v>
      </c>
      <c r="JZH121" s="285" t="s">
        <v>377</v>
      </c>
      <c r="JZI121" s="285" t="s">
        <v>376</v>
      </c>
      <c r="JZJ121" s="285" t="s">
        <v>377</v>
      </c>
      <c r="JZK121" s="285" t="s">
        <v>376</v>
      </c>
      <c r="JZL121" s="285" t="s">
        <v>377</v>
      </c>
      <c r="JZM121" s="285" t="s">
        <v>376</v>
      </c>
      <c r="JZN121" s="285" t="s">
        <v>377</v>
      </c>
      <c r="JZO121" s="285" t="s">
        <v>376</v>
      </c>
      <c r="JZP121" s="285" t="s">
        <v>377</v>
      </c>
      <c r="JZQ121" s="285" t="s">
        <v>376</v>
      </c>
      <c r="JZR121" s="285" t="s">
        <v>377</v>
      </c>
      <c r="JZS121" s="285" t="s">
        <v>376</v>
      </c>
      <c r="JZT121" s="285" t="s">
        <v>377</v>
      </c>
      <c r="JZU121" s="285" t="s">
        <v>376</v>
      </c>
      <c r="JZV121" s="285" t="s">
        <v>377</v>
      </c>
      <c r="JZW121" s="285" t="s">
        <v>376</v>
      </c>
      <c r="JZX121" s="285" t="s">
        <v>377</v>
      </c>
      <c r="JZY121" s="285" t="s">
        <v>376</v>
      </c>
      <c r="JZZ121" s="285" t="s">
        <v>377</v>
      </c>
      <c r="KAA121" s="285" t="s">
        <v>376</v>
      </c>
      <c r="KAB121" s="285" t="s">
        <v>377</v>
      </c>
      <c r="KAC121" s="285" t="s">
        <v>376</v>
      </c>
      <c r="KAD121" s="285" t="s">
        <v>377</v>
      </c>
      <c r="KAE121" s="285" t="s">
        <v>376</v>
      </c>
      <c r="KAF121" s="285" t="s">
        <v>377</v>
      </c>
      <c r="KAG121" s="285" t="s">
        <v>376</v>
      </c>
      <c r="KAH121" s="285" t="s">
        <v>377</v>
      </c>
      <c r="KAI121" s="285" t="s">
        <v>376</v>
      </c>
      <c r="KAJ121" s="285" t="s">
        <v>377</v>
      </c>
      <c r="KAK121" s="285" t="s">
        <v>376</v>
      </c>
      <c r="KAL121" s="285" t="s">
        <v>377</v>
      </c>
      <c r="KAM121" s="285" t="s">
        <v>376</v>
      </c>
      <c r="KAN121" s="285" t="s">
        <v>377</v>
      </c>
      <c r="KAO121" s="285" t="s">
        <v>376</v>
      </c>
      <c r="KAP121" s="285" t="s">
        <v>377</v>
      </c>
      <c r="KAQ121" s="285" t="s">
        <v>376</v>
      </c>
      <c r="KAR121" s="285" t="s">
        <v>377</v>
      </c>
      <c r="KAS121" s="285" t="s">
        <v>376</v>
      </c>
      <c r="KAT121" s="285" t="s">
        <v>377</v>
      </c>
      <c r="KAU121" s="285" t="s">
        <v>376</v>
      </c>
      <c r="KAV121" s="285" t="s">
        <v>377</v>
      </c>
      <c r="KAW121" s="285" t="s">
        <v>376</v>
      </c>
      <c r="KAX121" s="285" t="s">
        <v>377</v>
      </c>
      <c r="KAY121" s="285" t="s">
        <v>376</v>
      </c>
      <c r="KAZ121" s="285" t="s">
        <v>377</v>
      </c>
      <c r="KBA121" s="285" t="s">
        <v>376</v>
      </c>
      <c r="KBB121" s="285" t="s">
        <v>377</v>
      </c>
      <c r="KBC121" s="285" t="s">
        <v>376</v>
      </c>
      <c r="KBD121" s="285" t="s">
        <v>377</v>
      </c>
      <c r="KBE121" s="285" t="s">
        <v>376</v>
      </c>
      <c r="KBF121" s="285" t="s">
        <v>377</v>
      </c>
      <c r="KBG121" s="285" t="s">
        <v>376</v>
      </c>
      <c r="KBH121" s="285" t="s">
        <v>377</v>
      </c>
      <c r="KBI121" s="285" t="s">
        <v>376</v>
      </c>
      <c r="KBJ121" s="285" t="s">
        <v>377</v>
      </c>
      <c r="KBK121" s="285" t="s">
        <v>376</v>
      </c>
      <c r="KBL121" s="285" t="s">
        <v>377</v>
      </c>
      <c r="KBM121" s="285" t="s">
        <v>376</v>
      </c>
      <c r="KBN121" s="285" t="s">
        <v>377</v>
      </c>
      <c r="KBO121" s="285" t="s">
        <v>376</v>
      </c>
      <c r="KBP121" s="285" t="s">
        <v>377</v>
      </c>
      <c r="KBQ121" s="285" t="s">
        <v>376</v>
      </c>
      <c r="KBR121" s="285" t="s">
        <v>377</v>
      </c>
      <c r="KBS121" s="285" t="s">
        <v>376</v>
      </c>
      <c r="KBT121" s="285" t="s">
        <v>377</v>
      </c>
      <c r="KBU121" s="285" t="s">
        <v>376</v>
      </c>
      <c r="KBV121" s="285" t="s">
        <v>377</v>
      </c>
      <c r="KBW121" s="285" t="s">
        <v>376</v>
      </c>
      <c r="KBX121" s="285" t="s">
        <v>377</v>
      </c>
      <c r="KBY121" s="285" t="s">
        <v>376</v>
      </c>
      <c r="KBZ121" s="285" t="s">
        <v>377</v>
      </c>
      <c r="KCA121" s="285" t="s">
        <v>376</v>
      </c>
      <c r="KCB121" s="285" t="s">
        <v>377</v>
      </c>
      <c r="KCC121" s="285" t="s">
        <v>376</v>
      </c>
      <c r="KCD121" s="285" t="s">
        <v>377</v>
      </c>
      <c r="KCE121" s="285" t="s">
        <v>376</v>
      </c>
      <c r="KCF121" s="285" t="s">
        <v>377</v>
      </c>
      <c r="KCG121" s="285" t="s">
        <v>376</v>
      </c>
      <c r="KCH121" s="285" t="s">
        <v>377</v>
      </c>
      <c r="KCI121" s="285" t="s">
        <v>376</v>
      </c>
      <c r="KCJ121" s="285" t="s">
        <v>377</v>
      </c>
      <c r="KCK121" s="285" t="s">
        <v>376</v>
      </c>
      <c r="KCL121" s="285" t="s">
        <v>377</v>
      </c>
      <c r="KCM121" s="285" t="s">
        <v>376</v>
      </c>
      <c r="KCN121" s="285" t="s">
        <v>377</v>
      </c>
      <c r="KCO121" s="285" t="s">
        <v>376</v>
      </c>
      <c r="KCP121" s="285" t="s">
        <v>377</v>
      </c>
      <c r="KCQ121" s="285" t="s">
        <v>376</v>
      </c>
      <c r="KCR121" s="285" t="s">
        <v>377</v>
      </c>
      <c r="KCS121" s="285" t="s">
        <v>376</v>
      </c>
      <c r="KCT121" s="285" t="s">
        <v>377</v>
      </c>
      <c r="KCU121" s="285" t="s">
        <v>376</v>
      </c>
      <c r="KCV121" s="285" t="s">
        <v>377</v>
      </c>
      <c r="KCW121" s="285" t="s">
        <v>376</v>
      </c>
      <c r="KCX121" s="285" t="s">
        <v>377</v>
      </c>
      <c r="KCY121" s="285" t="s">
        <v>376</v>
      </c>
      <c r="KCZ121" s="285" t="s">
        <v>377</v>
      </c>
      <c r="KDA121" s="285" t="s">
        <v>376</v>
      </c>
      <c r="KDB121" s="285" t="s">
        <v>377</v>
      </c>
      <c r="KDC121" s="285" t="s">
        <v>376</v>
      </c>
      <c r="KDD121" s="285" t="s">
        <v>377</v>
      </c>
      <c r="KDE121" s="285" t="s">
        <v>376</v>
      </c>
      <c r="KDF121" s="285" t="s">
        <v>377</v>
      </c>
      <c r="KDG121" s="285" t="s">
        <v>376</v>
      </c>
      <c r="KDH121" s="285" t="s">
        <v>377</v>
      </c>
      <c r="KDI121" s="285" t="s">
        <v>376</v>
      </c>
      <c r="KDJ121" s="285" t="s">
        <v>377</v>
      </c>
      <c r="KDK121" s="285" t="s">
        <v>376</v>
      </c>
      <c r="KDL121" s="285" t="s">
        <v>377</v>
      </c>
      <c r="KDM121" s="285" t="s">
        <v>376</v>
      </c>
      <c r="KDN121" s="285" t="s">
        <v>377</v>
      </c>
      <c r="KDO121" s="285" t="s">
        <v>376</v>
      </c>
      <c r="KDP121" s="285" t="s">
        <v>377</v>
      </c>
      <c r="KDQ121" s="285" t="s">
        <v>376</v>
      </c>
      <c r="KDR121" s="285" t="s">
        <v>377</v>
      </c>
      <c r="KDS121" s="285" t="s">
        <v>376</v>
      </c>
      <c r="KDT121" s="285" t="s">
        <v>377</v>
      </c>
      <c r="KDU121" s="285" t="s">
        <v>376</v>
      </c>
      <c r="KDV121" s="285" t="s">
        <v>377</v>
      </c>
      <c r="KDW121" s="285" t="s">
        <v>376</v>
      </c>
      <c r="KDX121" s="285" t="s">
        <v>377</v>
      </c>
      <c r="KDY121" s="285" t="s">
        <v>376</v>
      </c>
      <c r="KDZ121" s="285" t="s">
        <v>377</v>
      </c>
      <c r="KEA121" s="285" t="s">
        <v>376</v>
      </c>
      <c r="KEB121" s="285" t="s">
        <v>377</v>
      </c>
      <c r="KEC121" s="285" t="s">
        <v>376</v>
      </c>
      <c r="KED121" s="285" t="s">
        <v>377</v>
      </c>
      <c r="KEE121" s="285" t="s">
        <v>376</v>
      </c>
      <c r="KEF121" s="285" t="s">
        <v>377</v>
      </c>
      <c r="KEG121" s="285" t="s">
        <v>376</v>
      </c>
      <c r="KEH121" s="285" t="s">
        <v>377</v>
      </c>
      <c r="KEI121" s="285" t="s">
        <v>376</v>
      </c>
      <c r="KEJ121" s="285" t="s">
        <v>377</v>
      </c>
      <c r="KEK121" s="285" t="s">
        <v>376</v>
      </c>
      <c r="KEL121" s="285" t="s">
        <v>377</v>
      </c>
      <c r="KEM121" s="285" t="s">
        <v>376</v>
      </c>
      <c r="KEN121" s="285" t="s">
        <v>377</v>
      </c>
      <c r="KEO121" s="285" t="s">
        <v>376</v>
      </c>
      <c r="KEP121" s="285" t="s">
        <v>377</v>
      </c>
      <c r="KEQ121" s="285" t="s">
        <v>376</v>
      </c>
      <c r="KER121" s="285" t="s">
        <v>377</v>
      </c>
      <c r="KES121" s="285" t="s">
        <v>376</v>
      </c>
      <c r="KET121" s="285" t="s">
        <v>377</v>
      </c>
      <c r="KEU121" s="285" t="s">
        <v>376</v>
      </c>
      <c r="KEV121" s="285" t="s">
        <v>377</v>
      </c>
      <c r="KEW121" s="285" t="s">
        <v>376</v>
      </c>
      <c r="KEX121" s="285" t="s">
        <v>377</v>
      </c>
      <c r="KEY121" s="285" t="s">
        <v>376</v>
      </c>
      <c r="KEZ121" s="285" t="s">
        <v>377</v>
      </c>
      <c r="KFA121" s="285" t="s">
        <v>376</v>
      </c>
      <c r="KFB121" s="285" t="s">
        <v>377</v>
      </c>
      <c r="KFC121" s="285" t="s">
        <v>376</v>
      </c>
      <c r="KFD121" s="285" t="s">
        <v>377</v>
      </c>
      <c r="KFE121" s="285" t="s">
        <v>376</v>
      </c>
      <c r="KFF121" s="285" t="s">
        <v>377</v>
      </c>
      <c r="KFG121" s="285" t="s">
        <v>376</v>
      </c>
      <c r="KFH121" s="285" t="s">
        <v>377</v>
      </c>
      <c r="KFI121" s="285" t="s">
        <v>376</v>
      </c>
      <c r="KFJ121" s="285" t="s">
        <v>377</v>
      </c>
      <c r="KFK121" s="285" t="s">
        <v>376</v>
      </c>
      <c r="KFL121" s="285" t="s">
        <v>377</v>
      </c>
      <c r="KFM121" s="285" t="s">
        <v>376</v>
      </c>
      <c r="KFN121" s="285" t="s">
        <v>377</v>
      </c>
      <c r="KFO121" s="285" t="s">
        <v>376</v>
      </c>
      <c r="KFP121" s="285" t="s">
        <v>377</v>
      </c>
      <c r="KFQ121" s="285" t="s">
        <v>376</v>
      </c>
      <c r="KFR121" s="285" t="s">
        <v>377</v>
      </c>
      <c r="KFS121" s="285" t="s">
        <v>376</v>
      </c>
      <c r="KFT121" s="285" t="s">
        <v>377</v>
      </c>
      <c r="KFU121" s="285" t="s">
        <v>376</v>
      </c>
      <c r="KFV121" s="285" t="s">
        <v>377</v>
      </c>
      <c r="KFW121" s="285" t="s">
        <v>376</v>
      </c>
      <c r="KFX121" s="285" t="s">
        <v>377</v>
      </c>
      <c r="KFY121" s="285" t="s">
        <v>376</v>
      </c>
      <c r="KFZ121" s="285" t="s">
        <v>377</v>
      </c>
      <c r="KGA121" s="285" t="s">
        <v>376</v>
      </c>
      <c r="KGB121" s="285" t="s">
        <v>377</v>
      </c>
      <c r="KGC121" s="285" t="s">
        <v>376</v>
      </c>
      <c r="KGD121" s="285" t="s">
        <v>377</v>
      </c>
      <c r="KGE121" s="285" t="s">
        <v>376</v>
      </c>
      <c r="KGF121" s="285" t="s">
        <v>377</v>
      </c>
      <c r="KGG121" s="285" t="s">
        <v>376</v>
      </c>
      <c r="KGH121" s="285" t="s">
        <v>377</v>
      </c>
      <c r="KGI121" s="285" t="s">
        <v>376</v>
      </c>
      <c r="KGJ121" s="285" t="s">
        <v>377</v>
      </c>
      <c r="KGK121" s="285" t="s">
        <v>376</v>
      </c>
      <c r="KGL121" s="285" t="s">
        <v>377</v>
      </c>
      <c r="KGM121" s="285" t="s">
        <v>376</v>
      </c>
      <c r="KGN121" s="285" t="s">
        <v>377</v>
      </c>
      <c r="KGO121" s="285" t="s">
        <v>376</v>
      </c>
      <c r="KGP121" s="285" t="s">
        <v>377</v>
      </c>
      <c r="KGQ121" s="285" t="s">
        <v>376</v>
      </c>
      <c r="KGR121" s="285" t="s">
        <v>377</v>
      </c>
      <c r="KGS121" s="285" t="s">
        <v>376</v>
      </c>
      <c r="KGT121" s="285" t="s">
        <v>377</v>
      </c>
      <c r="KGU121" s="285" t="s">
        <v>376</v>
      </c>
      <c r="KGV121" s="285" t="s">
        <v>377</v>
      </c>
      <c r="KGW121" s="285" t="s">
        <v>376</v>
      </c>
      <c r="KGX121" s="285" t="s">
        <v>377</v>
      </c>
      <c r="KGY121" s="285" t="s">
        <v>376</v>
      </c>
      <c r="KGZ121" s="285" t="s">
        <v>377</v>
      </c>
      <c r="KHA121" s="285" t="s">
        <v>376</v>
      </c>
      <c r="KHB121" s="285" t="s">
        <v>377</v>
      </c>
      <c r="KHC121" s="285" t="s">
        <v>376</v>
      </c>
      <c r="KHD121" s="285" t="s">
        <v>377</v>
      </c>
      <c r="KHE121" s="285" t="s">
        <v>376</v>
      </c>
      <c r="KHF121" s="285" t="s">
        <v>377</v>
      </c>
      <c r="KHG121" s="285" t="s">
        <v>376</v>
      </c>
      <c r="KHH121" s="285" t="s">
        <v>377</v>
      </c>
      <c r="KHI121" s="285" t="s">
        <v>376</v>
      </c>
      <c r="KHJ121" s="285" t="s">
        <v>377</v>
      </c>
      <c r="KHK121" s="285" t="s">
        <v>376</v>
      </c>
      <c r="KHL121" s="285" t="s">
        <v>377</v>
      </c>
      <c r="KHM121" s="285" t="s">
        <v>376</v>
      </c>
      <c r="KHN121" s="285" t="s">
        <v>377</v>
      </c>
      <c r="KHO121" s="285" t="s">
        <v>376</v>
      </c>
      <c r="KHP121" s="285" t="s">
        <v>377</v>
      </c>
      <c r="KHQ121" s="285" t="s">
        <v>376</v>
      </c>
      <c r="KHR121" s="285" t="s">
        <v>377</v>
      </c>
      <c r="KHS121" s="285" t="s">
        <v>376</v>
      </c>
      <c r="KHT121" s="285" t="s">
        <v>377</v>
      </c>
      <c r="KHU121" s="285" t="s">
        <v>376</v>
      </c>
      <c r="KHV121" s="285" t="s">
        <v>377</v>
      </c>
      <c r="KHW121" s="285" t="s">
        <v>376</v>
      </c>
      <c r="KHX121" s="285" t="s">
        <v>377</v>
      </c>
      <c r="KHY121" s="285" t="s">
        <v>376</v>
      </c>
      <c r="KHZ121" s="285" t="s">
        <v>377</v>
      </c>
      <c r="KIA121" s="285" t="s">
        <v>376</v>
      </c>
      <c r="KIB121" s="285" t="s">
        <v>377</v>
      </c>
      <c r="KIC121" s="285" t="s">
        <v>376</v>
      </c>
      <c r="KID121" s="285" t="s">
        <v>377</v>
      </c>
      <c r="KIE121" s="285" t="s">
        <v>376</v>
      </c>
      <c r="KIF121" s="285" t="s">
        <v>377</v>
      </c>
      <c r="KIG121" s="285" t="s">
        <v>376</v>
      </c>
      <c r="KIH121" s="285" t="s">
        <v>377</v>
      </c>
      <c r="KII121" s="285" t="s">
        <v>376</v>
      </c>
      <c r="KIJ121" s="285" t="s">
        <v>377</v>
      </c>
      <c r="KIK121" s="285" t="s">
        <v>376</v>
      </c>
      <c r="KIL121" s="285" t="s">
        <v>377</v>
      </c>
      <c r="KIM121" s="285" t="s">
        <v>376</v>
      </c>
      <c r="KIN121" s="285" t="s">
        <v>377</v>
      </c>
      <c r="KIO121" s="285" t="s">
        <v>376</v>
      </c>
      <c r="KIP121" s="285" t="s">
        <v>377</v>
      </c>
      <c r="KIQ121" s="285" t="s">
        <v>376</v>
      </c>
      <c r="KIR121" s="285" t="s">
        <v>377</v>
      </c>
      <c r="KIS121" s="285" t="s">
        <v>376</v>
      </c>
      <c r="KIT121" s="285" t="s">
        <v>377</v>
      </c>
      <c r="KIU121" s="285" t="s">
        <v>376</v>
      </c>
      <c r="KIV121" s="285" t="s">
        <v>377</v>
      </c>
      <c r="KIW121" s="285" t="s">
        <v>376</v>
      </c>
      <c r="KIX121" s="285" t="s">
        <v>377</v>
      </c>
      <c r="KIY121" s="285" t="s">
        <v>376</v>
      </c>
      <c r="KIZ121" s="285" t="s">
        <v>377</v>
      </c>
      <c r="KJA121" s="285" t="s">
        <v>376</v>
      </c>
      <c r="KJB121" s="285" t="s">
        <v>377</v>
      </c>
      <c r="KJC121" s="285" t="s">
        <v>376</v>
      </c>
      <c r="KJD121" s="285" t="s">
        <v>377</v>
      </c>
      <c r="KJE121" s="285" t="s">
        <v>376</v>
      </c>
      <c r="KJF121" s="285" t="s">
        <v>377</v>
      </c>
      <c r="KJG121" s="285" t="s">
        <v>376</v>
      </c>
      <c r="KJH121" s="285" t="s">
        <v>377</v>
      </c>
      <c r="KJI121" s="285" t="s">
        <v>376</v>
      </c>
      <c r="KJJ121" s="285" t="s">
        <v>377</v>
      </c>
      <c r="KJK121" s="285" t="s">
        <v>376</v>
      </c>
      <c r="KJL121" s="285" t="s">
        <v>377</v>
      </c>
      <c r="KJM121" s="285" t="s">
        <v>376</v>
      </c>
      <c r="KJN121" s="285" t="s">
        <v>377</v>
      </c>
      <c r="KJO121" s="285" t="s">
        <v>376</v>
      </c>
      <c r="KJP121" s="285" t="s">
        <v>377</v>
      </c>
      <c r="KJQ121" s="285" t="s">
        <v>376</v>
      </c>
      <c r="KJR121" s="285" t="s">
        <v>377</v>
      </c>
      <c r="KJS121" s="285" t="s">
        <v>376</v>
      </c>
      <c r="KJT121" s="285" t="s">
        <v>377</v>
      </c>
      <c r="KJU121" s="285" t="s">
        <v>376</v>
      </c>
      <c r="KJV121" s="285" t="s">
        <v>377</v>
      </c>
      <c r="KJW121" s="285" t="s">
        <v>376</v>
      </c>
      <c r="KJX121" s="285" t="s">
        <v>377</v>
      </c>
      <c r="KJY121" s="285" t="s">
        <v>376</v>
      </c>
      <c r="KJZ121" s="285" t="s">
        <v>377</v>
      </c>
      <c r="KKA121" s="285" t="s">
        <v>376</v>
      </c>
      <c r="KKB121" s="285" t="s">
        <v>377</v>
      </c>
      <c r="KKC121" s="285" t="s">
        <v>376</v>
      </c>
      <c r="KKD121" s="285" t="s">
        <v>377</v>
      </c>
      <c r="KKE121" s="285" t="s">
        <v>376</v>
      </c>
      <c r="KKF121" s="285" t="s">
        <v>377</v>
      </c>
      <c r="KKG121" s="285" t="s">
        <v>376</v>
      </c>
      <c r="KKH121" s="285" t="s">
        <v>377</v>
      </c>
      <c r="KKI121" s="285" t="s">
        <v>376</v>
      </c>
      <c r="KKJ121" s="285" t="s">
        <v>377</v>
      </c>
      <c r="KKK121" s="285" t="s">
        <v>376</v>
      </c>
      <c r="KKL121" s="285" t="s">
        <v>377</v>
      </c>
      <c r="KKM121" s="285" t="s">
        <v>376</v>
      </c>
      <c r="KKN121" s="285" t="s">
        <v>377</v>
      </c>
      <c r="KKO121" s="285" t="s">
        <v>376</v>
      </c>
      <c r="KKP121" s="285" t="s">
        <v>377</v>
      </c>
      <c r="KKQ121" s="285" t="s">
        <v>376</v>
      </c>
      <c r="KKR121" s="285" t="s">
        <v>377</v>
      </c>
      <c r="KKS121" s="285" t="s">
        <v>376</v>
      </c>
      <c r="KKT121" s="285" t="s">
        <v>377</v>
      </c>
      <c r="KKU121" s="285" t="s">
        <v>376</v>
      </c>
      <c r="KKV121" s="285" t="s">
        <v>377</v>
      </c>
      <c r="KKW121" s="285" t="s">
        <v>376</v>
      </c>
      <c r="KKX121" s="285" t="s">
        <v>377</v>
      </c>
      <c r="KKY121" s="285" t="s">
        <v>376</v>
      </c>
      <c r="KKZ121" s="285" t="s">
        <v>377</v>
      </c>
      <c r="KLA121" s="285" t="s">
        <v>376</v>
      </c>
      <c r="KLB121" s="285" t="s">
        <v>377</v>
      </c>
      <c r="KLC121" s="285" t="s">
        <v>376</v>
      </c>
      <c r="KLD121" s="285" t="s">
        <v>377</v>
      </c>
      <c r="KLE121" s="285" t="s">
        <v>376</v>
      </c>
      <c r="KLF121" s="285" t="s">
        <v>377</v>
      </c>
      <c r="KLG121" s="285" t="s">
        <v>376</v>
      </c>
      <c r="KLH121" s="285" t="s">
        <v>377</v>
      </c>
      <c r="KLI121" s="285" t="s">
        <v>376</v>
      </c>
      <c r="KLJ121" s="285" t="s">
        <v>377</v>
      </c>
      <c r="KLK121" s="285" t="s">
        <v>376</v>
      </c>
      <c r="KLL121" s="285" t="s">
        <v>377</v>
      </c>
      <c r="KLM121" s="285" t="s">
        <v>376</v>
      </c>
      <c r="KLN121" s="285" t="s">
        <v>377</v>
      </c>
      <c r="KLO121" s="285" t="s">
        <v>376</v>
      </c>
      <c r="KLP121" s="285" t="s">
        <v>377</v>
      </c>
      <c r="KLQ121" s="285" t="s">
        <v>376</v>
      </c>
      <c r="KLR121" s="285" t="s">
        <v>377</v>
      </c>
      <c r="KLS121" s="285" t="s">
        <v>376</v>
      </c>
      <c r="KLT121" s="285" t="s">
        <v>377</v>
      </c>
      <c r="KLU121" s="285" t="s">
        <v>376</v>
      </c>
      <c r="KLV121" s="285" t="s">
        <v>377</v>
      </c>
      <c r="KLW121" s="285" t="s">
        <v>376</v>
      </c>
      <c r="KLX121" s="285" t="s">
        <v>377</v>
      </c>
      <c r="KLY121" s="285" t="s">
        <v>376</v>
      </c>
      <c r="KLZ121" s="285" t="s">
        <v>377</v>
      </c>
      <c r="KMA121" s="285" t="s">
        <v>376</v>
      </c>
      <c r="KMB121" s="285" t="s">
        <v>377</v>
      </c>
      <c r="KMC121" s="285" t="s">
        <v>376</v>
      </c>
      <c r="KMD121" s="285" t="s">
        <v>377</v>
      </c>
      <c r="KME121" s="285" t="s">
        <v>376</v>
      </c>
      <c r="KMF121" s="285" t="s">
        <v>377</v>
      </c>
      <c r="KMG121" s="285" t="s">
        <v>376</v>
      </c>
      <c r="KMH121" s="285" t="s">
        <v>377</v>
      </c>
      <c r="KMI121" s="285" t="s">
        <v>376</v>
      </c>
      <c r="KMJ121" s="285" t="s">
        <v>377</v>
      </c>
      <c r="KMK121" s="285" t="s">
        <v>376</v>
      </c>
      <c r="KML121" s="285" t="s">
        <v>377</v>
      </c>
      <c r="KMM121" s="285" t="s">
        <v>376</v>
      </c>
      <c r="KMN121" s="285" t="s">
        <v>377</v>
      </c>
      <c r="KMO121" s="285" t="s">
        <v>376</v>
      </c>
      <c r="KMP121" s="285" t="s">
        <v>377</v>
      </c>
      <c r="KMQ121" s="285" t="s">
        <v>376</v>
      </c>
      <c r="KMR121" s="285" t="s">
        <v>377</v>
      </c>
      <c r="KMS121" s="285" t="s">
        <v>376</v>
      </c>
      <c r="KMT121" s="285" t="s">
        <v>377</v>
      </c>
      <c r="KMU121" s="285" t="s">
        <v>376</v>
      </c>
      <c r="KMV121" s="285" t="s">
        <v>377</v>
      </c>
      <c r="KMW121" s="285" t="s">
        <v>376</v>
      </c>
      <c r="KMX121" s="285" t="s">
        <v>377</v>
      </c>
      <c r="KMY121" s="285" t="s">
        <v>376</v>
      </c>
      <c r="KMZ121" s="285" t="s">
        <v>377</v>
      </c>
      <c r="KNA121" s="285" t="s">
        <v>376</v>
      </c>
      <c r="KNB121" s="285" t="s">
        <v>377</v>
      </c>
      <c r="KNC121" s="285" t="s">
        <v>376</v>
      </c>
      <c r="KND121" s="285" t="s">
        <v>377</v>
      </c>
      <c r="KNE121" s="285" t="s">
        <v>376</v>
      </c>
      <c r="KNF121" s="285" t="s">
        <v>377</v>
      </c>
      <c r="KNG121" s="285" t="s">
        <v>376</v>
      </c>
      <c r="KNH121" s="285" t="s">
        <v>377</v>
      </c>
      <c r="KNI121" s="285" t="s">
        <v>376</v>
      </c>
      <c r="KNJ121" s="285" t="s">
        <v>377</v>
      </c>
      <c r="KNK121" s="285" t="s">
        <v>376</v>
      </c>
      <c r="KNL121" s="285" t="s">
        <v>377</v>
      </c>
      <c r="KNM121" s="285" t="s">
        <v>376</v>
      </c>
      <c r="KNN121" s="285" t="s">
        <v>377</v>
      </c>
      <c r="KNO121" s="285" t="s">
        <v>376</v>
      </c>
      <c r="KNP121" s="285" t="s">
        <v>377</v>
      </c>
      <c r="KNQ121" s="285" t="s">
        <v>376</v>
      </c>
      <c r="KNR121" s="285" t="s">
        <v>377</v>
      </c>
      <c r="KNS121" s="285" t="s">
        <v>376</v>
      </c>
      <c r="KNT121" s="285" t="s">
        <v>377</v>
      </c>
      <c r="KNU121" s="285" t="s">
        <v>376</v>
      </c>
      <c r="KNV121" s="285" t="s">
        <v>377</v>
      </c>
      <c r="KNW121" s="285" t="s">
        <v>376</v>
      </c>
      <c r="KNX121" s="285" t="s">
        <v>377</v>
      </c>
      <c r="KNY121" s="285" t="s">
        <v>376</v>
      </c>
      <c r="KNZ121" s="285" t="s">
        <v>377</v>
      </c>
      <c r="KOA121" s="285" t="s">
        <v>376</v>
      </c>
      <c r="KOB121" s="285" t="s">
        <v>377</v>
      </c>
      <c r="KOC121" s="285" t="s">
        <v>376</v>
      </c>
      <c r="KOD121" s="285" t="s">
        <v>377</v>
      </c>
      <c r="KOE121" s="285" t="s">
        <v>376</v>
      </c>
      <c r="KOF121" s="285" t="s">
        <v>377</v>
      </c>
      <c r="KOG121" s="285" t="s">
        <v>376</v>
      </c>
      <c r="KOH121" s="285" t="s">
        <v>377</v>
      </c>
      <c r="KOI121" s="285" t="s">
        <v>376</v>
      </c>
      <c r="KOJ121" s="285" t="s">
        <v>377</v>
      </c>
      <c r="KOK121" s="285" t="s">
        <v>376</v>
      </c>
      <c r="KOL121" s="285" t="s">
        <v>377</v>
      </c>
      <c r="KOM121" s="285" t="s">
        <v>376</v>
      </c>
      <c r="KON121" s="285" t="s">
        <v>377</v>
      </c>
      <c r="KOO121" s="285" t="s">
        <v>376</v>
      </c>
      <c r="KOP121" s="285" t="s">
        <v>377</v>
      </c>
      <c r="KOQ121" s="285" t="s">
        <v>376</v>
      </c>
      <c r="KOR121" s="285" t="s">
        <v>377</v>
      </c>
      <c r="KOS121" s="285" t="s">
        <v>376</v>
      </c>
      <c r="KOT121" s="285" t="s">
        <v>377</v>
      </c>
      <c r="KOU121" s="285" t="s">
        <v>376</v>
      </c>
      <c r="KOV121" s="285" t="s">
        <v>377</v>
      </c>
      <c r="KOW121" s="285" t="s">
        <v>376</v>
      </c>
      <c r="KOX121" s="285" t="s">
        <v>377</v>
      </c>
      <c r="KOY121" s="285" t="s">
        <v>376</v>
      </c>
      <c r="KOZ121" s="285" t="s">
        <v>377</v>
      </c>
      <c r="KPA121" s="285" t="s">
        <v>376</v>
      </c>
      <c r="KPB121" s="285" t="s">
        <v>377</v>
      </c>
      <c r="KPC121" s="285" t="s">
        <v>376</v>
      </c>
      <c r="KPD121" s="285" t="s">
        <v>377</v>
      </c>
      <c r="KPE121" s="285" t="s">
        <v>376</v>
      </c>
      <c r="KPF121" s="285" t="s">
        <v>377</v>
      </c>
      <c r="KPG121" s="285" t="s">
        <v>376</v>
      </c>
      <c r="KPH121" s="285" t="s">
        <v>377</v>
      </c>
      <c r="KPI121" s="285" t="s">
        <v>376</v>
      </c>
      <c r="KPJ121" s="285" t="s">
        <v>377</v>
      </c>
      <c r="KPK121" s="285" t="s">
        <v>376</v>
      </c>
      <c r="KPL121" s="285" t="s">
        <v>377</v>
      </c>
      <c r="KPM121" s="285" t="s">
        <v>376</v>
      </c>
      <c r="KPN121" s="285" t="s">
        <v>377</v>
      </c>
      <c r="KPO121" s="285" t="s">
        <v>376</v>
      </c>
      <c r="KPP121" s="285" t="s">
        <v>377</v>
      </c>
      <c r="KPQ121" s="285" t="s">
        <v>376</v>
      </c>
      <c r="KPR121" s="285" t="s">
        <v>377</v>
      </c>
      <c r="KPS121" s="285" t="s">
        <v>376</v>
      </c>
      <c r="KPT121" s="285" t="s">
        <v>377</v>
      </c>
      <c r="KPU121" s="285" t="s">
        <v>376</v>
      </c>
      <c r="KPV121" s="285" t="s">
        <v>377</v>
      </c>
      <c r="KPW121" s="285" t="s">
        <v>376</v>
      </c>
      <c r="KPX121" s="285" t="s">
        <v>377</v>
      </c>
      <c r="KPY121" s="285" t="s">
        <v>376</v>
      </c>
      <c r="KPZ121" s="285" t="s">
        <v>377</v>
      </c>
      <c r="KQA121" s="285" t="s">
        <v>376</v>
      </c>
      <c r="KQB121" s="285" t="s">
        <v>377</v>
      </c>
      <c r="KQC121" s="285" t="s">
        <v>376</v>
      </c>
      <c r="KQD121" s="285" t="s">
        <v>377</v>
      </c>
      <c r="KQE121" s="285" t="s">
        <v>376</v>
      </c>
      <c r="KQF121" s="285" t="s">
        <v>377</v>
      </c>
      <c r="KQG121" s="285" t="s">
        <v>376</v>
      </c>
      <c r="KQH121" s="285" t="s">
        <v>377</v>
      </c>
      <c r="KQI121" s="285" t="s">
        <v>376</v>
      </c>
      <c r="KQJ121" s="285" t="s">
        <v>377</v>
      </c>
      <c r="KQK121" s="285" t="s">
        <v>376</v>
      </c>
      <c r="KQL121" s="285" t="s">
        <v>377</v>
      </c>
      <c r="KQM121" s="285" t="s">
        <v>376</v>
      </c>
      <c r="KQN121" s="285" t="s">
        <v>377</v>
      </c>
      <c r="KQO121" s="285" t="s">
        <v>376</v>
      </c>
      <c r="KQP121" s="285" t="s">
        <v>377</v>
      </c>
      <c r="KQQ121" s="285" t="s">
        <v>376</v>
      </c>
      <c r="KQR121" s="285" t="s">
        <v>377</v>
      </c>
      <c r="KQS121" s="285" t="s">
        <v>376</v>
      </c>
      <c r="KQT121" s="285" t="s">
        <v>377</v>
      </c>
      <c r="KQU121" s="285" t="s">
        <v>376</v>
      </c>
      <c r="KQV121" s="285" t="s">
        <v>377</v>
      </c>
      <c r="KQW121" s="285" t="s">
        <v>376</v>
      </c>
      <c r="KQX121" s="285" t="s">
        <v>377</v>
      </c>
      <c r="KQY121" s="285" t="s">
        <v>376</v>
      </c>
      <c r="KQZ121" s="285" t="s">
        <v>377</v>
      </c>
      <c r="KRA121" s="285" t="s">
        <v>376</v>
      </c>
      <c r="KRB121" s="285" t="s">
        <v>377</v>
      </c>
      <c r="KRC121" s="285" t="s">
        <v>376</v>
      </c>
      <c r="KRD121" s="285" t="s">
        <v>377</v>
      </c>
      <c r="KRE121" s="285" t="s">
        <v>376</v>
      </c>
      <c r="KRF121" s="285" t="s">
        <v>377</v>
      </c>
      <c r="KRG121" s="285" t="s">
        <v>376</v>
      </c>
      <c r="KRH121" s="285" t="s">
        <v>377</v>
      </c>
      <c r="KRI121" s="285" t="s">
        <v>376</v>
      </c>
      <c r="KRJ121" s="285" t="s">
        <v>377</v>
      </c>
      <c r="KRK121" s="285" t="s">
        <v>376</v>
      </c>
      <c r="KRL121" s="285" t="s">
        <v>377</v>
      </c>
      <c r="KRM121" s="285" t="s">
        <v>376</v>
      </c>
      <c r="KRN121" s="285" t="s">
        <v>377</v>
      </c>
      <c r="KRO121" s="285" t="s">
        <v>376</v>
      </c>
      <c r="KRP121" s="285" t="s">
        <v>377</v>
      </c>
      <c r="KRQ121" s="285" t="s">
        <v>376</v>
      </c>
      <c r="KRR121" s="285" t="s">
        <v>377</v>
      </c>
      <c r="KRS121" s="285" t="s">
        <v>376</v>
      </c>
      <c r="KRT121" s="285" t="s">
        <v>377</v>
      </c>
      <c r="KRU121" s="285" t="s">
        <v>376</v>
      </c>
      <c r="KRV121" s="285" t="s">
        <v>377</v>
      </c>
      <c r="KRW121" s="285" t="s">
        <v>376</v>
      </c>
      <c r="KRX121" s="285" t="s">
        <v>377</v>
      </c>
      <c r="KRY121" s="285" t="s">
        <v>376</v>
      </c>
      <c r="KRZ121" s="285" t="s">
        <v>377</v>
      </c>
      <c r="KSA121" s="285" t="s">
        <v>376</v>
      </c>
      <c r="KSB121" s="285" t="s">
        <v>377</v>
      </c>
      <c r="KSC121" s="285" t="s">
        <v>376</v>
      </c>
      <c r="KSD121" s="285" t="s">
        <v>377</v>
      </c>
      <c r="KSE121" s="285" t="s">
        <v>376</v>
      </c>
      <c r="KSF121" s="285" t="s">
        <v>377</v>
      </c>
      <c r="KSG121" s="285" t="s">
        <v>376</v>
      </c>
      <c r="KSH121" s="285" t="s">
        <v>377</v>
      </c>
      <c r="KSI121" s="285" t="s">
        <v>376</v>
      </c>
      <c r="KSJ121" s="285" t="s">
        <v>377</v>
      </c>
      <c r="KSK121" s="285" t="s">
        <v>376</v>
      </c>
      <c r="KSL121" s="285" t="s">
        <v>377</v>
      </c>
      <c r="KSM121" s="285" t="s">
        <v>376</v>
      </c>
      <c r="KSN121" s="285" t="s">
        <v>377</v>
      </c>
      <c r="KSO121" s="285" t="s">
        <v>376</v>
      </c>
      <c r="KSP121" s="285" t="s">
        <v>377</v>
      </c>
      <c r="KSQ121" s="285" t="s">
        <v>376</v>
      </c>
      <c r="KSR121" s="285" t="s">
        <v>377</v>
      </c>
      <c r="KSS121" s="285" t="s">
        <v>376</v>
      </c>
      <c r="KST121" s="285" t="s">
        <v>377</v>
      </c>
      <c r="KSU121" s="285" t="s">
        <v>376</v>
      </c>
      <c r="KSV121" s="285" t="s">
        <v>377</v>
      </c>
      <c r="KSW121" s="285" t="s">
        <v>376</v>
      </c>
      <c r="KSX121" s="285" t="s">
        <v>377</v>
      </c>
      <c r="KSY121" s="285" t="s">
        <v>376</v>
      </c>
      <c r="KSZ121" s="285" t="s">
        <v>377</v>
      </c>
      <c r="KTA121" s="285" t="s">
        <v>376</v>
      </c>
      <c r="KTB121" s="285" t="s">
        <v>377</v>
      </c>
      <c r="KTC121" s="285" t="s">
        <v>376</v>
      </c>
      <c r="KTD121" s="285" t="s">
        <v>377</v>
      </c>
      <c r="KTE121" s="285" t="s">
        <v>376</v>
      </c>
      <c r="KTF121" s="285" t="s">
        <v>377</v>
      </c>
      <c r="KTG121" s="285" t="s">
        <v>376</v>
      </c>
      <c r="KTH121" s="285" t="s">
        <v>377</v>
      </c>
      <c r="KTI121" s="285" t="s">
        <v>376</v>
      </c>
      <c r="KTJ121" s="285" t="s">
        <v>377</v>
      </c>
      <c r="KTK121" s="285" t="s">
        <v>376</v>
      </c>
      <c r="KTL121" s="285" t="s">
        <v>377</v>
      </c>
      <c r="KTM121" s="285" t="s">
        <v>376</v>
      </c>
      <c r="KTN121" s="285" t="s">
        <v>377</v>
      </c>
      <c r="KTO121" s="285" t="s">
        <v>376</v>
      </c>
      <c r="KTP121" s="285" t="s">
        <v>377</v>
      </c>
      <c r="KTQ121" s="285" t="s">
        <v>376</v>
      </c>
      <c r="KTR121" s="285" t="s">
        <v>377</v>
      </c>
      <c r="KTS121" s="285" t="s">
        <v>376</v>
      </c>
      <c r="KTT121" s="285" t="s">
        <v>377</v>
      </c>
      <c r="KTU121" s="285" t="s">
        <v>376</v>
      </c>
      <c r="KTV121" s="285" t="s">
        <v>377</v>
      </c>
      <c r="KTW121" s="285" t="s">
        <v>376</v>
      </c>
      <c r="KTX121" s="285" t="s">
        <v>377</v>
      </c>
      <c r="KTY121" s="285" t="s">
        <v>376</v>
      </c>
      <c r="KTZ121" s="285" t="s">
        <v>377</v>
      </c>
      <c r="KUA121" s="285" t="s">
        <v>376</v>
      </c>
      <c r="KUB121" s="285" t="s">
        <v>377</v>
      </c>
      <c r="KUC121" s="285" t="s">
        <v>376</v>
      </c>
      <c r="KUD121" s="285" t="s">
        <v>377</v>
      </c>
      <c r="KUE121" s="285" t="s">
        <v>376</v>
      </c>
      <c r="KUF121" s="285" t="s">
        <v>377</v>
      </c>
      <c r="KUG121" s="285" t="s">
        <v>376</v>
      </c>
      <c r="KUH121" s="285" t="s">
        <v>377</v>
      </c>
      <c r="KUI121" s="285" t="s">
        <v>376</v>
      </c>
      <c r="KUJ121" s="285" t="s">
        <v>377</v>
      </c>
      <c r="KUK121" s="285" t="s">
        <v>376</v>
      </c>
      <c r="KUL121" s="285" t="s">
        <v>377</v>
      </c>
      <c r="KUM121" s="285" t="s">
        <v>376</v>
      </c>
      <c r="KUN121" s="285" t="s">
        <v>377</v>
      </c>
      <c r="KUO121" s="285" t="s">
        <v>376</v>
      </c>
      <c r="KUP121" s="285" t="s">
        <v>377</v>
      </c>
      <c r="KUQ121" s="285" t="s">
        <v>376</v>
      </c>
      <c r="KUR121" s="285" t="s">
        <v>377</v>
      </c>
      <c r="KUS121" s="285" t="s">
        <v>376</v>
      </c>
      <c r="KUT121" s="285" t="s">
        <v>377</v>
      </c>
      <c r="KUU121" s="285" t="s">
        <v>376</v>
      </c>
      <c r="KUV121" s="285" t="s">
        <v>377</v>
      </c>
      <c r="KUW121" s="285" t="s">
        <v>376</v>
      </c>
      <c r="KUX121" s="285" t="s">
        <v>377</v>
      </c>
      <c r="KUY121" s="285" t="s">
        <v>376</v>
      </c>
      <c r="KUZ121" s="285" t="s">
        <v>377</v>
      </c>
      <c r="KVA121" s="285" t="s">
        <v>376</v>
      </c>
      <c r="KVB121" s="285" t="s">
        <v>377</v>
      </c>
      <c r="KVC121" s="285" t="s">
        <v>376</v>
      </c>
      <c r="KVD121" s="285" t="s">
        <v>377</v>
      </c>
      <c r="KVE121" s="285" t="s">
        <v>376</v>
      </c>
      <c r="KVF121" s="285" t="s">
        <v>377</v>
      </c>
      <c r="KVG121" s="285" t="s">
        <v>376</v>
      </c>
      <c r="KVH121" s="285" t="s">
        <v>377</v>
      </c>
      <c r="KVI121" s="285" t="s">
        <v>376</v>
      </c>
      <c r="KVJ121" s="285" t="s">
        <v>377</v>
      </c>
      <c r="KVK121" s="285" t="s">
        <v>376</v>
      </c>
      <c r="KVL121" s="285" t="s">
        <v>377</v>
      </c>
      <c r="KVM121" s="285" t="s">
        <v>376</v>
      </c>
      <c r="KVN121" s="285" t="s">
        <v>377</v>
      </c>
      <c r="KVO121" s="285" t="s">
        <v>376</v>
      </c>
      <c r="KVP121" s="285" t="s">
        <v>377</v>
      </c>
      <c r="KVQ121" s="285" t="s">
        <v>376</v>
      </c>
      <c r="KVR121" s="285" t="s">
        <v>377</v>
      </c>
      <c r="KVS121" s="285" t="s">
        <v>376</v>
      </c>
      <c r="KVT121" s="285" t="s">
        <v>377</v>
      </c>
      <c r="KVU121" s="285" t="s">
        <v>376</v>
      </c>
      <c r="KVV121" s="285" t="s">
        <v>377</v>
      </c>
      <c r="KVW121" s="285" t="s">
        <v>376</v>
      </c>
      <c r="KVX121" s="285" t="s">
        <v>377</v>
      </c>
      <c r="KVY121" s="285" t="s">
        <v>376</v>
      </c>
      <c r="KVZ121" s="285" t="s">
        <v>377</v>
      </c>
      <c r="KWA121" s="285" t="s">
        <v>376</v>
      </c>
      <c r="KWB121" s="285" t="s">
        <v>377</v>
      </c>
      <c r="KWC121" s="285" t="s">
        <v>376</v>
      </c>
      <c r="KWD121" s="285" t="s">
        <v>377</v>
      </c>
      <c r="KWE121" s="285" t="s">
        <v>376</v>
      </c>
      <c r="KWF121" s="285" t="s">
        <v>377</v>
      </c>
      <c r="KWG121" s="285" t="s">
        <v>376</v>
      </c>
      <c r="KWH121" s="285" t="s">
        <v>377</v>
      </c>
      <c r="KWI121" s="285" t="s">
        <v>376</v>
      </c>
      <c r="KWJ121" s="285" t="s">
        <v>377</v>
      </c>
      <c r="KWK121" s="285" t="s">
        <v>376</v>
      </c>
      <c r="KWL121" s="285" t="s">
        <v>377</v>
      </c>
      <c r="KWM121" s="285" t="s">
        <v>376</v>
      </c>
      <c r="KWN121" s="285" t="s">
        <v>377</v>
      </c>
      <c r="KWO121" s="285" t="s">
        <v>376</v>
      </c>
      <c r="KWP121" s="285" t="s">
        <v>377</v>
      </c>
      <c r="KWQ121" s="285" t="s">
        <v>376</v>
      </c>
      <c r="KWR121" s="285" t="s">
        <v>377</v>
      </c>
      <c r="KWS121" s="285" t="s">
        <v>376</v>
      </c>
      <c r="KWT121" s="285" t="s">
        <v>377</v>
      </c>
      <c r="KWU121" s="285" t="s">
        <v>376</v>
      </c>
      <c r="KWV121" s="285" t="s">
        <v>377</v>
      </c>
      <c r="KWW121" s="285" t="s">
        <v>376</v>
      </c>
      <c r="KWX121" s="285" t="s">
        <v>377</v>
      </c>
      <c r="KWY121" s="285" t="s">
        <v>376</v>
      </c>
      <c r="KWZ121" s="285" t="s">
        <v>377</v>
      </c>
      <c r="KXA121" s="285" t="s">
        <v>376</v>
      </c>
      <c r="KXB121" s="285" t="s">
        <v>377</v>
      </c>
      <c r="KXC121" s="285" t="s">
        <v>376</v>
      </c>
      <c r="KXD121" s="285" t="s">
        <v>377</v>
      </c>
      <c r="KXE121" s="285" t="s">
        <v>376</v>
      </c>
      <c r="KXF121" s="285" t="s">
        <v>377</v>
      </c>
      <c r="KXG121" s="285" t="s">
        <v>376</v>
      </c>
      <c r="KXH121" s="285" t="s">
        <v>377</v>
      </c>
      <c r="KXI121" s="285" t="s">
        <v>376</v>
      </c>
      <c r="KXJ121" s="285" t="s">
        <v>377</v>
      </c>
      <c r="KXK121" s="285" t="s">
        <v>376</v>
      </c>
      <c r="KXL121" s="285" t="s">
        <v>377</v>
      </c>
      <c r="KXM121" s="285" t="s">
        <v>376</v>
      </c>
      <c r="KXN121" s="285" t="s">
        <v>377</v>
      </c>
      <c r="KXO121" s="285" t="s">
        <v>376</v>
      </c>
      <c r="KXP121" s="285" t="s">
        <v>377</v>
      </c>
      <c r="KXQ121" s="285" t="s">
        <v>376</v>
      </c>
      <c r="KXR121" s="285" t="s">
        <v>377</v>
      </c>
      <c r="KXS121" s="285" t="s">
        <v>376</v>
      </c>
      <c r="KXT121" s="285" t="s">
        <v>377</v>
      </c>
      <c r="KXU121" s="285" t="s">
        <v>376</v>
      </c>
      <c r="KXV121" s="285" t="s">
        <v>377</v>
      </c>
      <c r="KXW121" s="285" t="s">
        <v>376</v>
      </c>
      <c r="KXX121" s="285" t="s">
        <v>377</v>
      </c>
      <c r="KXY121" s="285" t="s">
        <v>376</v>
      </c>
      <c r="KXZ121" s="285" t="s">
        <v>377</v>
      </c>
      <c r="KYA121" s="285" t="s">
        <v>376</v>
      </c>
      <c r="KYB121" s="285" t="s">
        <v>377</v>
      </c>
      <c r="KYC121" s="285" t="s">
        <v>376</v>
      </c>
      <c r="KYD121" s="285" t="s">
        <v>377</v>
      </c>
      <c r="KYE121" s="285" t="s">
        <v>376</v>
      </c>
      <c r="KYF121" s="285" t="s">
        <v>377</v>
      </c>
      <c r="KYG121" s="285" t="s">
        <v>376</v>
      </c>
      <c r="KYH121" s="285" t="s">
        <v>377</v>
      </c>
      <c r="KYI121" s="285" t="s">
        <v>376</v>
      </c>
      <c r="KYJ121" s="285" t="s">
        <v>377</v>
      </c>
      <c r="KYK121" s="285" t="s">
        <v>376</v>
      </c>
      <c r="KYL121" s="285" t="s">
        <v>377</v>
      </c>
      <c r="KYM121" s="285" t="s">
        <v>376</v>
      </c>
      <c r="KYN121" s="285" t="s">
        <v>377</v>
      </c>
      <c r="KYO121" s="285" t="s">
        <v>376</v>
      </c>
      <c r="KYP121" s="285" t="s">
        <v>377</v>
      </c>
      <c r="KYQ121" s="285" t="s">
        <v>376</v>
      </c>
      <c r="KYR121" s="285" t="s">
        <v>377</v>
      </c>
      <c r="KYS121" s="285" t="s">
        <v>376</v>
      </c>
      <c r="KYT121" s="285" t="s">
        <v>377</v>
      </c>
      <c r="KYU121" s="285" t="s">
        <v>376</v>
      </c>
      <c r="KYV121" s="285" t="s">
        <v>377</v>
      </c>
      <c r="KYW121" s="285" t="s">
        <v>376</v>
      </c>
      <c r="KYX121" s="285" t="s">
        <v>377</v>
      </c>
      <c r="KYY121" s="285" t="s">
        <v>376</v>
      </c>
      <c r="KYZ121" s="285" t="s">
        <v>377</v>
      </c>
      <c r="KZA121" s="285" t="s">
        <v>376</v>
      </c>
      <c r="KZB121" s="285" t="s">
        <v>377</v>
      </c>
      <c r="KZC121" s="285" t="s">
        <v>376</v>
      </c>
      <c r="KZD121" s="285" t="s">
        <v>377</v>
      </c>
      <c r="KZE121" s="285" t="s">
        <v>376</v>
      </c>
      <c r="KZF121" s="285" t="s">
        <v>377</v>
      </c>
      <c r="KZG121" s="285" t="s">
        <v>376</v>
      </c>
      <c r="KZH121" s="285" t="s">
        <v>377</v>
      </c>
      <c r="KZI121" s="285" t="s">
        <v>376</v>
      </c>
      <c r="KZJ121" s="285" t="s">
        <v>377</v>
      </c>
      <c r="KZK121" s="285" t="s">
        <v>376</v>
      </c>
      <c r="KZL121" s="285" t="s">
        <v>377</v>
      </c>
      <c r="KZM121" s="285" t="s">
        <v>376</v>
      </c>
      <c r="KZN121" s="285" t="s">
        <v>377</v>
      </c>
      <c r="KZO121" s="285" t="s">
        <v>376</v>
      </c>
      <c r="KZP121" s="285" t="s">
        <v>377</v>
      </c>
      <c r="KZQ121" s="285" t="s">
        <v>376</v>
      </c>
      <c r="KZR121" s="285" t="s">
        <v>377</v>
      </c>
      <c r="KZS121" s="285" t="s">
        <v>376</v>
      </c>
      <c r="KZT121" s="285" t="s">
        <v>377</v>
      </c>
      <c r="KZU121" s="285" t="s">
        <v>376</v>
      </c>
      <c r="KZV121" s="285" t="s">
        <v>377</v>
      </c>
      <c r="KZW121" s="285" t="s">
        <v>376</v>
      </c>
      <c r="KZX121" s="285" t="s">
        <v>377</v>
      </c>
      <c r="KZY121" s="285" t="s">
        <v>376</v>
      </c>
      <c r="KZZ121" s="285" t="s">
        <v>377</v>
      </c>
      <c r="LAA121" s="285" t="s">
        <v>376</v>
      </c>
      <c r="LAB121" s="285" t="s">
        <v>377</v>
      </c>
      <c r="LAC121" s="285" t="s">
        <v>376</v>
      </c>
      <c r="LAD121" s="285" t="s">
        <v>377</v>
      </c>
      <c r="LAE121" s="285" t="s">
        <v>376</v>
      </c>
      <c r="LAF121" s="285" t="s">
        <v>377</v>
      </c>
      <c r="LAG121" s="285" t="s">
        <v>376</v>
      </c>
      <c r="LAH121" s="285" t="s">
        <v>377</v>
      </c>
      <c r="LAI121" s="285" t="s">
        <v>376</v>
      </c>
      <c r="LAJ121" s="285" t="s">
        <v>377</v>
      </c>
      <c r="LAK121" s="285" t="s">
        <v>376</v>
      </c>
      <c r="LAL121" s="285" t="s">
        <v>377</v>
      </c>
      <c r="LAM121" s="285" t="s">
        <v>376</v>
      </c>
      <c r="LAN121" s="285" t="s">
        <v>377</v>
      </c>
      <c r="LAO121" s="285" t="s">
        <v>376</v>
      </c>
      <c r="LAP121" s="285" t="s">
        <v>377</v>
      </c>
      <c r="LAQ121" s="285" t="s">
        <v>376</v>
      </c>
      <c r="LAR121" s="285" t="s">
        <v>377</v>
      </c>
      <c r="LAS121" s="285" t="s">
        <v>376</v>
      </c>
      <c r="LAT121" s="285" t="s">
        <v>377</v>
      </c>
      <c r="LAU121" s="285" t="s">
        <v>376</v>
      </c>
      <c r="LAV121" s="285" t="s">
        <v>377</v>
      </c>
      <c r="LAW121" s="285" t="s">
        <v>376</v>
      </c>
      <c r="LAX121" s="285" t="s">
        <v>377</v>
      </c>
      <c r="LAY121" s="285" t="s">
        <v>376</v>
      </c>
      <c r="LAZ121" s="285" t="s">
        <v>377</v>
      </c>
      <c r="LBA121" s="285" t="s">
        <v>376</v>
      </c>
      <c r="LBB121" s="285" t="s">
        <v>377</v>
      </c>
      <c r="LBC121" s="285" t="s">
        <v>376</v>
      </c>
      <c r="LBD121" s="285" t="s">
        <v>377</v>
      </c>
      <c r="LBE121" s="285" t="s">
        <v>376</v>
      </c>
      <c r="LBF121" s="285" t="s">
        <v>377</v>
      </c>
      <c r="LBG121" s="285" t="s">
        <v>376</v>
      </c>
      <c r="LBH121" s="285" t="s">
        <v>377</v>
      </c>
      <c r="LBI121" s="285" t="s">
        <v>376</v>
      </c>
      <c r="LBJ121" s="285" t="s">
        <v>377</v>
      </c>
      <c r="LBK121" s="285" t="s">
        <v>376</v>
      </c>
      <c r="LBL121" s="285" t="s">
        <v>377</v>
      </c>
      <c r="LBM121" s="285" t="s">
        <v>376</v>
      </c>
      <c r="LBN121" s="285" t="s">
        <v>377</v>
      </c>
      <c r="LBO121" s="285" t="s">
        <v>376</v>
      </c>
      <c r="LBP121" s="285" t="s">
        <v>377</v>
      </c>
      <c r="LBQ121" s="285" t="s">
        <v>376</v>
      </c>
      <c r="LBR121" s="285" t="s">
        <v>377</v>
      </c>
      <c r="LBS121" s="285" t="s">
        <v>376</v>
      </c>
      <c r="LBT121" s="285" t="s">
        <v>377</v>
      </c>
      <c r="LBU121" s="285" t="s">
        <v>376</v>
      </c>
      <c r="LBV121" s="285" t="s">
        <v>377</v>
      </c>
      <c r="LBW121" s="285" t="s">
        <v>376</v>
      </c>
      <c r="LBX121" s="285" t="s">
        <v>377</v>
      </c>
      <c r="LBY121" s="285" t="s">
        <v>376</v>
      </c>
      <c r="LBZ121" s="285" t="s">
        <v>377</v>
      </c>
      <c r="LCA121" s="285" t="s">
        <v>376</v>
      </c>
      <c r="LCB121" s="285" t="s">
        <v>377</v>
      </c>
      <c r="LCC121" s="285" t="s">
        <v>376</v>
      </c>
      <c r="LCD121" s="285" t="s">
        <v>377</v>
      </c>
      <c r="LCE121" s="285" t="s">
        <v>376</v>
      </c>
      <c r="LCF121" s="285" t="s">
        <v>377</v>
      </c>
      <c r="LCG121" s="285" t="s">
        <v>376</v>
      </c>
      <c r="LCH121" s="285" t="s">
        <v>377</v>
      </c>
      <c r="LCI121" s="285" t="s">
        <v>376</v>
      </c>
      <c r="LCJ121" s="285" t="s">
        <v>377</v>
      </c>
      <c r="LCK121" s="285" t="s">
        <v>376</v>
      </c>
      <c r="LCL121" s="285" t="s">
        <v>377</v>
      </c>
      <c r="LCM121" s="285" t="s">
        <v>376</v>
      </c>
      <c r="LCN121" s="285" t="s">
        <v>377</v>
      </c>
      <c r="LCO121" s="285" t="s">
        <v>376</v>
      </c>
      <c r="LCP121" s="285" t="s">
        <v>377</v>
      </c>
      <c r="LCQ121" s="285" t="s">
        <v>376</v>
      </c>
      <c r="LCR121" s="285" t="s">
        <v>377</v>
      </c>
      <c r="LCS121" s="285" t="s">
        <v>376</v>
      </c>
      <c r="LCT121" s="285" t="s">
        <v>377</v>
      </c>
      <c r="LCU121" s="285" t="s">
        <v>376</v>
      </c>
      <c r="LCV121" s="285" t="s">
        <v>377</v>
      </c>
      <c r="LCW121" s="285" t="s">
        <v>376</v>
      </c>
      <c r="LCX121" s="285" t="s">
        <v>377</v>
      </c>
      <c r="LCY121" s="285" t="s">
        <v>376</v>
      </c>
      <c r="LCZ121" s="285" t="s">
        <v>377</v>
      </c>
      <c r="LDA121" s="285" t="s">
        <v>376</v>
      </c>
      <c r="LDB121" s="285" t="s">
        <v>377</v>
      </c>
      <c r="LDC121" s="285" t="s">
        <v>376</v>
      </c>
      <c r="LDD121" s="285" t="s">
        <v>377</v>
      </c>
      <c r="LDE121" s="285" t="s">
        <v>376</v>
      </c>
      <c r="LDF121" s="285" t="s">
        <v>377</v>
      </c>
      <c r="LDG121" s="285" t="s">
        <v>376</v>
      </c>
      <c r="LDH121" s="285" t="s">
        <v>377</v>
      </c>
      <c r="LDI121" s="285" t="s">
        <v>376</v>
      </c>
      <c r="LDJ121" s="285" t="s">
        <v>377</v>
      </c>
      <c r="LDK121" s="285" t="s">
        <v>376</v>
      </c>
      <c r="LDL121" s="285" t="s">
        <v>377</v>
      </c>
      <c r="LDM121" s="285" t="s">
        <v>376</v>
      </c>
      <c r="LDN121" s="285" t="s">
        <v>377</v>
      </c>
      <c r="LDO121" s="285" t="s">
        <v>376</v>
      </c>
      <c r="LDP121" s="285" t="s">
        <v>377</v>
      </c>
      <c r="LDQ121" s="285" t="s">
        <v>376</v>
      </c>
      <c r="LDR121" s="285" t="s">
        <v>377</v>
      </c>
      <c r="LDS121" s="285" t="s">
        <v>376</v>
      </c>
      <c r="LDT121" s="285" t="s">
        <v>377</v>
      </c>
      <c r="LDU121" s="285" t="s">
        <v>376</v>
      </c>
      <c r="LDV121" s="285" t="s">
        <v>377</v>
      </c>
      <c r="LDW121" s="285" t="s">
        <v>376</v>
      </c>
      <c r="LDX121" s="285" t="s">
        <v>377</v>
      </c>
      <c r="LDY121" s="285" t="s">
        <v>376</v>
      </c>
      <c r="LDZ121" s="285" t="s">
        <v>377</v>
      </c>
      <c r="LEA121" s="285" t="s">
        <v>376</v>
      </c>
      <c r="LEB121" s="285" t="s">
        <v>377</v>
      </c>
      <c r="LEC121" s="285" t="s">
        <v>376</v>
      </c>
      <c r="LED121" s="285" t="s">
        <v>377</v>
      </c>
      <c r="LEE121" s="285" t="s">
        <v>376</v>
      </c>
      <c r="LEF121" s="285" t="s">
        <v>377</v>
      </c>
      <c r="LEG121" s="285" t="s">
        <v>376</v>
      </c>
      <c r="LEH121" s="285" t="s">
        <v>377</v>
      </c>
      <c r="LEI121" s="285" t="s">
        <v>376</v>
      </c>
      <c r="LEJ121" s="285" t="s">
        <v>377</v>
      </c>
      <c r="LEK121" s="285" t="s">
        <v>376</v>
      </c>
      <c r="LEL121" s="285" t="s">
        <v>377</v>
      </c>
      <c r="LEM121" s="285" t="s">
        <v>376</v>
      </c>
      <c r="LEN121" s="285" t="s">
        <v>377</v>
      </c>
      <c r="LEO121" s="285" t="s">
        <v>376</v>
      </c>
      <c r="LEP121" s="285" t="s">
        <v>377</v>
      </c>
      <c r="LEQ121" s="285" t="s">
        <v>376</v>
      </c>
      <c r="LER121" s="285" t="s">
        <v>377</v>
      </c>
      <c r="LES121" s="285" t="s">
        <v>376</v>
      </c>
      <c r="LET121" s="285" t="s">
        <v>377</v>
      </c>
      <c r="LEU121" s="285" t="s">
        <v>376</v>
      </c>
      <c r="LEV121" s="285" t="s">
        <v>377</v>
      </c>
      <c r="LEW121" s="285" t="s">
        <v>376</v>
      </c>
      <c r="LEX121" s="285" t="s">
        <v>377</v>
      </c>
      <c r="LEY121" s="285" t="s">
        <v>376</v>
      </c>
      <c r="LEZ121" s="285" t="s">
        <v>377</v>
      </c>
      <c r="LFA121" s="285" t="s">
        <v>376</v>
      </c>
      <c r="LFB121" s="285" t="s">
        <v>377</v>
      </c>
      <c r="LFC121" s="285" t="s">
        <v>376</v>
      </c>
      <c r="LFD121" s="285" t="s">
        <v>377</v>
      </c>
      <c r="LFE121" s="285" t="s">
        <v>376</v>
      </c>
      <c r="LFF121" s="285" t="s">
        <v>377</v>
      </c>
      <c r="LFG121" s="285" t="s">
        <v>376</v>
      </c>
      <c r="LFH121" s="285" t="s">
        <v>377</v>
      </c>
      <c r="LFI121" s="285" t="s">
        <v>376</v>
      </c>
      <c r="LFJ121" s="285" t="s">
        <v>377</v>
      </c>
      <c r="LFK121" s="285" t="s">
        <v>376</v>
      </c>
      <c r="LFL121" s="285" t="s">
        <v>377</v>
      </c>
      <c r="LFM121" s="285" t="s">
        <v>376</v>
      </c>
      <c r="LFN121" s="285" t="s">
        <v>377</v>
      </c>
      <c r="LFO121" s="285" t="s">
        <v>376</v>
      </c>
      <c r="LFP121" s="285" t="s">
        <v>377</v>
      </c>
      <c r="LFQ121" s="285" t="s">
        <v>376</v>
      </c>
      <c r="LFR121" s="285" t="s">
        <v>377</v>
      </c>
      <c r="LFS121" s="285" t="s">
        <v>376</v>
      </c>
      <c r="LFT121" s="285" t="s">
        <v>377</v>
      </c>
      <c r="LFU121" s="285" t="s">
        <v>376</v>
      </c>
      <c r="LFV121" s="285" t="s">
        <v>377</v>
      </c>
      <c r="LFW121" s="285" t="s">
        <v>376</v>
      </c>
      <c r="LFX121" s="285" t="s">
        <v>377</v>
      </c>
      <c r="LFY121" s="285" t="s">
        <v>376</v>
      </c>
      <c r="LFZ121" s="285" t="s">
        <v>377</v>
      </c>
      <c r="LGA121" s="285" t="s">
        <v>376</v>
      </c>
      <c r="LGB121" s="285" t="s">
        <v>377</v>
      </c>
      <c r="LGC121" s="285" t="s">
        <v>376</v>
      </c>
      <c r="LGD121" s="285" t="s">
        <v>377</v>
      </c>
      <c r="LGE121" s="285" t="s">
        <v>376</v>
      </c>
      <c r="LGF121" s="285" t="s">
        <v>377</v>
      </c>
      <c r="LGG121" s="285" t="s">
        <v>376</v>
      </c>
      <c r="LGH121" s="285" t="s">
        <v>377</v>
      </c>
      <c r="LGI121" s="285" t="s">
        <v>376</v>
      </c>
      <c r="LGJ121" s="285" t="s">
        <v>377</v>
      </c>
      <c r="LGK121" s="285" t="s">
        <v>376</v>
      </c>
      <c r="LGL121" s="285" t="s">
        <v>377</v>
      </c>
      <c r="LGM121" s="285" t="s">
        <v>376</v>
      </c>
      <c r="LGN121" s="285" t="s">
        <v>377</v>
      </c>
      <c r="LGO121" s="285" t="s">
        <v>376</v>
      </c>
      <c r="LGP121" s="285" t="s">
        <v>377</v>
      </c>
      <c r="LGQ121" s="285" t="s">
        <v>376</v>
      </c>
      <c r="LGR121" s="285" t="s">
        <v>377</v>
      </c>
      <c r="LGS121" s="285" t="s">
        <v>376</v>
      </c>
      <c r="LGT121" s="285" t="s">
        <v>377</v>
      </c>
      <c r="LGU121" s="285" t="s">
        <v>376</v>
      </c>
      <c r="LGV121" s="285" t="s">
        <v>377</v>
      </c>
      <c r="LGW121" s="285" t="s">
        <v>376</v>
      </c>
      <c r="LGX121" s="285" t="s">
        <v>377</v>
      </c>
      <c r="LGY121" s="285" t="s">
        <v>376</v>
      </c>
      <c r="LGZ121" s="285" t="s">
        <v>377</v>
      </c>
      <c r="LHA121" s="285" t="s">
        <v>376</v>
      </c>
      <c r="LHB121" s="285" t="s">
        <v>377</v>
      </c>
      <c r="LHC121" s="285" t="s">
        <v>376</v>
      </c>
      <c r="LHD121" s="285" t="s">
        <v>377</v>
      </c>
      <c r="LHE121" s="285" t="s">
        <v>376</v>
      </c>
      <c r="LHF121" s="285" t="s">
        <v>377</v>
      </c>
      <c r="LHG121" s="285" t="s">
        <v>376</v>
      </c>
      <c r="LHH121" s="285" t="s">
        <v>377</v>
      </c>
      <c r="LHI121" s="285" t="s">
        <v>376</v>
      </c>
      <c r="LHJ121" s="285" t="s">
        <v>377</v>
      </c>
      <c r="LHK121" s="285" t="s">
        <v>376</v>
      </c>
      <c r="LHL121" s="285" t="s">
        <v>377</v>
      </c>
      <c r="LHM121" s="285" t="s">
        <v>376</v>
      </c>
      <c r="LHN121" s="285" t="s">
        <v>377</v>
      </c>
      <c r="LHO121" s="285" t="s">
        <v>376</v>
      </c>
      <c r="LHP121" s="285" t="s">
        <v>377</v>
      </c>
      <c r="LHQ121" s="285" t="s">
        <v>376</v>
      </c>
      <c r="LHR121" s="285" t="s">
        <v>377</v>
      </c>
      <c r="LHS121" s="285" t="s">
        <v>376</v>
      </c>
      <c r="LHT121" s="285" t="s">
        <v>377</v>
      </c>
      <c r="LHU121" s="285" t="s">
        <v>376</v>
      </c>
      <c r="LHV121" s="285" t="s">
        <v>377</v>
      </c>
      <c r="LHW121" s="285" t="s">
        <v>376</v>
      </c>
      <c r="LHX121" s="285" t="s">
        <v>377</v>
      </c>
      <c r="LHY121" s="285" t="s">
        <v>376</v>
      </c>
      <c r="LHZ121" s="285" t="s">
        <v>377</v>
      </c>
      <c r="LIA121" s="285" t="s">
        <v>376</v>
      </c>
      <c r="LIB121" s="285" t="s">
        <v>377</v>
      </c>
      <c r="LIC121" s="285" t="s">
        <v>376</v>
      </c>
      <c r="LID121" s="285" t="s">
        <v>377</v>
      </c>
      <c r="LIE121" s="285" t="s">
        <v>376</v>
      </c>
      <c r="LIF121" s="285" t="s">
        <v>377</v>
      </c>
      <c r="LIG121" s="285" t="s">
        <v>376</v>
      </c>
      <c r="LIH121" s="285" t="s">
        <v>377</v>
      </c>
      <c r="LII121" s="285" t="s">
        <v>376</v>
      </c>
      <c r="LIJ121" s="285" t="s">
        <v>377</v>
      </c>
      <c r="LIK121" s="285" t="s">
        <v>376</v>
      </c>
      <c r="LIL121" s="285" t="s">
        <v>377</v>
      </c>
      <c r="LIM121" s="285" t="s">
        <v>376</v>
      </c>
      <c r="LIN121" s="285" t="s">
        <v>377</v>
      </c>
      <c r="LIO121" s="285" t="s">
        <v>376</v>
      </c>
      <c r="LIP121" s="285" t="s">
        <v>377</v>
      </c>
      <c r="LIQ121" s="285" t="s">
        <v>376</v>
      </c>
      <c r="LIR121" s="285" t="s">
        <v>377</v>
      </c>
      <c r="LIS121" s="285" t="s">
        <v>376</v>
      </c>
      <c r="LIT121" s="285" t="s">
        <v>377</v>
      </c>
      <c r="LIU121" s="285" t="s">
        <v>376</v>
      </c>
      <c r="LIV121" s="285" t="s">
        <v>377</v>
      </c>
      <c r="LIW121" s="285" t="s">
        <v>376</v>
      </c>
      <c r="LIX121" s="285" t="s">
        <v>377</v>
      </c>
      <c r="LIY121" s="285" t="s">
        <v>376</v>
      </c>
      <c r="LIZ121" s="285" t="s">
        <v>377</v>
      </c>
      <c r="LJA121" s="285" t="s">
        <v>376</v>
      </c>
      <c r="LJB121" s="285" t="s">
        <v>377</v>
      </c>
      <c r="LJC121" s="285" t="s">
        <v>376</v>
      </c>
      <c r="LJD121" s="285" t="s">
        <v>377</v>
      </c>
      <c r="LJE121" s="285" t="s">
        <v>376</v>
      </c>
      <c r="LJF121" s="285" t="s">
        <v>377</v>
      </c>
      <c r="LJG121" s="285" t="s">
        <v>376</v>
      </c>
      <c r="LJH121" s="285" t="s">
        <v>377</v>
      </c>
      <c r="LJI121" s="285" t="s">
        <v>376</v>
      </c>
      <c r="LJJ121" s="285" t="s">
        <v>377</v>
      </c>
      <c r="LJK121" s="285" t="s">
        <v>376</v>
      </c>
      <c r="LJL121" s="285" t="s">
        <v>377</v>
      </c>
      <c r="LJM121" s="285" t="s">
        <v>376</v>
      </c>
      <c r="LJN121" s="285" t="s">
        <v>377</v>
      </c>
      <c r="LJO121" s="285" t="s">
        <v>376</v>
      </c>
      <c r="LJP121" s="285" t="s">
        <v>377</v>
      </c>
      <c r="LJQ121" s="285" t="s">
        <v>376</v>
      </c>
      <c r="LJR121" s="285" t="s">
        <v>377</v>
      </c>
      <c r="LJS121" s="285" t="s">
        <v>376</v>
      </c>
      <c r="LJT121" s="285" t="s">
        <v>377</v>
      </c>
      <c r="LJU121" s="285" t="s">
        <v>376</v>
      </c>
      <c r="LJV121" s="285" t="s">
        <v>377</v>
      </c>
      <c r="LJW121" s="285" t="s">
        <v>376</v>
      </c>
      <c r="LJX121" s="285" t="s">
        <v>377</v>
      </c>
      <c r="LJY121" s="285" t="s">
        <v>376</v>
      </c>
      <c r="LJZ121" s="285" t="s">
        <v>377</v>
      </c>
      <c r="LKA121" s="285" t="s">
        <v>376</v>
      </c>
      <c r="LKB121" s="285" t="s">
        <v>377</v>
      </c>
      <c r="LKC121" s="285" t="s">
        <v>376</v>
      </c>
      <c r="LKD121" s="285" t="s">
        <v>377</v>
      </c>
      <c r="LKE121" s="285" t="s">
        <v>376</v>
      </c>
      <c r="LKF121" s="285" t="s">
        <v>377</v>
      </c>
      <c r="LKG121" s="285" t="s">
        <v>376</v>
      </c>
      <c r="LKH121" s="285" t="s">
        <v>377</v>
      </c>
      <c r="LKI121" s="285" t="s">
        <v>376</v>
      </c>
      <c r="LKJ121" s="285" t="s">
        <v>377</v>
      </c>
      <c r="LKK121" s="285" t="s">
        <v>376</v>
      </c>
      <c r="LKL121" s="285" t="s">
        <v>377</v>
      </c>
      <c r="LKM121" s="285" t="s">
        <v>376</v>
      </c>
      <c r="LKN121" s="285" t="s">
        <v>377</v>
      </c>
      <c r="LKO121" s="285" t="s">
        <v>376</v>
      </c>
      <c r="LKP121" s="285" t="s">
        <v>377</v>
      </c>
      <c r="LKQ121" s="285" t="s">
        <v>376</v>
      </c>
      <c r="LKR121" s="285" t="s">
        <v>377</v>
      </c>
      <c r="LKS121" s="285" t="s">
        <v>376</v>
      </c>
      <c r="LKT121" s="285" t="s">
        <v>377</v>
      </c>
      <c r="LKU121" s="285" t="s">
        <v>376</v>
      </c>
      <c r="LKV121" s="285" t="s">
        <v>377</v>
      </c>
      <c r="LKW121" s="285" t="s">
        <v>376</v>
      </c>
      <c r="LKX121" s="285" t="s">
        <v>377</v>
      </c>
      <c r="LKY121" s="285" t="s">
        <v>376</v>
      </c>
      <c r="LKZ121" s="285" t="s">
        <v>377</v>
      </c>
      <c r="LLA121" s="285" t="s">
        <v>376</v>
      </c>
      <c r="LLB121" s="285" t="s">
        <v>377</v>
      </c>
      <c r="LLC121" s="285" t="s">
        <v>376</v>
      </c>
      <c r="LLD121" s="285" t="s">
        <v>377</v>
      </c>
      <c r="LLE121" s="285" t="s">
        <v>376</v>
      </c>
      <c r="LLF121" s="285" t="s">
        <v>377</v>
      </c>
      <c r="LLG121" s="285" t="s">
        <v>376</v>
      </c>
      <c r="LLH121" s="285" t="s">
        <v>377</v>
      </c>
      <c r="LLI121" s="285" t="s">
        <v>376</v>
      </c>
      <c r="LLJ121" s="285" t="s">
        <v>377</v>
      </c>
      <c r="LLK121" s="285" t="s">
        <v>376</v>
      </c>
      <c r="LLL121" s="285" t="s">
        <v>377</v>
      </c>
      <c r="LLM121" s="285" t="s">
        <v>376</v>
      </c>
      <c r="LLN121" s="285" t="s">
        <v>377</v>
      </c>
      <c r="LLO121" s="285" t="s">
        <v>376</v>
      </c>
      <c r="LLP121" s="285" t="s">
        <v>377</v>
      </c>
      <c r="LLQ121" s="285" t="s">
        <v>376</v>
      </c>
      <c r="LLR121" s="285" t="s">
        <v>377</v>
      </c>
      <c r="LLS121" s="285" t="s">
        <v>376</v>
      </c>
      <c r="LLT121" s="285" t="s">
        <v>377</v>
      </c>
      <c r="LLU121" s="285" t="s">
        <v>376</v>
      </c>
      <c r="LLV121" s="285" t="s">
        <v>377</v>
      </c>
      <c r="LLW121" s="285" t="s">
        <v>376</v>
      </c>
      <c r="LLX121" s="285" t="s">
        <v>377</v>
      </c>
      <c r="LLY121" s="285" t="s">
        <v>376</v>
      </c>
      <c r="LLZ121" s="285" t="s">
        <v>377</v>
      </c>
      <c r="LMA121" s="285" t="s">
        <v>376</v>
      </c>
      <c r="LMB121" s="285" t="s">
        <v>377</v>
      </c>
      <c r="LMC121" s="285" t="s">
        <v>376</v>
      </c>
      <c r="LMD121" s="285" t="s">
        <v>377</v>
      </c>
      <c r="LME121" s="285" t="s">
        <v>376</v>
      </c>
      <c r="LMF121" s="285" t="s">
        <v>377</v>
      </c>
      <c r="LMG121" s="285" t="s">
        <v>376</v>
      </c>
      <c r="LMH121" s="285" t="s">
        <v>377</v>
      </c>
      <c r="LMI121" s="285" t="s">
        <v>376</v>
      </c>
      <c r="LMJ121" s="285" t="s">
        <v>377</v>
      </c>
      <c r="LMK121" s="285" t="s">
        <v>376</v>
      </c>
      <c r="LML121" s="285" t="s">
        <v>377</v>
      </c>
      <c r="LMM121" s="285" t="s">
        <v>376</v>
      </c>
      <c r="LMN121" s="285" t="s">
        <v>377</v>
      </c>
      <c r="LMO121" s="285" t="s">
        <v>376</v>
      </c>
      <c r="LMP121" s="285" t="s">
        <v>377</v>
      </c>
      <c r="LMQ121" s="285" t="s">
        <v>376</v>
      </c>
      <c r="LMR121" s="285" t="s">
        <v>377</v>
      </c>
      <c r="LMS121" s="285" t="s">
        <v>376</v>
      </c>
      <c r="LMT121" s="285" t="s">
        <v>377</v>
      </c>
      <c r="LMU121" s="285" t="s">
        <v>376</v>
      </c>
      <c r="LMV121" s="285" t="s">
        <v>377</v>
      </c>
      <c r="LMW121" s="285" t="s">
        <v>376</v>
      </c>
      <c r="LMX121" s="285" t="s">
        <v>377</v>
      </c>
      <c r="LMY121" s="285" t="s">
        <v>376</v>
      </c>
      <c r="LMZ121" s="285" t="s">
        <v>377</v>
      </c>
      <c r="LNA121" s="285" t="s">
        <v>376</v>
      </c>
      <c r="LNB121" s="285" t="s">
        <v>377</v>
      </c>
      <c r="LNC121" s="285" t="s">
        <v>376</v>
      </c>
      <c r="LND121" s="285" t="s">
        <v>377</v>
      </c>
      <c r="LNE121" s="285" t="s">
        <v>376</v>
      </c>
      <c r="LNF121" s="285" t="s">
        <v>377</v>
      </c>
      <c r="LNG121" s="285" t="s">
        <v>376</v>
      </c>
      <c r="LNH121" s="285" t="s">
        <v>377</v>
      </c>
      <c r="LNI121" s="285" t="s">
        <v>376</v>
      </c>
      <c r="LNJ121" s="285" t="s">
        <v>377</v>
      </c>
      <c r="LNK121" s="285" t="s">
        <v>376</v>
      </c>
      <c r="LNL121" s="285" t="s">
        <v>377</v>
      </c>
      <c r="LNM121" s="285" t="s">
        <v>376</v>
      </c>
      <c r="LNN121" s="285" t="s">
        <v>377</v>
      </c>
      <c r="LNO121" s="285" t="s">
        <v>376</v>
      </c>
      <c r="LNP121" s="285" t="s">
        <v>377</v>
      </c>
      <c r="LNQ121" s="285" t="s">
        <v>376</v>
      </c>
      <c r="LNR121" s="285" t="s">
        <v>377</v>
      </c>
      <c r="LNS121" s="285" t="s">
        <v>376</v>
      </c>
      <c r="LNT121" s="285" t="s">
        <v>377</v>
      </c>
      <c r="LNU121" s="285" t="s">
        <v>376</v>
      </c>
      <c r="LNV121" s="285" t="s">
        <v>377</v>
      </c>
      <c r="LNW121" s="285" t="s">
        <v>376</v>
      </c>
      <c r="LNX121" s="285" t="s">
        <v>377</v>
      </c>
      <c r="LNY121" s="285" t="s">
        <v>376</v>
      </c>
      <c r="LNZ121" s="285" t="s">
        <v>377</v>
      </c>
      <c r="LOA121" s="285" t="s">
        <v>376</v>
      </c>
      <c r="LOB121" s="285" t="s">
        <v>377</v>
      </c>
      <c r="LOC121" s="285" t="s">
        <v>376</v>
      </c>
      <c r="LOD121" s="285" t="s">
        <v>377</v>
      </c>
      <c r="LOE121" s="285" t="s">
        <v>376</v>
      </c>
      <c r="LOF121" s="285" t="s">
        <v>377</v>
      </c>
      <c r="LOG121" s="285" t="s">
        <v>376</v>
      </c>
      <c r="LOH121" s="285" t="s">
        <v>377</v>
      </c>
      <c r="LOI121" s="285" t="s">
        <v>376</v>
      </c>
      <c r="LOJ121" s="285" t="s">
        <v>377</v>
      </c>
      <c r="LOK121" s="285" t="s">
        <v>376</v>
      </c>
      <c r="LOL121" s="285" t="s">
        <v>377</v>
      </c>
      <c r="LOM121" s="285" t="s">
        <v>376</v>
      </c>
      <c r="LON121" s="285" t="s">
        <v>377</v>
      </c>
      <c r="LOO121" s="285" t="s">
        <v>376</v>
      </c>
      <c r="LOP121" s="285" t="s">
        <v>377</v>
      </c>
      <c r="LOQ121" s="285" t="s">
        <v>376</v>
      </c>
      <c r="LOR121" s="285" t="s">
        <v>377</v>
      </c>
      <c r="LOS121" s="285" t="s">
        <v>376</v>
      </c>
      <c r="LOT121" s="285" t="s">
        <v>377</v>
      </c>
      <c r="LOU121" s="285" t="s">
        <v>376</v>
      </c>
      <c r="LOV121" s="285" t="s">
        <v>377</v>
      </c>
      <c r="LOW121" s="285" t="s">
        <v>376</v>
      </c>
      <c r="LOX121" s="285" t="s">
        <v>377</v>
      </c>
      <c r="LOY121" s="285" t="s">
        <v>376</v>
      </c>
      <c r="LOZ121" s="285" t="s">
        <v>377</v>
      </c>
      <c r="LPA121" s="285" t="s">
        <v>376</v>
      </c>
      <c r="LPB121" s="285" t="s">
        <v>377</v>
      </c>
      <c r="LPC121" s="285" t="s">
        <v>376</v>
      </c>
      <c r="LPD121" s="285" t="s">
        <v>377</v>
      </c>
      <c r="LPE121" s="285" t="s">
        <v>376</v>
      </c>
      <c r="LPF121" s="285" t="s">
        <v>377</v>
      </c>
      <c r="LPG121" s="285" t="s">
        <v>376</v>
      </c>
      <c r="LPH121" s="285" t="s">
        <v>377</v>
      </c>
      <c r="LPI121" s="285" t="s">
        <v>376</v>
      </c>
      <c r="LPJ121" s="285" t="s">
        <v>377</v>
      </c>
      <c r="LPK121" s="285" t="s">
        <v>376</v>
      </c>
      <c r="LPL121" s="285" t="s">
        <v>377</v>
      </c>
      <c r="LPM121" s="285" t="s">
        <v>376</v>
      </c>
      <c r="LPN121" s="285" t="s">
        <v>377</v>
      </c>
      <c r="LPO121" s="285" t="s">
        <v>376</v>
      </c>
      <c r="LPP121" s="285" t="s">
        <v>377</v>
      </c>
      <c r="LPQ121" s="285" t="s">
        <v>376</v>
      </c>
      <c r="LPR121" s="285" t="s">
        <v>377</v>
      </c>
      <c r="LPS121" s="285" t="s">
        <v>376</v>
      </c>
      <c r="LPT121" s="285" t="s">
        <v>377</v>
      </c>
      <c r="LPU121" s="285" t="s">
        <v>376</v>
      </c>
      <c r="LPV121" s="285" t="s">
        <v>377</v>
      </c>
      <c r="LPW121" s="285" t="s">
        <v>376</v>
      </c>
      <c r="LPX121" s="285" t="s">
        <v>377</v>
      </c>
      <c r="LPY121" s="285" t="s">
        <v>376</v>
      </c>
      <c r="LPZ121" s="285" t="s">
        <v>377</v>
      </c>
      <c r="LQA121" s="285" t="s">
        <v>376</v>
      </c>
      <c r="LQB121" s="285" t="s">
        <v>377</v>
      </c>
      <c r="LQC121" s="285" t="s">
        <v>376</v>
      </c>
      <c r="LQD121" s="285" t="s">
        <v>377</v>
      </c>
      <c r="LQE121" s="285" t="s">
        <v>376</v>
      </c>
      <c r="LQF121" s="285" t="s">
        <v>377</v>
      </c>
      <c r="LQG121" s="285" t="s">
        <v>376</v>
      </c>
      <c r="LQH121" s="285" t="s">
        <v>377</v>
      </c>
      <c r="LQI121" s="285" t="s">
        <v>376</v>
      </c>
      <c r="LQJ121" s="285" t="s">
        <v>377</v>
      </c>
      <c r="LQK121" s="285" t="s">
        <v>376</v>
      </c>
      <c r="LQL121" s="285" t="s">
        <v>377</v>
      </c>
      <c r="LQM121" s="285" t="s">
        <v>376</v>
      </c>
      <c r="LQN121" s="285" t="s">
        <v>377</v>
      </c>
      <c r="LQO121" s="285" t="s">
        <v>376</v>
      </c>
      <c r="LQP121" s="285" t="s">
        <v>377</v>
      </c>
      <c r="LQQ121" s="285" t="s">
        <v>376</v>
      </c>
      <c r="LQR121" s="285" t="s">
        <v>377</v>
      </c>
      <c r="LQS121" s="285" t="s">
        <v>376</v>
      </c>
      <c r="LQT121" s="285" t="s">
        <v>377</v>
      </c>
      <c r="LQU121" s="285" t="s">
        <v>376</v>
      </c>
      <c r="LQV121" s="285" t="s">
        <v>377</v>
      </c>
      <c r="LQW121" s="285" t="s">
        <v>376</v>
      </c>
      <c r="LQX121" s="285" t="s">
        <v>377</v>
      </c>
      <c r="LQY121" s="285" t="s">
        <v>376</v>
      </c>
      <c r="LQZ121" s="285" t="s">
        <v>377</v>
      </c>
      <c r="LRA121" s="285" t="s">
        <v>376</v>
      </c>
      <c r="LRB121" s="285" t="s">
        <v>377</v>
      </c>
      <c r="LRC121" s="285" t="s">
        <v>376</v>
      </c>
      <c r="LRD121" s="285" t="s">
        <v>377</v>
      </c>
      <c r="LRE121" s="285" t="s">
        <v>376</v>
      </c>
      <c r="LRF121" s="285" t="s">
        <v>377</v>
      </c>
      <c r="LRG121" s="285" t="s">
        <v>376</v>
      </c>
      <c r="LRH121" s="285" t="s">
        <v>377</v>
      </c>
      <c r="LRI121" s="285" t="s">
        <v>376</v>
      </c>
      <c r="LRJ121" s="285" t="s">
        <v>377</v>
      </c>
      <c r="LRK121" s="285" t="s">
        <v>376</v>
      </c>
      <c r="LRL121" s="285" t="s">
        <v>377</v>
      </c>
      <c r="LRM121" s="285" t="s">
        <v>376</v>
      </c>
      <c r="LRN121" s="285" t="s">
        <v>377</v>
      </c>
      <c r="LRO121" s="285" t="s">
        <v>376</v>
      </c>
      <c r="LRP121" s="285" t="s">
        <v>377</v>
      </c>
      <c r="LRQ121" s="285" t="s">
        <v>376</v>
      </c>
      <c r="LRR121" s="285" t="s">
        <v>377</v>
      </c>
      <c r="LRS121" s="285" t="s">
        <v>376</v>
      </c>
      <c r="LRT121" s="285" t="s">
        <v>377</v>
      </c>
      <c r="LRU121" s="285" t="s">
        <v>376</v>
      </c>
      <c r="LRV121" s="285" t="s">
        <v>377</v>
      </c>
      <c r="LRW121" s="285" t="s">
        <v>376</v>
      </c>
      <c r="LRX121" s="285" t="s">
        <v>377</v>
      </c>
      <c r="LRY121" s="285" t="s">
        <v>376</v>
      </c>
      <c r="LRZ121" s="285" t="s">
        <v>377</v>
      </c>
      <c r="LSA121" s="285" t="s">
        <v>376</v>
      </c>
      <c r="LSB121" s="285" t="s">
        <v>377</v>
      </c>
      <c r="LSC121" s="285" t="s">
        <v>376</v>
      </c>
      <c r="LSD121" s="285" t="s">
        <v>377</v>
      </c>
      <c r="LSE121" s="285" t="s">
        <v>376</v>
      </c>
      <c r="LSF121" s="285" t="s">
        <v>377</v>
      </c>
      <c r="LSG121" s="285" t="s">
        <v>376</v>
      </c>
      <c r="LSH121" s="285" t="s">
        <v>377</v>
      </c>
      <c r="LSI121" s="285" t="s">
        <v>376</v>
      </c>
      <c r="LSJ121" s="285" t="s">
        <v>377</v>
      </c>
      <c r="LSK121" s="285" t="s">
        <v>376</v>
      </c>
      <c r="LSL121" s="285" t="s">
        <v>377</v>
      </c>
      <c r="LSM121" s="285" t="s">
        <v>376</v>
      </c>
      <c r="LSN121" s="285" t="s">
        <v>377</v>
      </c>
      <c r="LSO121" s="285" t="s">
        <v>376</v>
      </c>
      <c r="LSP121" s="285" t="s">
        <v>377</v>
      </c>
      <c r="LSQ121" s="285" t="s">
        <v>376</v>
      </c>
      <c r="LSR121" s="285" t="s">
        <v>377</v>
      </c>
      <c r="LSS121" s="285" t="s">
        <v>376</v>
      </c>
      <c r="LST121" s="285" t="s">
        <v>377</v>
      </c>
      <c r="LSU121" s="285" t="s">
        <v>376</v>
      </c>
      <c r="LSV121" s="285" t="s">
        <v>377</v>
      </c>
      <c r="LSW121" s="285" t="s">
        <v>376</v>
      </c>
      <c r="LSX121" s="285" t="s">
        <v>377</v>
      </c>
      <c r="LSY121" s="285" t="s">
        <v>376</v>
      </c>
      <c r="LSZ121" s="285" t="s">
        <v>377</v>
      </c>
      <c r="LTA121" s="285" t="s">
        <v>376</v>
      </c>
      <c r="LTB121" s="285" t="s">
        <v>377</v>
      </c>
      <c r="LTC121" s="285" t="s">
        <v>376</v>
      </c>
      <c r="LTD121" s="285" t="s">
        <v>377</v>
      </c>
      <c r="LTE121" s="285" t="s">
        <v>376</v>
      </c>
      <c r="LTF121" s="285" t="s">
        <v>377</v>
      </c>
      <c r="LTG121" s="285" t="s">
        <v>376</v>
      </c>
      <c r="LTH121" s="285" t="s">
        <v>377</v>
      </c>
      <c r="LTI121" s="285" t="s">
        <v>376</v>
      </c>
      <c r="LTJ121" s="285" t="s">
        <v>377</v>
      </c>
      <c r="LTK121" s="285" t="s">
        <v>376</v>
      </c>
      <c r="LTL121" s="285" t="s">
        <v>377</v>
      </c>
      <c r="LTM121" s="285" t="s">
        <v>376</v>
      </c>
      <c r="LTN121" s="285" t="s">
        <v>377</v>
      </c>
      <c r="LTO121" s="285" t="s">
        <v>376</v>
      </c>
      <c r="LTP121" s="285" t="s">
        <v>377</v>
      </c>
      <c r="LTQ121" s="285" t="s">
        <v>376</v>
      </c>
      <c r="LTR121" s="285" t="s">
        <v>377</v>
      </c>
      <c r="LTS121" s="285" t="s">
        <v>376</v>
      </c>
      <c r="LTT121" s="285" t="s">
        <v>377</v>
      </c>
      <c r="LTU121" s="285" t="s">
        <v>376</v>
      </c>
      <c r="LTV121" s="285" t="s">
        <v>377</v>
      </c>
      <c r="LTW121" s="285" t="s">
        <v>376</v>
      </c>
      <c r="LTX121" s="285" t="s">
        <v>377</v>
      </c>
      <c r="LTY121" s="285" t="s">
        <v>376</v>
      </c>
      <c r="LTZ121" s="285" t="s">
        <v>377</v>
      </c>
      <c r="LUA121" s="285" t="s">
        <v>376</v>
      </c>
      <c r="LUB121" s="285" t="s">
        <v>377</v>
      </c>
      <c r="LUC121" s="285" t="s">
        <v>376</v>
      </c>
      <c r="LUD121" s="285" t="s">
        <v>377</v>
      </c>
      <c r="LUE121" s="285" t="s">
        <v>376</v>
      </c>
      <c r="LUF121" s="285" t="s">
        <v>377</v>
      </c>
      <c r="LUG121" s="285" t="s">
        <v>376</v>
      </c>
      <c r="LUH121" s="285" t="s">
        <v>377</v>
      </c>
      <c r="LUI121" s="285" t="s">
        <v>376</v>
      </c>
      <c r="LUJ121" s="285" t="s">
        <v>377</v>
      </c>
      <c r="LUK121" s="285" t="s">
        <v>376</v>
      </c>
      <c r="LUL121" s="285" t="s">
        <v>377</v>
      </c>
      <c r="LUM121" s="285" t="s">
        <v>376</v>
      </c>
      <c r="LUN121" s="285" t="s">
        <v>377</v>
      </c>
      <c r="LUO121" s="285" t="s">
        <v>376</v>
      </c>
      <c r="LUP121" s="285" t="s">
        <v>377</v>
      </c>
      <c r="LUQ121" s="285" t="s">
        <v>376</v>
      </c>
      <c r="LUR121" s="285" t="s">
        <v>377</v>
      </c>
      <c r="LUS121" s="285" t="s">
        <v>376</v>
      </c>
      <c r="LUT121" s="285" t="s">
        <v>377</v>
      </c>
      <c r="LUU121" s="285" t="s">
        <v>376</v>
      </c>
      <c r="LUV121" s="285" t="s">
        <v>377</v>
      </c>
      <c r="LUW121" s="285" t="s">
        <v>376</v>
      </c>
      <c r="LUX121" s="285" t="s">
        <v>377</v>
      </c>
      <c r="LUY121" s="285" t="s">
        <v>376</v>
      </c>
      <c r="LUZ121" s="285" t="s">
        <v>377</v>
      </c>
      <c r="LVA121" s="285" t="s">
        <v>376</v>
      </c>
      <c r="LVB121" s="285" t="s">
        <v>377</v>
      </c>
      <c r="LVC121" s="285" t="s">
        <v>376</v>
      </c>
      <c r="LVD121" s="285" t="s">
        <v>377</v>
      </c>
      <c r="LVE121" s="285" t="s">
        <v>376</v>
      </c>
      <c r="LVF121" s="285" t="s">
        <v>377</v>
      </c>
      <c r="LVG121" s="285" t="s">
        <v>376</v>
      </c>
      <c r="LVH121" s="285" t="s">
        <v>377</v>
      </c>
      <c r="LVI121" s="285" t="s">
        <v>376</v>
      </c>
      <c r="LVJ121" s="285" t="s">
        <v>377</v>
      </c>
      <c r="LVK121" s="285" t="s">
        <v>376</v>
      </c>
      <c r="LVL121" s="285" t="s">
        <v>377</v>
      </c>
      <c r="LVM121" s="285" t="s">
        <v>376</v>
      </c>
      <c r="LVN121" s="285" t="s">
        <v>377</v>
      </c>
      <c r="LVO121" s="285" t="s">
        <v>376</v>
      </c>
      <c r="LVP121" s="285" t="s">
        <v>377</v>
      </c>
      <c r="LVQ121" s="285" t="s">
        <v>376</v>
      </c>
      <c r="LVR121" s="285" t="s">
        <v>377</v>
      </c>
      <c r="LVS121" s="285" t="s">
        <v>376</v>
      </c>
      <c r="LVT121" s="285" t="s">
        <v>377</v>
      </c>
      <c r="LVU121" s="285" t="s">
        <v>376</v>
      </c>
      <c r="LVV121" s="285" t="s">
        <v>377</v>
      </c>
      <c r="LVW121" s="285" t="s">
        <v>376</v>
      </c>
      <c r="LVX121" s="285" t="s">
        <v>377</v>
      </c>
      <c r="LVY121" s="285" t="s">
        <v>376</v>
      </c>
      <c r="LVZ121" s="285" t="s">
        <v>377</v>
      </c>
      <c r="LWA121" s="285" t="s">
        <v>376</v>
      </c>
      <c r="LWB121" s="285" t="s">
        <v>377</v>
      </c>
      <c r="LWC121" s="285" t="s">
        <v>376</v>
      </c>
      <c r="LWD121" s="285" t="s">
        <v>377</v>
      </c>
      <c r="LWE121" s="285" t="s">
        <v>376</v>
      </c>
      <c r="LWF121" s="285" t="s">
        <v>377</v>
      </c>
      <c r="LWG121" s="285" t="s">
        <v>376</v>
      </c>
      <c r="LWH121" s="285" t="s">
        <v>377</v>
      </c>
      <c r="LWI121" s="285" t="s">
        <v>376</v>
      </c>
      <c r="LWJ121" s="285" t="s">
        <v>377</v>
      </c>
      <c r="LWK121" s="285" t="s">
        <v>376</v>
      </c>
      <c r="LWL121" s="285" t="s">
        <v>377</v>
      </c>
      <c r="LWM121" s="285" t="s">
        <v>376</v>
      </c>
      <c r="LWN121" s="285" t="s">
        <v>377</v>
      </c>
      <c r="LWO121" s="285" t="s">
        <v>376</v>
      </c>
      <c r="LWP121" s="285" t="s">
        <v>377</v>
      </c>
      <c r="LWQ121" s="285" t="s">
        <v>376</v>
      </c>
      <c r="LWR121" s="285" t="s">
        <v>377</v>
      </c>
      <c r="LWS121" s="285" t="s">
        <v>376</v>
      </c>
      <c r="LWT121" s="285" t="s">
        <v>377</v>
      </c>
      <c r="LWU121" s="285" t="s">
        <v>376</v>
      </c>
      <c r="LWV121" s="285" t="s">
        <v>377</v>
      </c>
      <c r="LWW121" s="285" t="s">
        <v>376</v>
      </c>
      <c r="LWX121" s="285" t="s">
        <v>377</v>
      </c>
      <c r="LWY121" s="285" t="s">
        <v>376</v>
      </c>
      <c r="LWZ121" s="285" t="s">
        <v>377</v>
      </c>
      <c r="LXA121" s="285" t="s">
        <v>376</v>
      </c>
      <c r="LXB121" s="285" t="s">
        <v>377</v>
      </c>
      <c r="LXC121" s="285" t="s">
        <v>376</v>
      </c>
      <c r="LXD121" s="285" t="s">
        <v>377</v>
      </c>
      <c r="LXE121" s="285" t="s">
        <v>376</v>
      </c>
      <c r="LXF121" s="285" t="s">
        <v>377</v>
      </c>
      <c r="LXG121" s="285" t="s">
        <v>376</v>
      </c>
      <c r="LXH121" s="285" t="s">
        <v>377</v>
      </c>
      <c r="LXI121" s="285" t="s">
        <v>376</v>
      </c>
      <c r="LXJ121" s="285" t="s">
        <v>377</v>
      </c>
      <c r="LXK121" s="285" t="s">
        <v>376</v>
      </c>
      <c r="LXL121" s="285" t="s">
        <v>377</v>
      </c>
      <c r="LXM121" s="285" t="s">
        <v>376</v>
      </c>
      <c r="LXN121" s="285" t="s">
        <v>377</v>
      </c>
      <c r="LXO121" s="285" t="s">
        <v>376</v>
      </c>
      <c r="LXP121" s="285" t="s">
        <v>377</v>
      </c>
      <c r="LXQ121" s="285" t="s">
        <v>376</v>
      </c>
      <c r="LXR121" s="285" t="s">
        <v>377</v>
      </c>
      <c r="LXS121" s="285" t="s">
        <v>376</v>
      </c>
      <c r="LXT121" s="285" t="s">
        <v>377</v>
      </c>
      <c r="LXU121" s="285" t="s">
        <v>376</v>
      </c>
      <c r="LXV121" s="285" t="s">
        <v>377</v>
      </c>
      <c r="LXW121" s="285" t="s">
        <v>376</v>
      </c>
      <c r="LXX121" s="285" t="s">
        <v>377</v>
      </c>
      <c r="LXY121" s="285" t="s">
        <v>376</v>
      </c>
      <c r="LXZ121" s="285" t="s">
        <v>377</v>
      </c>
      <c r="LYA121" s="285" t="s">
        <v>376</v>
      </c>
      <c r="LYB121" s="285" t="s">
        <v>377</v>
      </c>
      <c r="LYC121" s="285" t="s">
        <v>376</v>
      </c>
      <c r="LYD121" s="285" t="s">
        <v>377</v>
      </c>
      <c r="LYE121" s="285" t="s">
        <v>376</v>
      </c>
      <c r="LYF121" s="285" t="s">
        <v>377</v>
      </c>
      <c r="LYG121" s="285" t="s">
        <v>376</v>
      </c>
      <c r="LYH121" s="285" t="s">
        <v>377</v>
      </c>
      <c r="LYI121" s="285" t="s">
        <v>376</v>
      </c>
      <c r="LYJ121" s="285" t="s">
        <v>377</v>
      </c>
      <c r="LYK121" s="285" t="s">
        <v>376</v>
      </c>
      <c r="LYL121" s="285" t="s">
        <v>377</v>
      </c>
      <c r="LYM121" s="285" t="s">
        <v>376</v>
      </c>
      <c r="LYN121" s="285" t="s">
        <v>377</v>
      </c>
      <c r="LYO121" s="285" t="s">
        <v>376</v>
      </c>
      <c r="LYP121" s="285" t="s">
        <v>377</v>
      </c>
      <c r="LYQ121" s="285" t="s">
        <v>376</v>
      </c>
      <c r="LYR121" s="285" t="s">
        <v>377</v>
      </c>
      <c r="LYS121" s="285" t="s">
        <v>376</v>
      </c>
      <c r="LYT121" s="285" t="s">
        <v>377</v>
      </c>
      <c r="LYU121" s="285" t="s">
        <v>376</v>
      </c>
      <c r="LYV121" s="285" t="s">
        <v>377</v>
      </c>
      <c r="LYW121" s="285" t="s">
        <v>376</v>
      </c>
      <c r="LYX121" s="285" t="s">
        <v>377</v>
      </c>
      <c r="LYY121" s="285" t="s">
        <v>376</v>
      </c>
      <c r="LYZ121" s="285" t="s">
        <v>377</v>
      </c>
      <c r="LZA121" s="285" t="s">
        <v>376</v>
      </c>
      <c r="LZB121" s="285" t="s">
        <v>377</v>
      </c>
      <c r="LZC121" s="285" t="s">
        <v>376</v>
      </c>
      <c r="LZD121" s="285" t="s">
        <v>377</v>
      </c>
      <c r="LZE121" s="285" t="s">
        <v>376</v>
      </c>
      <c r="LZF121" s="285" t="s">
        <v>377</v>
      </c>
      <c r="LZG121" s="285" t="s">
        <v>376</v>
      </c>
      <c r="LZH121" s="285" t="s">
        <v>377</v>
      </c>
      <c r="LZI121" s="285" t="s">
        <v>376</v>
      </c>
      <c r="LZJ121" s="285" t="s">
        <v>377</v>
      </c>
      <c r="LZK121" s="285" t="s">
        <v>376</v>
      </c>
      <c r="LZL121" s="285" t="s">
        <v>377</v>
      </c>
      <c r="LZM121" s="285" t="s">
        <v>376</v>
      </c>
      <c r="LZN121" s="285" t="s">
        <v>377</v>
      </c>
      <c r="LZO121" s="285" t="s">
        <v>376</v>
      </c>
      <c r="LZP121" s="285" t="s">
        <v>377</v>
      </c>
      <c r="LZQ121" s="285" t="s">
        <v>376</v>
      </c>
      <c r="LZR121" s="285" t="s">
        <v>377</v>
      </c>
      <c r="LZS121" s="285" t="s">
        <v>376</v>
      </c>
      <c r="LZT121" s="285" t="s">
        <v>377</v>
      </c>
      <c r="LZU121" s="285" t="s">
        <v>376</v>
      </c>
      <c r="LZV121" s="285" t="s">
        <v>377</v>
      </c>
      <c r="LZW121" s="285" t="s">
        <v>376</v>
      </c>
      <c r="LZX121" s="285" t="s">
        <v>377</v>
      </c>
      <c r="LZY121" s="285" t="s">
        <v>376</v>
      </c>
      <c r="LZZ121" s="285" t="s">
        <v>377</v>
      </c>
      <c r="MAA121" s="285" t="s">
        <v>376</v>
      </c>
      <c r="MAB121" s="285" t="s">
        <v>377</v>
      </c>
      <c r="MAC121" s="285" t="s">
        <v>376</v>
      </c>
      <c r="MAD121" s="285" t="s">
        <v>377</v>
      </c>
      <c r="MAE121" s="285" t="s">
        <v>376</v>
      </c>
      <c r="MAF121" s="285" t="s">
        <v>377</v>
      </c>
      <c r="MAG121" s="285" t="s">
        <v>376</v>
      </c>
      <c r="MAH121" s="285" t="s">
        <v>377</v>
      </c>
      <c r="MAI121" s="285" t="s">
        <v>376</v>
      </c>
      <c r="MAJ121" s="285" t="s">
        <v>377</v>
      </c>
      <c r="MAK121" s="285" t="s">
        <v>376</v>
      </c>
      <c r="MAL121" s="285" t="s">
        <v>377</v>
      </c>
      <c r="MAM121" s="285" t="s">
        <v>376</v>
      </c>
      <c r="MAN121" s="285" t="s">
        <v>377</v>
      </c>
      <c r="MAO121" s="285" t="s">
        <v>376</v>
      </c>
      <c r="MAP121" s="285" t="s">
        <v>377</v>
      </c>
      <c r="MAQ121" s="285" t="s">
        <v>376</v>
      </c>
      <c r="MAR121" s="285" t="s">
        <v>377</v>
      </c>
      <c r="MAS121" s="285" t="s">
        <v>376</v>
      </c>
      <c r="MAT121" s="285" t="s">
        <v>377</v>
      </c>
      <c r="MAU121" s="285" t="s">
        <v>376</v>
      </c>
      <c r="MAV121" s="285" t="s">
        <v>377</v>
      </c>
      <c r="MAW121" s="285" t="s">
        <v>376</v>
      </c>
      <c r="MAX121" s="285" t="s">
        <v>377</v>
      </c>
      <c r="MAY121" s="285" t="s">
        <v>376</v>
      </c>
      <c r="MAZ121" s="285" t="s">
        <v>377</v>
      </c>
      <c r="MBA121" s="285" t="s">
        <v>376</v>
      </c>
      <c r="MBB121" s="285" t="s">
        <v>377</v>
      </c>
      <c r="MBC121" s="285" t="s">
        <v>376</v>
      </c>
      <c r="MBD121" s="285" t="s">
        <v>377</v>
      </c>
      <c r="MBE121" s="285" t="s">
        <v>376</v>
      </c>
      <c r="MBF121" s="285" t="s">
        <v>377</v>
      </c>
      <c r="MBG121" s="285" t="s">
        <v>376</v>
      </c>
      <c r="MBH121" s="285" t="s">
        <v>377</v>
      </c>
      <c r="MBI121" s="285" t="s">
        <v>376</v>
      </c>
      <c r="MBJ121" s="285" t="s">
        <v>377</v>
      </c>
      <c r="MBK121" s="285" t="s">
        <v>376</v>
      </c>
      <c r="MBL121" s="285" t="s">
        <v>377</v>
      </c>
      <c r="MBM121" s="285" t="s">
        <v>376</v>
      </c>
      <c r="MBN121" s="285" t="s">
        <v>377</v>
      </c>
      <c r="MBO121" s="285" t="s">
        <v>376</v>
      </c>
      <c r="MBP121" s="285" t="s">
        <v>377</v>
      </c>
      <c r="MBQ121" s="285" t="s">
        <v>376</v>
      </c>
      <c r="MBR121" s="285" t="s">
        <v>377</v>
      </c>
      <c r="MBS121" s="285" t="s">
        <v>376</v>
      </c>
      <c r="MBT121" s="285" t="s">
        <v>377</v>
      </c>
      <c r="MBU121" s="285" t="s">
        <v>376</v>
      </c>
      <c r="MBV121" s="285" t="s">
        <v>377</v>
      </c>
      <c r="MBW121" s="285" t="s">
        <v>376</v>
      </c>
      <c r="MBX121" s="285" t="s">
        <v>377</v>
      </c>
      <c r="MBY121" s="285" t="s">
        <v>376</v>
      </c>
      <c r="MBZ121" s="285" t="s">
        <v>377</v>
      </c>
      <c r="MCA121" s="285" t="s">
        <v>376</v>
      </c>
      <c r="MCB121" s="285" t="s">
        <v>377</v>
      </c>
      <c r="MCC121" s="285" t="s">
        <v>376</v>
      </c>
      <c r="MCD121" s="285" t="s">
        <v>377</v>
      </c>
      <c r="MCE121" s="285" t="s">
        <v>376</v>
      </c>
      <c r="MCF121" s="285" t="s">
        <v>377</v>
      </c>
      <c r="MCG121" s="285" t="s">
        <v>376</v>
      </c>
      <c r="MCH121" s="285" t="s">
        <v>377</v>
      </c>
      <c r="MCI121" s="285" t="s">
        <v>376</v>
      </c>
      <c r="MCJ121" s="285" t="s">
        <v>377</v>
      </c>
      <c r="MCK121" s="285" t="s">
        <v>376</v>
      </c>
      <c r="MCL121" s="285" t="s">
        <v>377</v>
      </c>
      <c r="MCM121" s="285" t="s">
        <v>376</v>
      </c>
      <c r="MCN121" s="285" t="s">
        <v>377</v>
      </c>
      <c r="MCO121" s="285" t="s">
        <v>376</v>
      </c>
      <c r="MCP121" s="285" t="s">
        <v>377</v>
      </c>
      <c r="MCQ121" s="285" t="s">
        <v>376</v>
      </c>
      <c r="MCR121" s="285" t="s">
        <v>377</v>
      </c>
      <c r="MCS121" s="285" t="s">
        <v>376</v>
      </c>
      <c r="MCT121" s="285" t="s">
        <v>377</v>
      </c>
      <c r="MCU121" s="285" t="s">
        <v>376</v>
      </c>
      <c r="MCV121" s="285" t="s">
        <v>377</v>
      </c>
      <c r="MCW121" s="285" t="s">
        <v>376</v>
      </c>
      <c r="MCX121" s="285" t="s">
        <v>377</v>
      </c>
      <c r="MCY121" s="285" t="s">
        <v>376</v>
      </c>
      <c r="MCZ121" s="285" t="s">
        <v>377</v>
      </c>
      <c r="MDA121" s="285" t="s">
        <v>376</v>
      </c>
      <c r="MDB121" s="285" t="s">
        <v>377</v>
      </c>
      <c r="MDC121" s="285" t="s">
        <v>376</v>
      </c>
      <c r="MDD121" s="285" t="s">
        <v>377</v>
      </c>
      <c r="MDE121" s="285" t="s">
        <v>376</v>
      </c>
      <c r="MDF121" s="285" t="s">
        <v>377</v>
      </c>
      <c r="MDG121" s="285" t="s">
        <v>376</v>
      </c>
      <c r="MDH121" s="285" t="s">
        <v>377</v>
      </c>
      <c r="MDI121" s="285" t="s">
        <v>376</v>
      </c>
      <c r="MDJ121" s="285" t="s">
        <v>377</v>
      </c>
      <c r="MDK121" s="285" t="s">
        <v>376</v>
      </c>
      <c r="MDL121" s="285" t="s">
        <v>377</v>
      </c>
      <c r="MDM121" s="285" t="s">
        <v>376</v>
      </c>
      <c r="MDN121" s="285" t="s">
        <v>377</v>
      </c>
      <c r="MDO121" s="285" t="s">
        <v>376</v>
      </c>
      <c r="MDP121" s="285" t="s">
        <v>377</v>
      </c>
      <c r="MDQ121" s="285" t="s">
        <v>376</v>
      </c>
      <c r="MDR121" s="285" t="s">
        <v>377</v>
      </c>
      <c r="MDS121" s="285" t="s">
        <v>376</v>
      </c>
      <c r="MDT121" s="285" t="s">
        <v>377</v>
      </c>
      <c r="MDU121" s="285" t="s">
        <v>376</v>
      </c>
      <c r="MDV121" s="285" t="s">
        <v>377</v>
      </c>
      <c r="MDW121" s="285" t="s">
        <v>376</v>
      </c>
      <c r="MDX121" s="285" t="s">
        <v>377</v>
      </c>
      <c r="MDY121" s="285" t="s">
        <v>376</v>
      </c>
      <c r="MDZ121" s="285" t="s">
        <v>377</v>
      </c>
      <c r="MEA121" s="285" t="s">
        <v>376</v>
      </c>
      <c r="MEB121" s="285" t="s">
        <v>377</v>
      </c>
      <c r="MEC121" s="285" t="s">
        <v>376</v>
      </c>
      <c r="MED121" s="285" t="s">
        <v>377</v>
      </c>
      <c r="MEE121" s="285" t="s">
        <v>376</v>
      </c>
      <c r="MEF121" s="285" t="s">
        <v>377</v>
      </c>
      <c r="MEG121" s="285" t="s">
        <v>376</v>
      </c>
      <c r="MEH121" s="285" t="s">
        <v>377</v>
      </c>
      <c r="MEI121" s="285" t="s">
        <v>376</v>
      </c>
      <c r="MEJ121" s="285" t="s">
        <v>377</v>
      </c>
      <c r="MEK121" s="285" t="s">
        <v>376</v>
      </c>
      <c r="MEL121" s="285" t="s">
        <v>377</v>
      </c>
      <c r="MEM121" s="285" t="s">
        <v>376</v>
      </c>
      <c r="MEN121" s="285" t="s">
        <v>377</v>
      </c>
      <c r="MEO121" s="285" t="s">
        <v>376</v>
      </c>
      <c r="MEP121" s="285" t="s">
        <v>377</v>
      </c>
      <c r="MEQ121" s="285" t="s">
        <v>376</v>
      </c>
      <c r="MER121" s="285" t="s">
        <v>377</v>
      </c>
      <c r="MES121" s="285" t="s">
        <v>376</v>
      </c>
      <c r="MET121" s="285" t="s">
        <v>377</v>
      </c>
      <c r="MEU121" s="285" t="s">
        <v>376</v>
      </c>
      <c r="MEV121" s="285" t="s">
        <v>377</v>
      </c>
      <c r="MEW121" s="285" t="s">
        <v>376</v>
      </c>
      <c r="MEX121" s="285" t="s">
        <v>377</v>
      </c>
      <c r="MEY121" s="285" t="s">
        <v>376</v>
      </c>
      <c r="MEZ121" s="285" t="s">
        <v>377</v>
      </c>
      <c r="MFA121" s="285" t="s">
        <v>376</v>
      </c>
      <c r="MFB121" s="285" t="s">
        <v>377</v>
      </c>
      <c r="MFC121" s="285" t="s">
        <v>376</v>
      </c>
      <c r="MFD121" s="285" t="s">
        <v>377</v>
      </c>
      <c r="MFE121" s="285" t="s">
        <v>376</v>
      </c>
      <c r="MFF121" s="285" t="s">
        <v>377</v>
      </c>
      <c r="MFG121" s="285" t="s">
        <v>376</v>
      </c>
      <c r="MFH121" s="285" t="s">
        <v>377</v>
      </c>
      <c r="MFI121" s="285" t="s">
        <v>376</v>
      </c>
      <c r="MFJ121" s="285" t="s">
        <v>377</v>
      </c>
      <c r="MFK121" s="285" t="s">
        <v>376</v>
      </c>
      <c r="MFL121" s="285" t="s">
        <v>377</v>
      </c>
      <c r="MFM121" s="285" t="s">
        <v>376</v>
      </c>
      <c r="MFN121" s="285" t="s">
        <v>377</v>
      </c>
      <c r="MFO121" s="285" t="s">
        <v>376</v>
      </c>
      <c r="MFP121" s="285" t="s">
        <v>377</v>
      </c>
      <c r="MFQ121" s="285" t="s">
        <v>376</v>
      </c>
      <c r="MFR121" s="285" t="s">
        <v>377</v>
      </c>
      <c r="MFS121" s="285" t="s">
        <v>376</v>
      </c>
      <c r="MFT121" s="285" t="s">
        <v>377</v>
      </c>
      <c r="MFU121" s="285" t="s">
        <v>376</v>
      </c>
      <c r="MFV121" s="285" t="s">
        <v>377</v>
      </c>
      <c r="MFW121" s="285" t="s">
        <v>376</v>
      </c>
      <c r="MFX121" s="285" t="s">
        <v>377</v>
      </c>
      <c r="MFY121" s="285" t="s">
        <v>376</v>
      </c>
      <c r="MFZ121" s="285" t="s">
        <v>377</v>
      </c>
      <c r="MGA121" s="285" t="s">
        <v>376</v>
      </c>
      <c r="MGB121" s="285" t="s">
        <v>377</v>
      </c>
      <c r="MGC121" s="285" t="s">
        <v>376</v>
      </c>
      <c r="MGD121" s="285" t="s">
        <v>377</v>
      </c>
      <c r="MGE121" s="285" t="s">
        <v>376</v>
      </c>
      <c r="MGF121" s="285" t="s">
        <v>377</v>
      </c>
      <c r="MGG121" s="285" t="s">
        <v>376</v>
      </c>
      <c r="MGH121" s="285" t="s">
        <v>377</v>
      </c>
      <c r="MGI121" s="285" t="s">
        <v>376</v>
      </c>
      <c r="MGJ121" s="285" t="s">
        <v>377</v>
      </c>
      <c r="MGK121" s="285" t="s">
        <v>376</v>
      </c>
      <c r="MGL121" s="285" t="s">
        <v>377</v>
      </c>
      <c r="MGM121" s="285" t="s">
        <v>376</v>
      </c>
      <c r="MGN121" s="285" t="s">
        <v>377</v>
      </c>
      <c r="MGO121" s="285" t="s">
        <v>376</v>
      </c>
      <c r="MGP121" s="285" t="s">
        <v>377</v>
      </c>
      <c r="MGQ121" s="285" t="s">
        <v>376</v>
      </c>
      <c r="MGR121" s="285" t="s">
        <v>377</v>
      </c>
      <c r="MGS121" s="285" t="s">
        <v>376</v>
      </c>
      <c r="MGT121" s="285" t="s">
        <v>377</v>
      </c>
      <c r="MGU121" s="285" t="s">
        <v>376</v>
      </c>
      <c r="MGV121" s="285" t="s">
        <v>377</v>
      </c>
      <c r="MGW121" s="285" t="s">
        <v>376</v>
      </c>
      <c r="MGX121" s="285" t="s">
        <v>377</v>
      </c>
      <c r="MGY121" s="285" t="s">
        <v>376</v>
      </c>
      <c r="MGZ121" s="285" t="s">
        <v>377</v>
      </c>
      <c r="MHA121" s="285" t="s">
        <v>376</v>
      </c>
      <c r="MHB121" s="285" t="s">
        <v>377</v>
      </c>
      <c r="MHC121" s="285" t="s">
        <v>376</v>
      </c>
      <c r="MHD121" s="285" t="s">
        <v>377</v>
      </c>
      <c r="MHE121" s="285" t="s">
        <v>376</v>
      </c>
      <c r="MHF121" s="285" t="s">
        <v>377</v>
      </c>
      <c r="MHG121" s="285" t="s">
        <v>376</v>
      </c>
      <c r="MHH121" s="285" t="s">
        <v>377</v>
      </c>
      <c r="MHI121" s="285" t="s">
        <v>376</v>
      </c>
      <c r="MHJ121" s="285" t="s">
        <v>377</v>
      </c>
      <c r="MHK121" s="285" t="s">
        <v>376</v>
      </c>
      <c r="MHL121" s="285" t="s">
        <v>377</v>
      </c>
      <c r="MHM121" s="285" t="s">
        <v>376</v>
      </c>
      <c r="MHN121" s="285" t="s">
        <v>377</v>
      </c>
      <c r="MHO121" s="285" t="s">
        <v>376</v>
      </c>
      <c r="MHP121" s="285" t="s">
        <v>377</v>
      </c>
      <c r="MHQ121" s="285" t="s">
        <v>376</v>
      </c>
      <c r="MHR121" s="285" t="s">
        <v>377</v>
      </c>
      <c r="MHS121" s="285" t="s">
        <v>376</v>
      </c>
      <c r="MHT121" s="285" t="s">
        <v>377</v>
      </c>
      <c r="MHU121" s="285" t="s">
        <v>376</v>
      </c>
      <c r="MHV121" s="285" t="s">
        <v>377</v>
      </c>
      <c r="MHW121" s="285" t="s">
        <v>376</v>
      </c>
      <c r="MHX121" s="285" t="s">
        <v>377</v>
      </c>
      <c r="MHY121" s="285" t="s">
        <v>376</v>
      </c>
      <c r="MHZ121" s="285" t="s">
        <v>377</v>
      </c>
      <c r="MIA121" s="285" t="s">
        <v>376</v>
      </c>
      <c r="MIB121" s="285" t="s">
        <v>377</v>
      </c>
      <c r="MIC121" s="285" t="s">
        <v>376</v>
      </c>
      <c r="MID121" s="285" t="s">
        <v>377</v>
      </c>
      <c r="MIE121" s="285" t="s">
        <v>376</v>
      </c>
      <c r="MIF121" s="285" t="s">
        <v>377</v>
      </c>
      <c r="MIG121" s="285" t="s">
        <v>376</v>
      </c>
      <c r="MIH121" s="285" t="s">
        <v>377</v>
      </c>
      <c r="MII121" s="285" t="s">
        <v>376</v>
      </c>
      <c r="MIJ121" s="285" t="s">
        <v>377</v>
      </c>
      <c r="MIK121" s="285" t="s">
        <v>376</v>
      </c>
      <c r="MIL121" s="285" t="s">
        <v>377</v>
      </c>
      <c r="MIM121" s="285" t="s">
        <v>376</v>
      </c>
      <c r="MIN121" s="285" t="s">
        <v>377</v>
      </c>
      <c r="MIO121" s="285" t="s">
        <v>376</v>
      </c>
      <c r="MIP121" s="285" t="s">
        <v>377</v>
      </c>
      <c r="MIQ121" s="285" t="s">
        <v>376</v>
      </c>
      <c r="MIR121" s="285" t="s">
        <v>377</v>
      </c>
      <c r="MIS121" s="285" t="s">
        <v>376</v>
      </c>
      <c r="MIT121" s="285" t="s">
        <v>377</v>
      </c>
      <c r="MIU121" s="285" t="s">
        <v>376</v>
      </c>
      <c r="MIV121" s="285" t="s">
        <v>377</v>
      </c>
      <c r="MIW121" s="285" t="s">
        <v>376</v>
      </c>
      <c r="MIX121" s="285" t="s">
        <v>377</v>
      </c>
      <c r="MIY121" s="285" t="s">
        <v>376</v>
      </c>
      <c r="MIZ121" s="285" t="s">
        <v>377</v>
      </c>
      <c r="MJA121" s="285" t="s">
        <v>376</v>
      </c>
      <c r="MJB121" s="285" t="s">
        <v>377</v>
      </c>
      <c r="MJC121" s="285" t="s">
        <v>376</v>
      </c>
      <c r="MJD121" s="285" t="s">
        <v>377</v>
      </c>
      <c r="MJE121" s="285" t="s">
        <v>376</v>
      </c>
      <c r="MJF121" s="285" t="s">
        <v>377</v>
      </c>
      <c r="MJG121" s="285" t="s">
        <v>376</v>
      </c>
      <c r="MJH121" s="285" t="s">
        <v>377</v>
      </c>
      <c r="MJI121" s="285" t="s">
        <v>376</v>
      </c>
      <c r="MJJ121" s="285" t="s">
        <v>377</v>
      </c>
      <c r="MJK121" s="285" t="s">
        <v>376</v>
      </c>
      <c r="MJL121" s="285" t="s">
        <v>377</v>
      </c>
      <c r="MJM121" s="285" t="s">
        <v>376</v>
      </c>
      <c r="MJN121" s="285" t="s">
        <v>377</v>
      </c>
      <c r="MJO121" s="285" t="s">
        <v>376</v>
      </c>
      <c r="MJP121" s="285" t="s">
        <v>377</v>
      </c>
      <c r="MJQ121" s="285" t="s">
        <v>376</v>
      </c>
      <c r="MJR121" s="285" t="s">
        <v>377</v>
      </c>
      <c r="MJS121" s="285" t="s">
        <v>376</v>
      </c>
      <c r="MJT121" s="285" t="s">
        <v>377</v>
      </c>
      <c r="MJU121" s="285" t="s">
        <v>376</v>
      </c>
      <c r="MJV121" s="285" t="s">
        <v>377</v>
      </c>
      <c r="MJW121" s="285" t="s">
        <v>376</v>
      </c>
      <c r="MJX121" s="285" t="s">
        <v>377</v>
      </c>
      <c r="MJY121" s="285" t="s">
        <v>376</v>
      </c>
      <c r="MJZ121" s="285" t="s">
        <v>377</v>
      </c>
      <c r="MKA121" s="285" t="s">
        <v>376</v>
      </c>
      <c r="MKB121" s="285" t="s">
        <v>377</v>
      </c>
      <c r="MKC121" s="285" t="s">
        <v>376</v>
      </c>
      <c r="MKD121" s="285" t="s">
        <v>377</v>
      </c>
      <c r="MKE121" s="285" t="s">
        <v>376</v>
      </c>
      <c r="MKF121" s="285" t="s">
        <v>377</v>
      </c>
      <c r="MKG121" s="285" t="s">
        <v>376</v>
      </c>
      <c r="MKH121" s="285" t="s">
        <v>377</v>
      </c>
      <c r="MKI121" s="285" t="s">
        <v>376</v>
      </c>
      <c r="MKJ121" s="285" t="s">
        <v>377</v>
      </c>
      <c r="MKK121" s="285" t="s">
        <v>376</v>
      </c>
      <c r="MKL121" s="285" t="s">
        <v>377</v>
      </c>
      <c r="MKM121" s="285" t="s">
        <v>376</v>
      </c>
      <c r="MKN121" s="285" t="s">
        <v>377</v>
      </c>
      <c r="MKO121" s="285" t="s">
        <v>376</v>
      </c>
      <c r="MKP121" s="285" t="s">
        <v>377</v>
      </c>
      <c r="MKQ121" s="285" t="s">
        <v>376</v>
      </c>
      <c r="MKR121" s="285" t="s">
        <v>377</v>
      </c>
      <c r="MKS121" s="285" t="s">
        <v>376</v>
      </c>
      <c r="MKT121" s="285" t="s">
        <v>377</v>
      </c>
      <c r="MKU121" s="285" t="s">
        <v>376</v>
      </c>
      <c r="MKV121" s="285" t="s">
        <v>377</v>
      </c>
      <c r="MKW121" s="285" t="s">
        <v>376</v>
      </c>
      <c r="MKX121" s="285" t="s">
        <v>377</v>
      </c>
      <c r="MKY121" s="285" t="s">
        <v>376</v>
      </c>
      <c r="MKZ121" s="285" t="s">
        <v>377</v>
      </c>
      <c r="MLA121" s="285" t="s">
        <v>376</v>
      </c>
      <c r="MLB121" s="285" t="s">
        <v>377</v>
      </c>
      <c r="MLC121" s="285" t="s">
        <v>376</v>
      </c>
      <c r="MLD121" s="285" t="s">
        <v>377</v>
      </c>
      <c r="MLE121" s="285" t="s">
        <v>376</v>
      </c>
      <c r="MLF121" s="285" t="s">
        <v>377</v>
      </c>
      <c r="MLG121" s="285" t="s">
        <v>376</v>
      </c>
      <c r="MLH121" s="285" t="s">
        <v>377</v>
      </c>
      <c r="MLI121" s="285" t="s">
        <v>376</v>
      </c>
      <c r="MLJ121" s="285" t="s">
        <v>377</v>
      </c>
      <c r="MLK121" s="285" t="s">
        <v>376</v>
      </c>
      <c r="MLL121" s="285" t="s">
        <v>377</v>
      </c>
      <c r="MLM121" s="285" t="s">
        <v>376</v>
      </c>
      <c r="MLN121" s="285" t="s">
        <v>377</v>
      </c>
      <c r="MLO121" s="285" t="s">
        <v>376</v>
      </c>
      <c r="MLP121" s="285" t="s">
        <v>377</v>
      </c>
      <c r="MLQ121" s="285" t="s">
        <v>376</v>
      </c>
      <c r="MLR121" s="285" t="s">
        <v>377</v>
      </c>
      <c r="MLS121" s="285" t="s">
        <v>376</v>
      </c>
      <c r="MLT121" s="285" t="s">
        <v>377</v>
      </c>
      <c r="MLU121" s="285" t="s">
        <v>376</v>
      </c>
      <c r="MLV121" s="285" t="s">
        <v>377</v>
      </c>
      <c r="MLW121" s="285" t="s">
        <v>376</v>
      </c>
      <c r="MLX121" s="285" t="s">
        <v>377</v>
      </c>
      <c r="MLY121" s="285" t="s">
        <v>376</v>
      </c>
      <c r="MLZ121" s="285" t="s">
        <v>377</v>
      </c>
      <c r="MMA121" s="285" t="s">
        <v>376</v>
      </c>
      <c r="MMB121" s="285" t="s">
        <v>377</v>
      </c>
      <c r="MMC121" s="285" t="s">
        <v>376</v>
      </c>
      <c r="MMD121" s="285" t="s">
        <v>377</v>
      </c>
      <c r="MME121" s="285" t="s">
        <v>376</v>
      </c>
      <c r="MMF121" s="285" t="s">
        <v>377</v>
      </c>
      <c r="MMG121" s="285" t="s">
        <v>376</v>
      </c>
      <c r="MMH121" s="285" t="s">
        <v>377</v>
      </c>
      <c r="MMI121" s="285" t="s">
        <v>376</v>
      </c>
      <c r="MMJ121" s="285" t="s">
        <v>377</v>
      </c>
      <c r="MMK121" s="285" t="s">
        <v>376</v>
      </c>
      <c r="MML121" s="285" t="s">
        <v>377</v>
      </c>
      <c r="MMM121" s="285" t="s">
        <v>376</v>
      </c>
      <c r="MMN121" s="285" t="s">
        <v>377</v>
      </c>
      <c r="MMO121" s="285" t="s">
        <v>376</v>
      </c>
      <c r="MMP121" s="285" t="s">
        <v>377</v>
      </c>
      <c r="MMQ121" s="285" t="s">
        <v>376</v>
      </c>
      <c r="MMR121" s="285" t="s">
        <v>377</v>
      </c>
      <c r="MMS121" s="285" t="s">
        <v>376</v>
      </c>
      <c r="MMT121" s="285" t="s">
        <v>377</v>
      </c>
      <c r="MMU121" s="285" t="s">
        <v>376</v>
      </c>
      <c r="MMV121" s="285" t="s">
        <v>377</v>
      </c>
      <c r="MMW121" s="285" t="s">
        <v>376</v>
      </c>
      <c r="MMX121" s="285" t="s">
        <v>377</v>
      </c>
      <c r="MMY121" s="285" t="s">
        <v>376</v>
      </c>
      <c r="MMZ121" s="285" t="s">
        <v>377</v>
      </c>
      <c r="MNA121" s="285" t="s">
        <v>376</v>
      </c>
      <c r="MNB121" s="285" t="s">
        <v>377</v>
      </c>
      <c r="MNC121" s="285" t="s">
        <v>376</v>
      </c>
      <c r="MND121" s="285" t="s">
        <v>377</v>
      </c>
      <c r="MNE121" s="285" t="s">
        <v>376</v>
      </c>
      <c r="MNF121" s="285" t="s">
        <v>377</v>
      </c>
      <c r="MNG121" s="285" t="s">
        <v>376</v>
      </c>
      <c r="MNH121" s="285" t="s">
        <v>377</v>
      </c>
      <c r="MNI121" s="285" t="s">
        <v>376</v>
      </c>
      <c r="MNJ121" s="285" t="s">
        <v>377</v>
      </c>
      <c r="MNK121" s="285" t="s">
        <v>376</v>
      </c>
      <c r="MNL121" s="285" t="s">
        <v>377</v>
      </c>
      <c r="MNM121" s="285" t="s">
        <v>376</v>
      </c>
      <c r="MNN121" s="285" t="s">
        <v>377</v>
      </c>
      <c r="MNO121" s="285" t="s">
        <v>376</v>
      </c>
      <c r="MNP121" s="285" t="s">
        <v>377</v>
      </c>
      <c r="MNQ121" s="285" t="s">
        <v>376</v>
      </c>
      <c r="MNR121" s="285" t="s">
        <v>377</v>
      </c>
      <c r="MNS121" s="285" t="s">
        <v>376</v>
      </c>
      <c r="MNT121" s="285" t="s">
        <v>377</v>
      </c>
      <c r="MNU121" s="285" t="s">
        <v>376</v>
      </c>
      <c r="MNV121" s="285" t="s">
        <v>377</v>
      </c>
      <c r="MNW121" s="285" t="s">
        <v>376</v>
      </c>
      <c r="MNX121" s="285" t="s">
        <v>377</v>
      </c>
      <c r="MNY121" s="285" t="s">
        <v>376</v>
      </c>
      <c r="MNZ121" s="285" t="s">
        <v>377</v>
      </c>
      <c r="MOA121" s="285" t="s">
        <v>376</v>
      </c>
      <c r="MOB121" s="285" t="s">
        <v>377</v>
      </c>
      <c r="MOC121" s="285" t="s">
        <v>376</v>
      </c>
      <c r="MOD121" s="285" t="s">
        <v>377</v>
      </c>
      <c r="MOE121" s="285" t="s">
        <v>376</v>
      </c>
      <c r="MOF121" s="285" t="s">
        <v>377</v>
      </c>
      <c r="MOG121" s="285" t="s">
        <v>376</v>
      </c>
      <c r="MOH121" s="285" t="s">
        <v>377</v>
      </c>
      <c r="MOI121" s="285" t="s">
        <v>376</v>
      </c>
      <c r="MOJ121" s="285" t="s">
        <v>377</v>
      </c>
      <c r="MOK121" s="285" t="s">
        <v>376</v>
      </c>
      <c r="MOL121" s="285" t="s">
        <v>377</v>
      </c>
      <c r="MOM121" s="285" t="s">
        <v>376</v>
      </c>
      <c r="MON121" s="285" t="s">
        <v>377</v>
      </c>
      <c r="MOO121" s="285" t="s">
        <v>376</v>
      </c>
      <c r="MOP121" s="285" t="s">
        <v>377</v>
      </c>
      <c r="MOQ121" s="285" t="s">
        <v>376</v>
      </c>
      <c r="MOR121" s="285" t="s">
        <v>377</v>
      </c>
      <c r="MOS121" s="285" t="s">
        <v>376</v>
      </c>
      <c r="MOT121" s="285" t="s">
        <v>377</v>
      </c>
      <c r="MOU121" s="285" t="s">
        <v>376</v>
      </c>
      <c r="MOV121" s="285" t="s">
        <v>377</v>
      </c>
      <c r="MOW121" s="285" t="s">
        <v>376</v>
      </c>
      <c r="MOX121" s="285" t="s">
        <v>377</v>
      </c>
      <c r="MOY121" s="285" t="s">
        <v>376</v>
      </c>
      <c r="MOZ121" s="285" t="s">
        <v>377</v>
      </c>
      <c r="MPA121" s="285" t="s">
        <v>376</v>
      </c>
      <c r="MPB121" s="285" t="s">
        <v>377</v>
      </c>
      <c r="MPC121" s="285" t="s">
        <v>376</v>
      </c>
      <c r="MPD121" s="285" t="s">
        <v>377</v>
      </c>
      <c r="MPE121" s="285" t="s">
        <v>376</v>
      </c>
      <c r="MPF121" s="285" t="s">
        <v>377</v>
      </c>
      <c r="MPG121" s="285" t="s">
        <v>376</v>
      </c>
      <c r="MPH121" s="285" t="s">
        <v>377</v>
      </c>
      <c r="MPI121" s="285" t="s">
        <v>376</v>
      </c>
      <c r="MPJ121" s="285" t="s">
        <v>377</v>
      </c>
      <c r="MPK121" s="285" t="s">
        <v>376</v>
      </c>
      <c r="MPL121" s="285" t="s">
        <v>377</v>
      </c>
      <c r="MPM121" s="285" t="s">
        <v>376</v>
      </c>
      <c r="MPN121" s="285" t="s">
        <v>377</v>
      </c>
      <c r="MPO121" s="285" t="s">
        <v>376</v>
      </c>
      <c r="MPP121" s="285" t="s">
        <v>377</v>
      </c>
      <c r="MPQ121" s="285" t="s">
        <v>376</v>
      </c>
      <c r="MPR121" s="285" t="s">
        <v>377</v>
      </c>
      <c r="MPS121" s="285" t="s">
        <v>376</v>
      </c>
      <c r="MPT121" s="285" t="s">
        <v>377</v>
      </c>
      <c r="MPU121" s="285" t="s">
        <v>376</v>
      </c>
      <c r="MPV121" s="285" t="s">
        <v>377</v>
      </c>
      <c r="MPW121" s="285" t="s">
        <v>376</v>
      </c>
      <c r="MPX121" s="285" t="s">
        <v>377</v>
      </c>
      <c r="MPY121" s="285" t="s">
        <v>376</v>
      </c>
      <c r="MPZ121" s="285" t="s">
        <v>377</v>
      </c>
      <c r="MQA121" s="285" t="s">
        <v>376</v>
      </c>
      <c r="MQB121" s="285" t="s">
        <v>377</v>
      </c>
      <c r="MQC121" s="285" t="s">
        <v>376</v>
      </c>
      <c r="MQD121" s="285" t="s">
        <v>377</v>
      </c>
      <c r="MQE121" s="285" t="s">
        <v>376</v>
      </c>
      <c r="MQF121" s="285" t="s">
        <v>377</v>
      </c>
      <c r="MQG121" s="285" t="s">
        <v>376</v>
      </c>
      <c r="MQH121" s="285" t="s">
        <v>377</v>
      </c>
      <c r="MQI121" s="285" t="s">
        <v>376</v>
      </c>
      <c r="MQJ121" s="285" t="s">
        <v>377</v>
      </c>
      <c r="MQK121" s="285" t="s">
        <v>376</v>
      </c>
      <c r="MQL121" s="285" t="s">
        <v>377</v>
      </c>
      <c r="MQM121" s="285" t="s">
        <v>376</v>
      </c>
      <c r="MQN121" s="285" t="s">
        <v>377</v>
      </c>
      <c r="MQO121" s="285" t="s">
        <v>376</v>
      </c>
      <c r="MQP121" s="285" t="s">
        <v>377</v>
      </c>
      <c r="MQQ121" s="285" t="s">
        <v>376</v>
      </c>
      <c r="MQR121" s="285" t="s">
        <v>377</v>
      </c>
      <c r="MQS121" s="285" t="s">
        <v>376</v>
      </c>
      <c r="MQT121" s="285" t="s">
        <v>377</v>
      </c>
      <c r="MQU121" s="285" t="s">
        <v>376</v>
      </c>
      <c r="MQV121" s="285" t="s">
        <v>377</v>
      </c>
      <c r="MQW121" s="285" t="s">
        <v>376</v>
      </c>
      <c r="MQX121" s="285" t="s">
        <v>377</v>
      </c>
      <c r="MQY121" s="285" t="s">
        <v>376</v>
      </c>
      <c r="MQZ121" s="285" t="s">
        <v>377</v>
      </c>
      <c r="MRA121" s="285" t="s">
        <v>376</v>
      </c>
      <c r="MRB121" s="285" t="s">
        <v>377</v>
      </c>
      <c r="MRC121" s="285" t="s">
        <v>376</v>
      </c>
      <c r="MRD121" s="285" t="s">
        <v>377</v>
      </c>
      <c r="MRE121" s="285" t="s">
        <v>376</v>
      </c>
      <c r="MRF121" s="285" t="s">
        <v>377</v>
      </c>
      <c r="MRG121" s="285" t="s">
        <v>376</v>
      </c>
      <c r="MRH121" s="285" t="s">
        <v>377</v>
      </c>
      <c r="MRI121" s="285" t="s">
        <v>376</v>
      </c>
      <c r="MRJ121" s="285" t="s">
        <v>377</v>
      </c>
      <c r="MRK121" s="285" t="s">
        <v>376</v>
      </c>
      <c r="MRL121" s="285" t="s">
        <v>377</v>
      </c>
      <c r="MRM121" s="285" t="s">
        <v>376</v>
      </c>
      <c r="MRN121" s="285" t="s">
        <v>377</v>
      </c>
      <c r="MRO121" s="285" t="s">
        <v>376</v>
      </c>
      <c r="MRP121" s="285" t="s">
        <v>377</v>
      </c>
      <c r="MRQ121" s="285" t="s">
        <v>376</v>
      </c>
      <c r="MRR121" s="285" t="s">
        <v>377</v>
      </c>
      <c r="MRS121" s="285" t="s">
        <v>376</v>
      </c>
      <c r="MRT121" s="285" t="s">
        <v>377</v>
      </c>
      <c r="MRU121" s="285" t="s">
        <v>376</v>
      </c>
      <c r="MRV121" s="285" t="s">
        <v>377</v>
      </c>
      <c r="MRW121" s="285" t="s">
        <v>376</v>
      </c>
      <c r="MRX121" s="285" t="s">
        <v>377</v>
      </c>
      <c r="MRY121" s="285" t="s">
        <v>376</v>
      </c>
      <c r="MRZ121" s="285" t="s">
        <v>377</v>
      </c>
      <c r="MSA121" s="285" t="s">
        <v>376</v>
      </c>
      <c r="MSB121" s="285" t="s">
        <v>377</v>
      </c>
      <c r="MSC121" s="285" t="s">
        <v>376</v>
      </c>
      <c r="MSD121" s="285" t="s">
        <v>377</v>
      </c>
      <c r="MSE121" s="285" t="s">
        <v>376</v>
      </c>
      <c r="MSF121" s="285" t="s">
        <v>377</v>
      </c>
      <c r="MSG121" s="285" t="s">
        <v>376</v>
      </c>
      <c r="MSH121" s="285" t="s">
        <v>377</v>
      </c>
      <c r="MSI121" s="285" t="s">
        <v>376</v>
      </c>
      <c r="MSJ121" s="285" t="s">
        <v>377</v>
      </c>
      <c r="MSK121" s="285" t="s">
        <v>376</v>
      </c>
      <c r="MSL121" s="285" t="s">
        <v>377</v>
      </c>
      <c r="MSM121" s="285" t="s">
        <v>376</v>
      </c>
      <c r="MSN121" s="285" t="s">
        <v>377</v>
      </c>
      <c r="MSO121" s="285" t="s">
        <v>376</v>
      </c>
      <c r="MSP121" s="285" t="s">
        <v>377</v>
      </c>
      <c r="MSQ121" s="285" t="s">
        <v>376</v>
      </c>
      <c r="MSR121" s="285" t="s">
        <v>377</v>
      </c>
      <c r="MSS121" s="285" t="s">
        <v>376</v>
      </c>
      <c r="MST121" s="285" t="s">
        <v>377</v>
      </c>
      <c r="MSU121" s="285" t="s">
        <v>376</v>
      </c>
      <c r="MSV121" s="285" t="s">
        <v>377</v>
      </c>
      <c r="MSW121" s="285" t="s">
        <v>376</v>
      </c>
      <c r="MSX121" s="285" t="s">
        <v>377</v>
      </c>
      <c r="MSY121" s="285" t="s">
        <v>376</v>
      </c>
      <c r="MSZ121" s="285" t="s">
        <v>377</v>
      </c>
      <c r="MTA121" s="285" t="s">
        <v>376</v>
      </c>
      <c r="MTB121" s="285" t="s">
        <v>377</v>
      </c>
      <c r="MTC121" s="285" t="s">
        <v>376</v>
      </c>
      <c r="MTD121" s="285" t="s">
        <v>377</v>
      </c>
      <c r="MTE121" s="285" t="s">
        <v>376</v>
      </c>
      <c r="MTF121" s="285" t="s">
        <v>377</v>
      </c>
      <c r="MTG121" s="285" t="s">
        <v>376</v>
      </c>
      <c r="MTH121" s="285" t="s">
        <v>377</v>
      </c>
      <c r="MTI121" s="285" t="s">
        <v>376</v>
      </c>
      <c r="MTJ121" s="285" t="s">
        <v>377</v>
      </c>
      <c r="MTK121" s="285" t="s">
        <v>376</v>
      </c>
      <c r="MTL121" s="285" t="s">
        <v>377</v>
      </c>
      <c r="MTM121" s="285" t="s">
        <v>376</v>
      </c>
      <c r="MTN121" s="285" t="s">
        <v>377</v>
      </c>
      <c r="MTO121" s="285" t="s">
        <v>376</v>
      </c>
      <c r="MTP121" s="285" t="s">
        <v>377</v>
      </c>
      <c r="MTQ121" s="285" t="s">
        <v>376</v>
      </c>
      <c r="MTR121" s="285" t="s">
        <v>377</v>
      </c>
      <c r="MTS121" s="285" t="s">
        <v>376</v>
      </c>
      <c r="MTT121" s="285" t="s">
        <v>377</v>
      </c>
      <c r="MTU121" s="285" t="s">
        <v>376</v>
      </c>
      <c r="MTV121" s="285" t="s">
        <v>377</v>
      </c>
      <c r="MTW121" s="285" t="s">
        <v>376</v>
      </c>
      <c r="MTX121" s="285" t="s">
        <v>377</v>
      </c>
      <c r="MTY121" s="285" t="s">
        <v>376</v>
      </c>
      <c r="MTZ121" s="285" t="s">
        <v>377</v>
      </c>
      <c r="MUA121" s="285" t="s">
        <v>376</v>
      </c>
      <c r="MUB121" s="285" t="s">
        <v>377</v>
      </c>
      <c r="MUC121" s="285" t="s">
        <v>376</v>
      </c>
      <c r="MUD121" s="285" t="s">
        <v>377</v>
      </c>
      <c r="MUE121" s="285" t="s">
        <v>376</v>
      </c>
      <c r="MUF121" s="285" t="s">
        <v>377</v>
      </c>
      <c r="MUG121" s="285" t="s">
        <v>376</v>
      </c>
      <c r="MUH121" s="285" t="s">
        <v>377</v>
      </c>
      <c r="MUI121" s="285" t="s">
        <v>376</v>
      </c>
      <c r="MUJ121" s="285" t="s">
        <v>377</v>
      </c>
      <c r="MUK121" s="285" t="s">
        <v>376</v>
      </c>
      <c r="MUL121" s="285" t="s">
        <v>377</v>
      </c>
      <c r="MUM121" s="285" t="s">
        <v>376</v>
      </c>
      <c r="MUN121" s="285" t="s">
        <v>377</v>
      </c>
      <c r="MUO121" s="285" t="s">
        <v>376</v>
      </c>
      <c r="MUP121" s="285" t="s">
        <v>377</v>
      </c>
      <c r="MUQ121" s="285" t="s">
        <v>376</v>
      </c>
      <c r="MUR121" s="285" t="s">
        <v>377</v>
      </c>
      <c r="MUS121" s="285" t="s">
        <v>376</v>
      </c>
      <c r="MUT121" s="285" t="s">
        <v>377</v>
      </c>
      <c r="MUU121" s="285" t="s">
        <v>376</v>
      </c>
      <c r="MUV121" s="285" t="s">
        <v>377</v>
      </c>
      <c r="MUW121" s="285" t="s">
        <v>376</v>
      </c>
      <c r="MUX121" s="285" t="s">
        <v>377</v>
      </c>
      <c r="MUY121" s="285" t="s">
        <v>376</v>
      </c>
      <c r="MUZ121" s="285" t="s">
        <v>377</v>
      </c>
      <c r="MVA121" s="285" t="s">
        <v>376</v>
      </c>
      <c r="MVB121" s="285" t="s">
        <v>377</v>
      </c>
      <c r="MVC121" s="285" t="s">
        <v>376</v>
      </c>
      <c r="MVD121" s="285" t="s">
        <v>377</v>
      </c>
      <c r="MVE121" s="285" t="s">
        <v>376</v>
      </c>
      <c r="MVF121" s="285" t="s">
        <v>377</v>
      </c>
      <c r="MVG121" s="285" t="s">
        <v>376</v>
      </c>
      <c r="MVH121" s="285" t="s">
        <v>377</v>
      </c>
      <c r="MVI121" s="285" t="s">
        <v>376</v>
      </c>
      <c r="MVJ121" s="285" t="s">
        <v>377</v>
      </c>
      <c r="MVK121" s="285" t="s">
        <v>376</v>
      </c>
      <c r="MVL121" s="285" t="s">
        <v>377</v>
      </c>
      <c r="MVM121" s="285" t="s">
        <v>376</v>
      </c>
      <c r="MVN121" s="285" t="s">
        <v>377</v>
      </c>
      <c r="MVO121" s="285" t="s">
        <v>376</v>
      </c>
      <c r="MVP121" s="285" t="s">
        <v>377</v>
      </c>
      <c r="MVQ121" s="285" t="s">
        <v>376</v>
      </c>
      <c r="MVR121" s="285" t="s">
        <v>377</v>
      </c>
      <c r="MVS121" s="285" t="s">
        <v>376</v>
      </c>
      <c r="MVT121" s="285" t="s">
        <v>377</v>
      </c>
      <c r="MVU121" s="285" t="s">
        <v>376</v>
      </c>
      <c r="MVV121" s="285" t="s">
        <v>377</v>
      </c>
      <c r="MVW121" s="285" t="s">
        <v>376</v>
      </c>
      <c r="MVX121" s="285" t="s">
        <v>377</v>
      </c>
      <c r="MVY121" s="285" t="s">
        <v>376</v>
      </c>
      <c r="MVZ121" s="285" t="s">
        <v>377</v>
      </c>
      <c r="MWA121" s="285" t="s">
        <v>376</v>
      </c>
      <c r="MWB121" s="285" t="s">
        <v>377</v>
      </c>
      <c r="MWC121" s="285" t="s">
        <v>376</v>
      </c>
      <c r="MWD121" s="285" t="s">
        <v>377</v>
      </c>
      <c r="MWE121" s="285" t="s">
        <v>376</v>
      </c>
      <c r="MWF121" s="285" t="s">
        <v>377</v>
      </c>
      <c r="MWG121" s="285" t="s">
        <v>376</v>
      </c>
      <c r="MWH121" s="285" t="s">
        <v>377</v>
      </c>
      <c r="MWI121" s="285" t="s">
        <v>376</v>
      </c>
      <c r="MWJ121" s="285" t="s">
        <v>377</v>
      </c>
      <c r="MWK121" s="285" t="s">
        <v>376</v>
      </c>
      <c r="MWL121" s="285" t="s">
        <v>377</v>
      </c>
      <c r="MWM121" s="285" t="s">
        <v>376</v>
      </c>
      <c r="MWN121" s="285" t="s">
        <v>377</v>
      </c>
      <c r="MWO121" s="285" t="s">
        <v>376</v>
      </c>
      <c r="MWP121" s="285" t="s">
        <v>377</v>
      </c>
      <c r="MWQ121" s="285" t="s">
        <v>376</v>
      </c>
      <c r="MWR121" s="285" t="s">
        <v>377</v>
      </c>
      <c r="MWS121" s="285" t="s">
        <v>376</v>
      </c>
      <c r="MWT121" s="285" t="s">
        <v>377</v>
      </c>
      <c r="MWU121" s="285" t="s">
        <v>376</v>
      </c>
      <c r="MWV121" s="285" t="s">
        <v>377</v>
      </c>
      <c r="MWW121" s="285" t="s">
        <v>376</v>
      </c>
      <c r="MWX121" s="285" t="s">
        <v>377</v>
      </c>
      <c r="MWY121" s="285" t="s">
        <v>376</v>
      </c>
      <c r="MWZ121" s="285" t="s">
        <v>377</v>
      </c>
      <c r="MXA121" s="285" t="s">
        <v>376</v>
      </c>
      <c r="MXB121" s="285" t="s">
        <v>377</v>
      </c>
      <c r="MXC121" s="285" t="s">
        <v>376</v>
      </c>
      <c r="MXD121" s="285" t="s">
        <v>377</v>
      </c>
      <c r="MXE121" s="285" t="s">
        <v>376</v>
      </c>
      <c r="MXF121" s="285" t="s">
        <v>377</v>
      </c>
      <c r="MXG121" s="285" t="s">
        <v>376</v>
      </c>
      <c r="MXH121" s="285" t="s">
        <v>377</v>
      </c>
      <c r="MXI121" s="285" t="s">
        <v>376</v>
      </c>
      <c r="MXJ121" s="285" t="s">
        <v>377</v>
      </c>
      <c r="MXK121" s="285" t="s">
        <v>376</v>
      </c>
      <c r="MXL121" s="285" t="s">
        <v>377</v>
      </c>
      <c r="MXM121" s="285" t="s">
        <v>376</v>
      </c>
      <c r="MXN121" s="285" t="s">
        <v>377</v>
      </c>
      <c r="MXO121" s="285" t="s">
        <v>376</v>
      </c>
      <c r="MXP121" s="285" t="s">
        <v>377</v>
      </c>
      <c r="MXQ121" s="285" t="s">
        <v>376</v>
      </c>
      <c r="MXR121" s="285" t="s">
        <v>377</v>
      </c>
      <c r="MXS121" s="285" t="s">
        <v>376</v>
      </c>
      <c r="MXT121" s="285" t="s">
        <v>377</v>
      </c>
      <c r="MXU121" s="285" t="s">
        <v>376</v>
      </c>
      <c r="MXV121" s="285" t="s">
        <v>377</v>
      </c>
      <c r="MXW121" s="285" t="s">
        <v>376</v>
      </c>
      <c r="MXX121" s="285" t="s">
        <v>377</v>
      </c>
      <c r="MXY121" s="285" t="s">
        <v>376</v>
      </c>
      <c r="MXZ121" s="285" t="s">
        <v>377</v>
      </c>
      <c r="MYA121" s="285" t="s">
        <v>376</v>
      </c>
      <c r="MYB121" s="285" t="s">
        <v>377</v>
      </c>
      <c r="MYC121" s="285" t="s">
        <v>376</v>
      </c>
      <c r="MYD121" s="285" t="s">
        <v>377</v>
      </c>
      <c r="MYE121" s="285" t="s">
        <v>376</v>
      </c>
      <c r="MYF121" s="285" t="s">
        <v>377</v>
      </c>
      <c r="MYG121" s="285" t="s">
        <v>376</v>
      </c>
      <c r="MYH121" s="285" t="s">
        <v>377</v>
      </c>
      <c r="MYI121" s="285" t="s">
        <v>376</v>
      </c>
      <c r="MYJ121" s="285" t="s">
        <v>377</v>
      </c>
      <c r="MYK121" s="285" t="s">
        <v>376</v>
      </c>
      <c r="MYL121" s="285" t="s">
        <v>377</v>
      </c>
      <c r="MYM121" s="285" t="s">
        <v>376</v>
      </c>
      <c r="MYN121" s="285" t="s">
        <v>377</v>
      </c>
      <c r="MYO121" s="285" t="s">
        <v>376</v>
      </c>
      <c r="MYP121" s="285" t="s">
        <v>377</v>
      </c>
      <c r="MYQ121" s="285" t="s">
        <v>376</v>
      </c>
      <c r="MYR121" s="285" t="s">
        <v>377</v>
      </c>
      <c r="MYS121" s="285" t="s">
        <v>376</v>
      </c>
      <c r="MYT121" s="285" t="s">
        <v>377</v>
      </c>
      <c r="MYU121" s="285" t="s">
        <v>376</v>
      </c>
      <c r="MYV121" s="285" t="s">
        <v>377</v>
      </c>
      <c r="MYW121" s="285" t="s">
        <v>376</v>
      </c>
      <c r="MYX121" s="285" t="s">
        <v>377</v>
      </c>
      <c r="MYY121" s="285" t="s">
        <v>376</v>
      </c>
      <c r="MYZ121" s="285" t="s">
        <v>377</v>
      </c>
      <c r="MZA121" s="285" t="s">
        <v>376</v>
      </c>
      <c r="MZB121" s="285" t="s">
        <v>377</v>
      </c>
      <c r="MZC121" s="285" t="s">
        <v>376</v>
      </c>
      <c r="MZD121" s="285" t="s">
        <v>377</v>
      </c>
      <c r="MZE121" s="285" t="s">
        <v>376</v>
      </c>
      <c r="MZF121" s="285" t="s">
        <v>377</v>
      </c>
      <c r="MZG121" s="285" t="s">
        <v>376</v>
      </c>
      <c r="MZH121" s="285" t="s">
        <v>377</v>
      </c>
      <c r="MZI121" s="285" t="s">
        <v>376</v>
      </c>
      <c r="MZJ121" s="285" t="s">
        <v>377</v>
      </c>
      <c r="MZK121" s="285" t="s">
        <v>376</v>
      </c>
      <c r="MZL121" s="285" t="s">
        <v>377</v>
      </c>
      <c r="MZM121" s="285" t="s">
        <v>376</v>
      </c>
      <c r="MZN121" s="285" t="s">
        <v>377</v>
      </c>
      <c r="MZO121" s="285" t="s">
        <v>376</v>
      </c>
      <c r="MZP121" s="285" t="s">
        <v>377</v>
      </c>
      <c r="MZQ121" s="285" t="s">
        <v>376</v>
      </c>
      <c r="MZR121" s="285" t="s">
        <v>377</v>
      </c>
      <c r="MZS121" s="285" t="s">
        <v>376</v>
      </c>
      <c r="MZT121" s="285" t="s">
        <v>377</v>
      </c>
      <c r="MZU121" s="285" t="s">
        <v>376</v>
      </c>
      <c r="MZV121" s="285" t="s">
        <v>377</v>
      </c>
      <c r="MZW121" s="285" t="s">
        <v>376</v>
      </c>
      <c r="MZX121" s="285" t="s">
        <v>377</v>
      </c>
      <c r="MZY121" s="285" t="s">
        <v>376</v>
      </c>
      <c r="MZZ121" s="285" t="s">
        <v>377</v>
      </c>
      <c r="NAA121" s="285" t="s">
        <v>376</v>
      </c>
      <c r="NAB121" s="285" t="s">
        <v>377</v>
      </c>
      <c r="NAC121" s="285" t="s">
        <v>376</v>
      </c>
      <c r="NAD121" s="285" t="s">
        <v>377</v>
      </c>
      <c r="NAE121" s="285" t="s">
        <v>376</v>
      </c>
      <c r="NAF121" s="285" t="s">
        <v>377</v>
      </c>
      <c r="NAG121" s="285" t="s">
        <v>376</v>
      </c>
      <c r="NAH121" s="285" t="s">
        <v>377</v>
      </c>
      <c r="NAI121" s="285" t="s">
        <v>376</v>
      </c>
      <c r="NAJ121" s="285" t="s">
        <v>377</v>
      </c>
      <c r="NAK121" s="285" t="s">
        <v>376</v>
      </c>
      <c r="NAL121" s="285" t="s">
        <v>377</v>
      </c>
      <c r="NAM121" s="285" t="s">
        <v>376</v>
      </c>
      <c r="NAN121" s="285" t="s">
        <v>377</v>
      </c>
      <c r="NAO121" s="285" t="s">
        <v>376</v>
      </c>
      <c r="NAP121" s="285" t="s">
        <v>377</v>
      </c>
      <c r="NAQ121" s="285" t="s">
        <v>376</v>
      </c>
      <c r="NAR121" s="285" t="s">
        <v>377</v>
      </c>
      <c r="NAS121" s="285" t="s">
        <v>376</v>
      </c>
      <c r="NAT121" s="285" t="s">
        <v>377</v>
      </c>
      <c r="NAU121" s="285" t="s">
        <v>376</v>
      </c>
      <c r="NAV121" s="285" t="s">
        <v>377</v>
      </c>
      <c r="NAW121" s="285" t="s">
        <v>376</v>
      </c>
      <c r="NAX121" s="285" t="s">
        <v>377</v>
      </c>
      <c r="NAY121" s="285" t="s">
        <v>376</v>
      </c>
      <c r="NAZ121" s="285" t="s">
        <v>377</v>
      </c>
      <c r="NBA121" s="285" t="s">
        <v>376</v>
      </c>
      <c r="NBB121" s="285" t="s">
        <v>377</v>
      </c>
      <c r="NBC121" s="285" t="s">
        <v>376</v>
      </c>
      <c r="NBD121" s="285" t="s">
        <v>377</v>
      </c>
      <c r="NBE121" s="285" t="s">
        <v>376</v>
      </c>
      <c r="NBF121" s="285" t="s">
        <v>377</v>
      </c>
      <c r="NBG121" s="285" t="s">
        <v>376</v>
      </c>
      <c r="NBH121" s="285" t="s">
        <v>377</v>
      </c>
      <c r="NBI121" s="285" t="s">
        <v>376</v>
      </c>
      <c r="NBJ121" s="285" t="s">
        <v>377</v>
      </c>
      <c r="NBK121" s="285" t="s">
        <v>376</v>
      </c>
      <c r="NBL121" s="285" t="s">
        <v>377</v>
      </c>
      <c r="NBM121" s="285" t="s">
        <v>376</v>
      </c>
      <c r="NBN121" s="285" t="s">
        <v>377</v>
      </c>
      <c r="NBO121" s="285" t="s">
        <v>376</v>
      </c>
      <c r="NBP121" s="285" t="s">
        <v>377</v>
      </c>
      <c r="NBQ121" s="285" t="s">
        <v>376</v>
      </c>
      <c r="NBR121" s="285" t="s">
        <v>377</v>
      </c>
      <c r="NBS121" s="285" t="s">
        <v>376</v>
      </c>
      <c r="NBT121" s="285" t="s">
        <v>377</v>
      </c>
      <c r="NBU121" s="285" t="s">
        <v>376</v>
      </c>
      <c r="NBV121" s="285" t="s">
        <v>377</v>
      </c>
      <c r="NBW121" s="285" t="s">
        <v>376</v>
      </c>
      <c r="NBX121" s="285" t="s">
        <v>377</v>
      </c>
      <c r="NBY121" s="285" t="s">
        <v>376</v>
      </c>
      <c r="NBZ121" s="285" t="s">
        <v>377</v>
      </c>
      <c r="NCA121" s="285" t="s">
        <v>376</v>
      </c>
      <c r="NCB121" s="285" t="s">
        <v>377</v>
      </c>
      <c r="NCC121" s="285" t="s">
        <v>376</v>
      </c>
      <c r="NCD121" s="285" t="s">
        <v>377</v>
      </c>
      <c r="NCE121" s="285" t="s">
        <v>376</v>
      </c>
      <c r="NCF121" s="285" t="s">
        <v>377</v>
      </c>
      <c r="NCG121" s="285" t="s">
        <v>376</v>
      </c>
      <c r="NCH121" s="285" t="s">
        <v>377</v>
      </c>
      <c r="NCI121" s="285" t="s">
        <v>376</v>
      </c>
      <c r="NCJ121" s="285" t="s">
        <v>377</v>
      </c>
      <c r="NCK121" s="285" t="s">
        <v>376</v>
      </c>
      <c r="NCL121" s="285" t="s">
        <v>377</v>
      </c>
      <c r="NCM121" s="285" t="s">
        <v>376</v>
      </c>
      <c r="NCN121" s="285" t="s">
        <v>377</v>
      </c>
      <c r="NCO121" s="285" t="s">
        <v>376</v>
      </c>
      <c r="NCP121" s="285" t="s">
        <v>377</v>
      </c>
      <c r="NCQ121" s="285" t="s">
        <v>376</v>
      </c>
      <c r="NCR121" s="285" t="s">
        <v>377</v>
      </c>
      <c r="NCS121" s="285" t="s">
        <v>376</v>
      </c>
      <c r="NCT121" s="285" t="s">
        <v>377</v>
      </c>
      <c r="NCU121" s="285" t="s">
        <v>376</v>
      </c>
      <c r="NCV121" s="285" t="s">
        <v>377</v>
      </c>
      <c r="NCW121" s="285" t="s">
        <v>376</v>
      </c>
      <c r="NCX121" s="285" t="s">
        <v>377</v>
      </c>
      <c r="NCY121" s="285" t="s">
        <v>376</v>
      </c>
      <c r="NCZ121" s="285" t="s">
        <v>377</v>
      </c>
      <c r="NDA121" s="285" t="s">
        <v>376</v>
      </c>
      <c r="NDB121" s="285" t="s">
        <v>377</v>
      </c>
      <c r="NDC121" s="285" t="s">
        <v>376</v>
      </c>
      <c r="NDD121" s="285" t="s">
        <v>377</v>
      </c>
      <c r="NDE121" s="285" t="s">
        <v>376</v>
      </c>
      <c r="NDF121" s="285" t="s">
        <v>377</v>
      </c>
      <c r="NDG121" s="285" t="s">
        <v>376</v>
      </c>
      <c r="NDH121" s="285" t="s">
        <v>377</v>
      </c>
      <c r="NDI121" s="285" t="s">
        <v>376</v>
      </c>
      <c r="NDJ121" s="285" t="s">
        <v>377</v>
      </c>
      <c r="NDK121" s="285" t="s">
        <v>376</v>
      </c>
      <c r="NDL121" s="285" t="s">
        <v>377</v>
      </c>
      <c r="NDM121" s="285" t="s">
        <v>376</v>
      </c>
      <c r="NDN121" s="285" t="s">
        <v>377</v>
      </c>
      <c r="NDO121" s="285" t="s">
        <v>376</v>
      </c>
      <c r="NDP121" s="285" t="s">
        <v>377</v>
      </c>
      <c r="NDQ121" s="285" t="s">
        <v>376</v>
      </c>
      <c r="NDR121" s="285" t="s">
        <v>377</v>
      </c>
      <c r="NDS121" s="285" t="s">
        <v>376</v>
      </c>
      <c r="NDT121" s="285" t="s">
        <v>377</v>
      </c>
      <c r="NDU121" s="285" t="s">
        <v>376</v>
      </c>
      <c r="NDV121" s="285" t="s">
        <v>377</v>
      </c>
      <c r="NDW121" s="285" t="s">
        <v>376</v>
      </c>
      <c r="NDX121" s="285" t="s">
        <v>377</v>
      </c>
      <c r="NDY121" s="285" t="s">
        <v>376</v>
      </c>
      <c r="NDZ121" s="285" t="s">
        <v>377</v>
      </c>
      <c r="NEA121" s="285" t="s">
        <v>376</v>
      </c>
      <c r="NEB121" s="285" t="s">
        <v>377</v>
      </c>
      <c r="NEC121" s="285" t="s">
        <v>376</v>
      </c>
      <c r="NED121" s="285" t="s">
        <v>377</v>
      </c>
      <c r="NEE121" s="285" t="s">
        <v>376</v>
      </c>
      <c r="NEF121" s="285" t="s">
        <v>377</v>
      </c>
      <c r="NEG121" s="285" t="s">
        <v>376</v>
      </c>
      <c r="NEH121" s="285" t="s">
        <v>377</v>
      </c>
      <c r="NEI121" s="285" t="s">
        <v>376</v>
      </c>
      <c r="NEJ121" s="285" t="s">
        <v>377</v>
      </c>
      <c r="NEK121" s="285" t="s">
        <v>376</v>
      </c>
      <c r="NEL121" s="285" t="s">
        <v>377</v>
      </c>
      <c r="NEM121" s="285" t="s">
        <v>376</v>
      </c>
      <c r="NEN121" s="285" t="s">
        <v>377</v>
      </c>
      <c r="NEO121" s="285" t="s">
        <v>376</v>
      </c>
      <c r="NEP121" s="285" t="s">
        <v>377</v>
      </c>
      <c r="NEQ121" s="285" t="s">
        <v>376</v>
      </c>
      <c r="NER121" s="285" t="s">
        <v>377</v>
      </c>
      <c r="NES121" s="285" t="s">
        <v>376</v>
      </c>
      <c r="NET121" s="285" t="s">
        <v>377</v>
      </c>
      <c r="NEU121" s="285" t="s">
        <v>376</v>
      </c>
      <c r="NEV121" s="285" t="s">
        <v>377</v>
      </c>
      <c r="NEW121" s="285" t="s">
        <v>376</v>
      </c>
      <c r="NEX121" s="285" t="s">
        <v>377</v>
      </c>
      <c r="NEY121" s="285" t="s">
        <v>376</v>
      </c>
      <c r="NEZ121" s="285" t="s">
        <v>377</v>
      </c>
      <c r="NFA121" s="285" t="s">
        <v>376</v>
      </c>
      <c r="NFB121" s="285" t="s">
        <v>377</v>
      </c>
      <c r="NFC121" s="285" t="s">
        <v>376</v>
      </c>
      <c r="NFD121" s="285" t="s">
        <v>377</v>
      </c>
      <c r="NFE121" s="285" t="s">
        <v>376</v>
      </c>
      <c r="NFF121" s="285" t="s">
        <v>377</v>
      </c>
      <c r="NFG121" s="285" t="s">
        <v>376</v>
      </c>
      <c r="NFH121" s="285" t="s">
        <v>377</v>
      </c>
      <c r="NFI121" s="285" t="s">
        <v>376</v>
      </c>
      <c r="NFJ121" s="285" t="s">
        <v>377</v>
      </c>
      <c r="NFK121" s="285" t="s">
        <v>376</v>
      </c>
      <c r="NFL121" s="285" t="s">
        <v>377</v>
      </c>
      <c r="NFM121" s="285" t="s">
        <v>376</v>
      </c>
      <c r="NFN121" s="285" t="s">
        <v>377</v>
      </c>
      <c r="NFO121" s="285" t="s">
        <v>376</v>
      </c>
      <c r="NFP121" s="285" t="s">
        <v>377</v>
      </c>
      <c r="NFQ121" s="285" t="s">
        <v>376</v>
      </c>
      <c r="NFR121" s="285" t="s">
        <v>377</v>
      </c>
      <c r="NFS121" s="285" t="s">
        <v>376</v>
      </c>
      <c r="NFT121" s="285" t="s">
        <v>377</v>
      </c>
      <c r="NFU121" s="285" t="s">
        <v>376</v>
      </c>
      <c r="NFV121" s="285" t="s">
        <v>377</v>
      </c>
      <c r="NFW121" s="285" t="s">
        <v>376</v>
      </c>
      <c r="NFX121" s="285" t="s">
        <v>377</v>
      </c>
      <c r="NFY121" s="285" t="s">
        <v>376</v>
      </c>
      <c r="NFZ121" s="285" t="s">
        <v>377</v>
      </c>
      <c r="NGA121" s="285" t="s">
        <v>376</v>
      </c>
      <c r="NGB121" s="285" t="s">
        <v>377</v>
      </c>
      <c r="NGC121" s="285" t="s">
        <v>376</v>
      </c>
      <c r="NGD121" s="285" t="s">
        <v>377</v>
      </c>
      <c r="NGE121" s="285" t="s">
        <v>376</v>
      </c>
      <c r="NGF121" s="285" t="s">
        <v>377</v>
      </c>
      <c r="NGG121" s="285" t="s">
        <v>376</v>
      </c>
      <c r="NGH121" s="285" t="s">
        <v>377</v>
      </c>
      <c r="NGI121" s="285" t="s">
        <v>376</v>
      </c>
      <c r="NGJ121" s="285" t="s">
        <v>377</v>
      </c>
      <c r="NGK121" s="285" t="s">
        <v>376</v>
      </c>
      <c r="NGL121" s="285" t="s">
        <v>377</v>
      </c>
      <c r="NGM121" s="285" t="s">
        <v>376</v>
      </c>
      <c r="NGN121" s="285" t="s">
        <v>377</v>
      </c>
      <c r="NGO121" s="285" t="s">
        <v>376</v>
      </c>
      <c r="NGP121" s="285" t="s">
        <v>377</v>
      </c>
      <c r="NGQ121" s="285" t="s">
        <v>376</v>
      </c>
      <c r="NGR121" s="285" t="s">
        <v>377</v>
      </c>
      <c r="NGS121" s="285" t="s">
        <v>376</v>
      </c>
      <c r="NGT121" s="285" t="s">
        <v>377</v>
      </c>
      <c r="NGU121" s="285" t="s">
        <v>376</v>
      </c>
      <c r="NGV121" s="285" t="s">
        <v>377</v>
      </c>
      <c r="NGW121" s="285" t="s">
        <v>376</v>
      </c>
      <c r="NGX121" s="285" t="s">
        <v>377</v>
      </c>
      <c r="NGY121" s="285" t="s">
        <v>376</v>
      </c>
      <c r="NGZ121" s="285" t="s">
        <v>377</v>
      </c>
      <c r="NHA121" s="285" t="s">
        <v>376</v>
      </c>
      <c r="NHB121" s="285" t="s">
        <v>377</v>
      </c>
      <c r="NHC121" s="285" t="s">
        <v>376</v>
      </c>
      <c r="NHD121" s="285" t="s">
        <v>377</v>
      </c>
      <c r="NHE121" s="285" t="s">
        <v>376</v>
      </c>
      <c r="NHF121" s="285" t="s">
        <v>377</v>
      </c>
      <c r="NHG121" s="285" t="s">
        <v>376</v>
      </c>
      <c r="NHH121" s="285" t="s">
        <v>377</v>
      </c>
      <c r="NHI121" s="285" t="s">
        <v>376</v>
      </c>
      <c r="NHJ121" s="285" t="s">
        <v>377</v>
      </c>
      <c r="NHK121" s="285" t="s">
        <v>376</v>
      </c>
      <c r="NHL121" s="285" t="s">
        <v>377</v>
      </c>
      <c r="NHM121" s="285" t="s">
        <v>376</v>
      </c>
      <c r="NHN121" s="285" t="s">
        <v>377</v>
      </c>
      <c r="NHO121" s="285" t="s">
        <v>376</v>
      </c>
      <c r="NHP121" s="285" t="s">
        <v>377</v>
      </c>
      <c r="NHQ121" s="285" t="s">
        <v>376</v>
      </c>
      <c r="NHR121" s="285" t="s">
        <v>377</v>
      </c>
      <c r="NHS121" s="285" t="s">
        <v>376</v>
      </c>
      <c r="NHT121" s="285" t="s">
        <v>377</v>
      </c>
      <c r="NHU121" s="285" t="s">
        <v>376</v>
      </c>
      <c r="NHV121" s="285" t="s">
        <v>377</v>
      </c>
      <c r="NHW121" s="285" t="s">
        <v>376</v>
      </c>
      <c r="NHX121" s="285" t="s">
        <v>377</v>
      </c>
      <c r="NHY121" s="285" t="s">
        <v>376</v>
      </c>
      <c r="NHZ121" s="285" t="s">
        <v>377</v>
      </c>
      <c r="NIA121" s="285" t="s">
        <v>376</v>
      </c>
      <c r="NIB121" s="285" t="s">
        <v>377</v>
      </c>
      <c r="NIC121" s="285" t="s">
        <v>376</v>
      </c>
      <c r="NID121" s="285" t="s">
        <v>377</v>
      </c>
      <c r="NIE121" s="285" t="s">
        <v>376</v>
      </c>
      <c r="NIF121" s="285" t="s">
        <v>377</v>
      </c>
      <c r="NIG121" s="285" t="s">
        <v>376</v>
      </c>
      <c r="NIH121" s="285" t="s">
        <v>377</v>
      </c>
      <c r="NII121" s="285" t="s">
        <v>376</v>
      </c>
      <c r="NIJ121" s="285" t="s">
        <v>377</v>
      </c>
      <c r="NIK121" s="285" t="s">
        <v>376</v>
      </c>
      <c r="NIL121" s="285" t="s">
        <v>377</v>
      </c>
      <c r="NIM121" s="285" t="s">
        <v>376</v>
      </c>
      <c r="NIN121" s="285" t="s">
        <v>377</v>
      </c>
      <c r="NIO121" s="285" t="s">
        <v>376</v>
      </c>
      <c r="NIP121" s="285" t="s">
        <v>377</v>
      </c>
      <c r="NIQ121" s="285" t="s">
        <v>376</v>
      </c>
      <c r="NIR121" s="285" t="s">
        <v>377</v>
      </c>
      <c r="NIS121" s="285" t="s">
        <v>376</v>
      </c>
      <c r="NIT121" s="285" t="s">
        <v>377</v>
      </c>
      <c r="NIU121" s="285" t="s">
        <v>376</v>
      </c>
      <c r="NIV121" s="285" t="s">
        <v>377</v>
      </c>
      <c r="NIW121" s="285" t="s">
        <v>376</v>
      </c>
      <c r="NIX121" s="285" t="s">
        <v>377</v>
      </c>
      <c r="NIY121" s="285" t="s">
        <v>376</v>
      </c>
      <c r="NIZ121" s="285" t="s">
        <v>377</v>
      </c>
      <c r="NJA121" s="285" t="s">
        <v>376</v>
      </c>
      <c r="NJB121" s="285" t="s">
        <v>377</v>
      </c>
      <c r="NJC121" s="285" t="s">
        <v>376</v>
      </c>
      <c r="NJD121" s="285" t="s">
        <v>377</v>
      </c>
      <c r="NJE121" s="285" t="s">
        <v>376</v>
      </c>
      <c r="NJF121" s="285" t="s">
        <v>377</v>
      </c>
      <c r="NJG121" s="285" t="s">
        <v>376</v>
      </c>
      <c r="NJH121" s="285" t="s">
        <v>377</v>
      </c>
      <c r="NJI121" s="285" t="s">
        <v>376</v>
      </c>
      <c r="NJJ121" s="285" t="s">
        <v>377</v>
      </c>
      <c r="NJK121" s="285" t="s">
        <v>376</v>
      </c>
      <c r="NJL121" s="285" t="s">
        <v>377</v>
      </c>
      <c r="NJM121" s="285" t="s">
        <v>376</v>
      </c>
      <c r="NJN121" s="285" t="s">
        <v>377</v>
      </c>
      <c r="NJO121" s="285" t="s">
        <v>376</v>
      </c>
      <c r="NJP121" s="285" t="s">
        <v>377</v>
      </c>
      <c r="NJQ121" s="285" t="s">
        <v>376</v>
      </c>
      <c r="NJR121" s="285" t="s">
        <v>377</v>
      </c>
      <c r="NJS121" s="285" t="s">
        <v>376</v>
      </c>
      <c r="NJT121" s="285" t="s">
        <v>377</v>
      </c>
      <c r="NJU121" s="285" t="s">
        <v>376</v>
      </c>
      <c r="NJV121" s="285" t="s">
        <v>377</v>
      </c>
      <c r="NJW121" s="285" t="s">
        <v>376</v>
      </c>
      <c r="NJX121" s="285" t="s">
        <v>377</v>
      </c>
      <c r="NJY121" s="285" t="s">
        <v>376</v>
      </c>
      <c r="NJZ121" s="285" t="s">
        <v>377</v>
      </c>
      <c r="NKA121" s="285" t="s">
        <v>376</v>
      </c>
      <c r="NKB121" s="285" t="s">
        <v>377</v>
      </c>
      <c r="NKC121" s="285" t="s">
        <v>376</v>
      </c>
      <c r="NKD121" s="285" t="s">
        <v>377</v>
      </c>
      <c r="NKE121" s="285" t="s">
        <v>376</v>
      </c>
      <c r="NKF121" s="285" t="s">
        <v>377</v>
      </c>
      <c r="NKG121" s="285" t="s">
        <v>376</v>
      </c>
      <c r="NKH121" s="285" t="s">
        <v>377</v>
      </c>
      <c r="NKI121" s="285" t="s">
        <v>376</v>
      </c>
      <c r="NKJ121" s="285" t="s">
        <v>377</v>
      </c>
      <c r="NKK121" s="285" t="s">
        <v>376</v>
      </c>
      <c r="NKL121" s="285" t="s">
        <v>377</v>
      </c>
      <c r="NKM121" s="285" t="s">
        <v>376</v>
      </c>
      <c r="NKN121" s="285" t="s">
        <v>377</v>
      </c>
      <c r="NKO121" s="285" t="s">
        <v>376</v>
      </c>
      <c r="NKP121" s="285" t="s">
        <v>377</v>
      </c>
      <c r="NKQ121" s="285" t="s">
        <v>376</v>
      </c>
      <c r="NKR121" s="285" t="s">
        <v>377</v>
      </c>
      <c r="NKS121" s="285" t="s">
        <v>376</v>
      </c>
      <c r="NKT121" s="285" t="s">
        <v>377</v>
      </c>
      <c r="NKU121" s="285" t="s">
        <v>376</v>
      </c>
      <c r="NKV121" s="285" t="s">
        <v>377</v>
      </c>
      <c r="NKW121" s="285" t="s">
        <v>376</v>
      </c>
      <c r="NKX121" s="285" t="s">
        <v>377</v>
      </c>
      <c r="NKY121" s="285" t="s">
        <v>376</v>
      </c>
      <c r="NKZ121" s="285" t="s">
        <v>377</v>
      </c>
      <c r="NLA121" s="285" t="s">
        <v>376</v>
      </c>
      <c r="NLB121" s="285" t="s">
        <v>377</v>
      </c>
      <c r="NLC121" s="285" t="s">
        <v>376</v>
      </c>
      <c r="NLD121" s="285" t="s">
        <v>377</v>
      </c>
      <c r="NLE121" s="285" t="s">
        <v>376</v>
      </c>
      <c r="NLF121" s="285" t="s">
        <v>377</v>
      </c>
      <c r="NLG121" s="285" t="s">
        <v>376</v>
      </c>
      <c r="NLH121" s="285" t="s">
        <v>377</v>
      </c>
      <c r="NLI121" s="285" t="s">
        <v>376</v>
      </c>
      <c r="NLJ121" s="285" t="s">
        <v>377</v>
      </c>
      <c r="NLK121" s="285" t="s">
        <v>376</v>
      </c>
      <c r="NLL121" s="285" t="s">
        <v>377</v>
      </c>
      <c r="NLM121" s="285" t="s">
        <v>376</v>
      </c>
      <c r="NLN121" s="285" t="s">
        <v>377</v>
      </c>
      <c r="NLO121" s="285" t="s">
        <v>376</v>
      </c>
      <c r="NLP121" s="285" t="s">
        <v>377</v>
      </c>
      <c r="NLQ121" s="285" t="s">
        <v>376</v>
      </c>
      <c r="NLR121" s="285" t="s">
        <v>377</v>
      </c>
      <c r="NLS121" s="285" t="s">
        <v>376</v>
      </c>
      <c r="NLT121" s="285" t="s">
        <v>377</v>
      </c>
      <c r="NLU121" s="285" t="s">
        <v>376</v>
      </c>
      <c r="NLV121" s="285" t="s">
        <v>377</v>
      </c>
      <c r="NLW121" s="285" t="s">
        <v>376</v>
      </c>
      <c r="NLX121" s="285" t="s">
        <v>377</v>
      </c>
      <c r="NLY121" s="285" t="s">
        <v>376</v>
      </c>
      <c r="NLZ121" s="285" t="s">
        <v>377</v>
      </c>
      <c r="NMA121" s="285" t="s">
        <v>376</v>
      </c>
      <c r="NMB121" s="285" t="s">
        <v>377</v>
      </c>
      <c r="NMC121" s="285" t="s">
        <v>376</v>
      </c>
      <c r="NMD121" s="285" t="s">
        <v>377</v>
      </c>
      <c r="NME121" s="285" t="s">
        <v>376</v>
      </c>
      <c r="NMF121" s="285" t="s">
        <v>377</v>
      </c>
      <c r="NMG121" s="285" t="s">
        <v>376</v>
      </c>
      <c r="NMH121" s="285" t="s">
        <v>377</v>
      </c>
      <c r="NMI121" s="285" t="s">
        <v>376</v>
      </c>
      <c r="NMJ121" s="285" t="s">
        <v>377</v>
      </c>
      <c r="NMK121" s="285" t="s">
        <v>376</v>
      </c>
      <c r="NML121" s="285" t="s">
        <v>377</v>
      </c>
      <c r="NMM121" s="285" t="s">
        <v>376</v>
      </c>
      <c r="NMN121" s="285" t="s">
        <v>377</v>
      </c>
      <c r="NMO121" s="285" t="s">
        <v>376</v>
      </c>
      <c r="NMP121" s="285" t="s">
        <v>377</v>
      </c>
      <c r="NMQ121" s="285" t="s">
        <v>376</v>
      </c>
      <c r="NMR121" s="285" t="s">
        <v>377</v>
      </c>
      <c r="NMS121" s="285" t="s">
        <v>376</v>
      </c>
      <c r="NMT121" s="285" t="s">
        <v>377</v>
      </c>
      <c r="NMU121" s="285" t="s">
        <v>376</v>
      </c>
      <c r="NMV121" s="285" t="s">
        <v>377</v>
      </c>
      <c r="NMW121" s="285" t="s">
        <v>376</v>
      </c>
      <c r="NMX121" s="285" t="s">
        <v>377</v>
      </c>
      <c r="NMY121" s="285" t="s">
        <v>376</v>
      </c>
      <c r="NMZ121" s="285" t="s">
        <v>377</v>
      </c>
      <c r="NNA121" s="285" t="s">
        <v>376</v>
      </c>
      <c r="NNB121" s="285" t="s">
        <v>377</v>
      </c>
      <c r="NNC121" s="285" t="s">
        <v>376</v>
      </c>
      <c r="NND121" s="285" t="s">
        <v>377</v>
      </c>
      <c r="NNE121" s="285" t="s">
        <v>376</v>
      </c>
      <c r="NNF121" s="285" t="s">
        <v>377</v>
      </c>
      <c r="NNG121" s="285" t="s">
        <v>376</v>
      </c>
      <c r="NNH121" s="285" t="s">
        <v>377</v>
      </c>
      <c r="NNI121" s="285" t="s">
        <v>376</v>
      </c>
      <c r="NNJ121" s="285" t="s">
        <v>377</v>
      </c>
      <c r="NNK121" s="285" t="s">
        <v>376</v>
      </c>
      <c r="NNL121" s="285" t="s">
        <v>377</v>
      </c>
      <c r="NNM121" s="285" t="s">
        <v>376</v>
      </c>
      <c r="NNN121" s="285" t="s">
        <v>377</v>
      </c>
      <c r="NNO121" s="285" t="s">
        <v>376</v>
      </c>
      <c r="NNP121" s="285" t="s">
        <v>377</v>
      </c>
      <c r="NNQ121" s="285" t="s">
        <v>376</v>
      </c>
      <c r="NNR121" s="285" t="s">
        <v>377</v>
      </c>
      <c r="NNS121" s="285" t="s">
        <v>376</v>
      </c>
      <c r="NNT121" s="285" t="s">
        <v>377</v>
      </c>
      <c r="NNU121" s="285" t="s">
        <v>376</v>
      </c>
      <c r="NNV121" s="285" t="s">
        <v>377</v>
      </c>
      <c r="NNW121" s="285" t="s">
        <v>376</v>
      </c>
      <c r="NNX121" s="285" t="s">
        <v>377</v>
      </c>
      <c r="NNY121" s="285" t="s">
        <v>376</v>
      </c>
      <c r="NNZ121" s="285" t="s">
        <v>377</v>
      </c>
      <c r="NOA121" s="285" t="s">
        <v>376</v>
      </c>
      <c r="NOB121" s="285" t="s">
        <v>377</v>
      </c>
      <c r="NOC121" s="285" t="s">
        <v>376</v>
      </c>
      <c r="NOD121" s="285" t="s">
        <v>377</v>
      </c>
      <c r="NOE121" s="285" t="s">
        <v>376</v>
      </c>
      <c r="NOF121" s="285" t="s">
        <v>377</v>
      </c>
      <c r="NOG121" s="285" t="s">
        <v>376</v>
      </c>
      <c r="NOH121" s="285" t="s">
        <v>377</v>
      </c>
      <c r="NOI121" s="285" t="s">
        <v>376</v>
      </c>
      <c r="NOJ121" s="285" t="s">
        <v>377</v>
      </c>
      <c r="NOK121" s="285" t="s">
        <v>376</v>
      </c>
      <c r="NOL121" s="285" t="s">
        <v>377</v>
      </c>
      <c r="NOM121" s="285" t="s">
        <v>376</v>
      </c>
      <c r="NON121" s="285" t="s">
        <v>377</v>
      </c>
      <c r="NOO121" s="285" t="s">
        <v>376</v>
      </c>
      <c r="NOP121" s="285" t="s">
        <v>377</v>
      </c>
      <c r="NOQ121" s="285" t="s">
        <v>376</v>
      </c>
      <c r="NOR121" s="285" t="s">
        <v>377</v>
      </c>
      <c r="NOS121" s="285" t="s">
        <v>376</v>
      </c>
      <c r="NOT121" s="285" t="s">
        <v>377</v>
      </c>
      <c r="NOU121" s="285" t="s">
        <v>376</v>
      </c>
      <c r="NOV121" s="285" t="s">
        <v>377</v>
      </c>
      <c r="NOW121" s="285" t="s">
        <v>376</v>
      </c>
      <c r="NOX121" s="285" t="s">
        <v>377</v>
      </c>
      <c r="NOY121" s="285" t="s">
        <v>376</v>
      </c>
      <c r="NOZ121" s="285" t="s">
        <v>377</v>
      </c>
      <c r="NPA121" s="285" t="s">
        <v>376</v>
      </c>
      <c r="NPB121" s="285" t="s">
        <v>377</v>
      </c>
      <c r="NPC121" s="285" t="s">
        <v>376</v>
      </c>
      <c r="NPD121" s="285" t="s">
        <v>377</v>
      </c>
      <c r="NPE121" s="285" t="s">
        <v>376</v>
      </c>
      <c r="NPF121" s="285" t="s">
        <v>377</v>
      </c>
      <c r="NPG121" s="285" t="s">
        <v>376</v>
      </c>
      <c r="NPH121" s="285" t="s">
        <v>377</v>
      </c>
      <c r="NPI121" s="285" t="s">
        <v>376</v>
      </c>
      <c r="NPJ121" s="285" t="s">
        <v>377</v>
      </c>
      <c r="NPK121" s="285" t="s">
        <v>376</v>
      </c>
      <c r="NPL121" s="285" t="s">
        <v>377</v>
      </c>
      <c r="NPM121" s="285" t="s">
        <v>376</v>
      </c>
      <c r="NPN121" s="285" t="s">
        <v>377</v>
      </c>
      <c r="NPO121" s="285" t="s">
        <v>376</v>
      </c>
      <c r="NPP121" s="285" t="s">
        <v>377</v>
      </c>
      <c r="NPQ121" s="285" t="s">
        <v>376</v>
      </c>
      <c r="NPR121" s="285" t="s">
        <v>377</v>
      </c>
      <c r="NPS121" s="285" t="s">
        <v>376</v>
      </c>
      <c r="NPT121" s="285" t="s">
        <v>377</v>
      </c>
      <c r="NPU121" s="285" t="s">
        <v>376</v>
      </c>
      <c r="NPV121" s="285" t="s">
        <v>377</v>
      </c>
      <c r="NPW121" s="285" t="s">
        <v>376</v>
      </c>
      <c r="NPX121" s="285" t="s">
        <v>377</v>
      </c>
      <c r="NPY121" s="285" t="s">
        <v>376</v>
      </c>
      <c r="NPZ121" s="285" t="s">
        <v>377</v>
      </c>
      <c r="NQA121" s="285" t="s">
        <v>376</v>
      </c>
      <c r="NQB121" s="285" t="s">
        <v>377</v>
      </c>
      <c r="NQC121" s="285" t="s">
        <v>376</v>
      </c>
      <c r="NQD121" s="285" t="s">
        <v>377</v>
      </c>
      <c r="NQE121" s="285" t="s">
        <v>376</v>
      </c>
      <c r="NQF121" s="285" t="s">
        <v>377</v>
      </c>
      <c r="NQG121" s="285" t="s">
        <v>376</v>
      </c>
      <c r="NQH121" s="285" t="s">
        <v>377</v>
      </c>
      <c r="NQI121" s="285" t="s">
        <v>376</v>
      </c>
      <c r="NQJ121" s="285" t="s">
        <v>377</v>
      </c>
      <c r="NQK121" s="285" t="s">
        <v>376</v>
      </c>
      <c r="NQL121" s="285" t="s">
        <v>377</v>
      </c>
      <c r="NQM121" s="285" t="s">
        <v>376</v>
      </c>
      <c r="NQN121" s="285" t="s">
        <v>377</v>
      </c>
      <c r="NQO121" s="285" t="s">
        <v>376</v>
      </c>
      <c r="NQP121" s="285" t="s">
        <v>377</v>
      </c>
      <c r="NQQ121" s="285" t="s">
        <v>376</v>
      </c>
      <c r="NQR121" s="285" t="s">
        <v>377</v>
      </c>
      <c r="NQS121" s="285" t="s">
        <v>376</v>
      </c>
      <c r="NQT121" s="285" t="s">
        <v>377</v>
      </c>
      <c r="NQU121" s="285" t="s">
        <v>376</v>
      </c>
      <c r="NQV121" s="285" t="s">
        <v>377</v>
      </c>
      <c r="NQW121" s="285" t="s">
        <v>376</v>
      </c>
      <c r="NQX121" s="285" t="s">
        <v>377</v>
      </c>
      <c r="NQY121" s="285" t="s">
        <v>376</v>
      </c>
      <c r="NQZ121" s="285" t="s">
        <v>377</v>
      </c>
      <c r="NRA121" s="285" t="s">
        <v>376</v>
      </c>
      <c r="NRB121" s="285" t="s">
        <v>377</v>
      </c>
      <c r="NRC121" s="285" t="s">
        <v>376</v>
      </c>
      <c r="NRD121" s="285" t="s">
        <v>377</v>
      </c>
      <c r="NRE121" s="285" t="s">
        <v>376</v>
      </c>
      <c r="NRF121" s="285" t="s">
        <v>377</v>
      </c>
      <c r="NRG121" s="285" t="s">
        <v>376</v>
      </c>
      <c r="NRH121" s="285" t="s">
        <v>377</v>
      </c>
      <c r="NRI121" s="285" t="s">
        <v>376</v>
      </c>
      <c r="NRJ121" s="285" t="s">
        <v>377</v>
      </c>
      <c r="NRK121" s="285" t="s">
        <v>376</v>
      </c>
      <c r="NRL121" s="285" t="s">
        <v>377</v>
      </c>
      <c r="NRM121" s="285" t="s">
        <v>376</v>
      </c>
      <c r="NRN121" s="285" t="s">
        <v>377</v>
      </c>
      <c r="NRO121" s="285" t="s">
        <v>376</v>
      </c>
      <c r="NRP121" s="285" t="s">
        <v>377</v>
      </c>
      <c r="NRQ121" s="285" t="s">
        <v>376</v>
      </c>
      <c r="NRR121" s="285" t="s">
        <v>377</v>
      </c>
      <c r="NRS121" s="285" t="s">
        <v>376</v>
      </c>
      <c r="NRT121" s="285" t="s">
        <v>377</v>
      </c>
      <c r="NRU121" s="285" t="s">
        <v>376</v>
      </c>
      <c r="NRV121" s="285" t="s">
        <v>377</v>
      </c>
      <c r="NRW121" s="285" t="s">
        <v>376</v>
      </c>
      <c r="NRX121" s="285" t="s">
        <v>377</v>
      </c>
      <c r="NRY121" s="285" t="s">
        <v>376</v>
      </c>
      <c r="NRZ121" s="285" t="s">
        <v>377</v>
      </c>
      <c r="NSA121" s="285" t="s">
        <v>376</v>
      </c>
      <c r="NSB121" s="285" t="s">
        <v>377</v>
      </c>
      <c r="NSC121" s="285" t="s">
        <v>376</v>
      </c>
      <c r="NSD121" s="285" t="s">
        <v>377</v>
      </c>
      <c r="NSE121" s="285" t="s">
        <v>376</v>
      </c>
      <c r="NSF121" s="285" t="s">
        <v>377</v>
      </c>
      <c r="NSG121" s="285" t="s">
        <v>376</v>
      </c>
      <c r="NSH121" s="285" t="s">
        <v>377</v>
      </c>
      <c r="NSI121" s="285" t="s">
        <v>376</v>
      </c>
      <c r="NSJ121" s="285" t="s">
        <v>377</v>
      </c>
      <c r="NSK121" s="285" t="s">
        <v>376</v>
      </c>
      <c r="NSL121" s="285" t="s">
        <v>377</v>
      </c>
      <c r="NSM121" s="285" t="s">
        <v>376</v>
      </c>
      <c r="NSN121" s="285" t="s">
        <v>377</v>
      </c>
      <c r="NSO121" s="285" t="s">
        <v>376</v>
      </c>
      <c r="NSP121" s="285" t="s">
        <v>377</v>
      </c>
      <c r="NSQ121" s="285" t="s">
        <v>376</v>
      </c>
      <c r="NSR121" s="285" t="s">
        <v>377</v>
      </c>
      <c r="NSS121" s="285" t="s">
        <v>376</v>
      </c>
      <c r="NST121" s="285" t="s">
        <v>377</v>
      </c>
      <c r="NSU121" s="285" t="s">
        <v>376</v>
      </c>
      <c r="NSV121" s="285" t="s">
        <v>377</v>
      </c>
      <c r="NSW121" s="285" t="s">
        <v>376</v>
      </c>
      <c r="NSX121" s="285" t="s">
        <v>377</v>
      </c>
      <c r="NSY121" s="285" t="s">
        <v>376</v>
      </c>
      <c r="NSZ121" s="285" t="s">
        <v>377</v>
      </c>
      <c r="NTA121" s="285" t="s">
        <v>376</v>
      </c>
      <c r="NTB121" s="285" t="s">
        <v>377</v>
      </c>
      <c r="NTC121" s="285" t="s">
        <v>376</v>
      </c>
      <c r="NTD121" s="285" t="s">
        <v>377</v>
      </c>
      <c r="NTE121" s="285" t="s">
        <v>376</v>
      </c>
      <c r="NTF121" s="285" t="s">
        <v>377</v>
      </c>
      <c r="NTG121" s="285" t="s">
        <v>376</v>
      </c>
      <c r="NTH121" s="285" t="s">
        <v>377</v>
      </c>
      <c r="NTI121" s="285" t="s">
        <v>376</v>
      </c>
      <c r="NTJ121" s="285" t="s">
        <v>377</v>
      </c>
      <c r="NTK121" s="285" t="s">
        <v>376</v>
      </c>
      <c r="NTL121" s="285" t="s">
        <v>377</v>
      </c>
      <c r="NTM121" s="285" t="s">
        <v>376</v>
      </c>
      <c r="NTN121" s="285" t="s">
        <v>377</v>
      </c>
      <c r="NTO121" s="285" t="s">
        <v>376</v>
      </c>
      <c r="NTP121" s="285" t="s">
        <v>377</v>
      </c>
      <c r="NTQ121" s="285" t="s">
        <v>376</v>
      </c>
      <c r="NTR121" s="285" t="s">
        <v>377</v>
      </c>
      <c r="NTS121" s="285" t="s">
        <v>376</v>
      </c>
      <c r="NTT121" s="285" t="s">
        <v>377</v>
      </c>
      <c r="NTU121" s="285" t="s">
        <v>376</v>
      </c>
      <c r="NTV121" s="285" t="s">
        <v>377</v>
      </c>
      <c r="NTW121" s="285" t="s">
        <v>376</v>
      </c>
      <c r="NTX121" s="285" t="s">
        <v>377</v>
      </c>
      <c r="NTY121" s="285" t="s">
        <v>376</v>
      </c>
      <c r="NTZ121" s="285" t="s">
        <v>377</v>
      </c>
      <c r="NUA121" s="285" t="s">
        <v>376</v>
      </c>
      <c r="NUB121" s="285" t="s">
        <v>377</v>
      </c>
      <c r="NUC121" s="285" t="s">
        <v>376</v>
      </c>
      <c r="NUD121" s="285" t="s">
        <v>377</v>
      </c>
      <c r="NUE121" s="285" t="s">
        <v>376</v>
      </c>
      <c r="NUF121" s="285" t="s">
        <v>377</v>
      </c>
      <c r="NUG121" s="285" t="s">
        <v>376</v>
      </c>
      <c r="NUH121" s="285" t="s">
        <v>377</v>
      </c>
      <c r="NUI121" s="285" t="s">
        <v>376</v>
      </c>
      <c r="NUJ121" s="285" t="s">
        <v>377</v>
      </c>
      <c r="NUK121" s="285" t="s">
        <v>376</v>
      </c>
      <c r="NUL121" s="285" t="s">
        <v>377</v>
      </c>
      <c r="NUM121" s="285" t="s">
        <v>376</v>
      </c>
      <c r="NUN121" s="285" t="s">
        <v>377</v>
      </c>
      <c r="NUO121" s="285" t="s">
        <v>376</v>
      </c>
      <c r="NUP121" s="285" t="s">
        <v>377</v>
      </c>
      <c r="NUQ121" s="285" t="s">
        <v>376</v>
      </c>
      <c r="NUR121" s="285" t="s">
        <v>377</v>
      </c>
      <c r="NUS121" s="285" t="s">
        <v>376</v>
      </c>
      <c r="NUT121" s="285" t="s">
        <v>377</v>
      </c>
      <c r="NUU121" s="285" t="s">
        <v>376</v>
      </c>
      <c r="NUV121" s="285" t="s">
        <v>377</v>
      </c>
      <c r="NUW121" s="285" t="s">
        <v>376</v>
      </c>
      <c r="NUX121" s="285" t="s">
        <v>377</v>
      </c>
      <c r="NUY121" s="285" t="s">
        <v>376</v>
      </c>
      <c r="NUZ121" s="285" t="s">
        <v>377</v>
      </c>
      <c r="NVA121" s="285" t="s">
        <v>376</v>
      </c>
      <c r="NVB121" s="285" t="s">
        <v>377</v>
      </c>
      <c r="NVC121" s="285" t="s">
        <v>376</v>
      </c>
      <c r="NVD121" s="285" t="s">
        <v>377</v>
      </c>
      <c r="NVE121" s="285" t="s">
        <v>376</v>
      </c>
      <c r="NVF121" s="285" t="s">
        <v>377</v>
      </c>
      <c r="NVG121" s="285" t="s">
        <v>376</v>
      </c>
      <c r="NVH121" s="285" t="s">
        <v>377</v>
      </c>
      <c r="NVI121" s="285" t="s">
        <v>376</v>
      </c>
      <c r="NVJ121" s="285" t="s">
        <v>377</v>
      </c>
      <c r="NVK121" s="285" t="s">
        <v>376</v>
      </c>
      <c r="NVL121" s="285" t="s">
        <v>377</v>
      </c>
      <c r="NVM121" s="285" t="s">
        <v>376</v>
      </c>
      <c r="NVN121" s="285" t="s">
        <v>377</v>
      </c>
      <c r="NVO121" s="285" t="s">
        <v>376</v>
      </c>
      <c r="NVP121" s="285" t="s">
        <v>377</v>
      </c>
      <c r="NVQ121" s="285" t="s">
        <v>376</v>
      </c>
      <c r="NVR121" s="285" t="s">
        <v>377</v>
      </c>
      <c r="NVS121" s="285" t="s">
        <v>376</v>
      </c>
      <c r="NVT121" s="285" t="s">
        <v>377</v>
      </c>
      <c r="NVU121" s="285" t="s">
        <v>376</v>
      </c>
      <c r="NVV121" s="285" t="s">
        <v>377</v>
      </c>
      <c r="NVW121" s="285" t="s">
        <v>376</v>
      </c>
      <c r="NVX121" s="285" t="s">
        <v>377</v>
      </c>
      <c r="NVY121" s="285" t="s">
        <v>376</v>
      </c>
      <c r="NVZ121" s="285" t="s">
        <v>377</v>
      </c>
      <c r="NWA121" s="285" t="s">
        <v>376</v>
      </c>
      <c r="NWB121" s="285" t="s">
        <v>377</v>
      </c>
      <c r="NWC121" s="285" t="s">
        <v>376</v>
      </c>
      <c r="NWD121" s="285" t="s">
        <v>377</v>
      </c>
      <c r="NWE121" s="285" t="s">
        <v>376</v>
      </c>
      <c r="NWF121" s="285" t="s">
        <v>377</v>
      </c>
      <c r="NWG121" s="285" t="s">
        <v>376</v>
      </c>
      <c r="NWH121" s="285" t="s">
        <v>377</v>
      </c>
      <c r="NWI121" s="285" t="s">
        <v>376</v>
      </c>
      <c r="NWJ121" s="285" t="s">
        <v>377</v>
      </c>
      <c r="NWK121" s="285" t="s">
        <v>376</v>
      </c>
      <c r="NWL121" s="285" t="s">
        <v>377</v>
      </c>
      <c r="NWM121" s="285" t="s">
        <v>376</v>
      </c>
      <c r="NWN121" s="285" t="s">
        <v>377</v>
      </c>
      <c r="NWO121" s="285" t="s">
        <v>376</v>
      </c>
      <c r="NWP121" s="285" t="s">
        <v>377</v>
      </c>
      <c r="NWQ121" s="285" t="s">
        <v>376</v>
      </c>
      <c r="NWR121" s="285" t="s">
        <v>377</v>
      </c>
      <c r="NWS121" s="285" t="s">
        <v>376</v>
      </c>
      <c r="NWT121" s="285" t="s">
        <v>377</v>
      </c>
      <c r="NWU121" s="285" t="s">
        <v>376</v>
      </c>
      <c r="NWV121" s="285" t="s">
        <v>377</v>
      </c>
      <c r="NWW121" s="285" t="s">
        <v>376</v>
      </c>
      <c r="NWX121" s="285" t="s">
        <v>377</v>
      </c>
      <c r="NWY121" s="285" t="s">
        <v>376</v>
      </c>
      <c r="NWZ121" s="285" t="s">
        <v>377</v>
      </c>
      <c r="NXA121" s="285" t="s">
        <v>376</v>
      </c>
      <c r="NXB121" s="285" t="s">
        <v>377</v>
      </c>
      <c r="NXC121" s="285" t="s">
        <v>376</v>
      </c>
      <c r="NXD121" s="285" t="s">
        <v>377</v>
      </c>
      <c r="NXE121" s="285" t="s">
        <v>376</v>
      </c>
      <c r="NXF121" s="285" t="s">
        <v>377</v>
      </c>
      <c r="NXG121" s="285" t="s">
        <v>376</v>
      </c>
      <c r="NXH121" s="285" t="s">
        <v>377</v>
      </c>
      <c r="NXI121" s="285" t="s">
        <v>376</v>
      </c>
      <c r="NXJ121" s="285" t="s">
        <v>377</v>
      </c>
      <c r="NXK121" s="285" t="s">
        <v>376</v>
      </c>
      <c r="NXL121" s="285" t="s">
        <v>377</v>
      </c>
      <c r="NXM121" s="285" t="s">
        <v>376</v>
      </c>
      <c r="NXN121" s="285" t="s">
        <v>377</v>
      </c>
      <c r="NXO121" s="285" t="s">
        <v>376</v>
      </c>
      <c r="NXP121" s="285" t="s">
        <v>377</v>
      </c>
      <c r="NXQ121" s="285" t="s">
        <v>376</v>
      </c>
      <c r="NXR121" s="285" t="s">
        <v>377</v>
      </c>
      <c r="NXS121" s="285" t="s">
        <v>376</v>
      </c>
      <c r="NXT121" s="285" t="s">
        <v>377</v>
      </c>
      <c r="NXU121" s="285" t="s">
        <v>376</v>
      </c>
      <c r="NXV121" s="285" t="s">
        <v>377</v>
      </c>
      <c r="NXW121" s="285" t="s">
        <v>376</v>
      </c>
      <c r="NXX121" s="285" t="s">
        <v>377</v>
      </c>
      <c r="NXY121" s="285" t="s">
        <v>376</v>
      </c>
      <c r="NXZ121" s="285" t="s">
        <v>377</v>
      </c>
      <c r="NYA121" s="285" t="s">
        <v>376</v>
      </c>
      <c r="NYB121" s="285" t="s">
        <v>377</v>
      </c>
      <c r="NYC121" s="285" t="s">
        <v>376</v>
      </c>
      <c r="NYD121" s="285" t="s">
        <v>377</v>
      </c>
      <c r="NYE121" s="285" t="s">
        <v>376</v>
      </c>
      <c r="NYF121" s="285" t="s">
        <v>377</v>
      </c>
      <c r="NYG121" s="285" t="s">
        <v>376</v>
      </c>
      <c r="NYH121" s="285" t="s">
        <v>377</v>
      </c>
      <c r="NYI121" s="285" t="s">
        <v>376</v>
      </c>
      <c r="NYJ121" s="285" t="s">
        <v>377</v>
      </c>
      <c r="NYK121" s="285" t="s">
        <v>376</v>
      </c>
      <c r="NYL121" s="285" t="s">
        <v>377</v>
      </c>
      <c r="NYM121" s="285" t="s">
        <v>376</v>
      </c>
      <c r="NYN121" s="285" t="s">
        <v>377</v>
      </c>
      <c r="NYO121" s="285" t="s">
        <v>376</v>
      </c>
      <c r="NYP121" s="285" t="s">
        <v>377</v>
      </c>
      <c r="NYQ121" s="285" t="s">
        <v>376</v>
      </c>
      <c r="NYR121" s="285" t="s">
        <v>377</v>
      </c>
      <c r="NYS121" s="285" t="s">
        <v>376</v>
      </c>
      <c r="NYT121" s="285" t="s">
        <v>377</v>
      </c>
      <c r="NYU121" s="285" t="s">
        <v>376</v>
      </c>
      <c r="NYV121" s="285" t="s">
        <v>377</v>
      </c>
      <c r="NYW121" s="285" t="s">
        <v>376</v>
      </c>
      <c r="NYX121" s="285" t="s">
        <v>377</v>
      </c>
      <c r="NYY121" s="285" t="s">
        <v>376</v>
      </c>
      <c r="NYZ121" s="285" t="s">
        <v>377</v>
      </c>
      <c r="NZA121" s="285" t="s">
        <v>376</v>
      </c>
      <c r="NZB121" s="285" t="s">
        <v>377</v>
      </c>
      <c r="NZC121" s="285" t="s">
        <v>376</v>
      </c>
      <c r="NZD121" s="285" t="s">
        <v>377</v>
      </c>
      <c r="NZE121" s="285" t="s">
        <v>376</v>
      </c>
      <c r="NZF121" s="285" t="s">
        <v>377</v>
      </c>
      <c r="NZG121" s="285" t="s">
        <v>376</v>
      </c>
      <c r="NZH121" s="285" t="s">
        <v>377</v>
      </c>
      <c r="NZI121" s="285" t="s">
        <v>376</v>
      </c>
      <c r="NZJ121" s="285" t="s">
        <v>377</v>
      </c>
      <c r="NZK121" s="285" t="s">
        <v>376</v>
      </c>
      <c r="NZL121" s="285" t="s">
        <v>377</v>
      </c>
      <c r="NZM121" s="285" t="s">
        <v>376</v>
      </c>
      <c r="NZN121" s="285" t="s">
        <v>377</v>
      </c>
      <c r="NZO121" s="285" t="s">
        <v>376</v>
      </c>
      <c r="NZP121" s="285" t="s">
        <v>377</v>
      </c>
      <c r="NZQ121" s="285" t="s">
        <v>376</v>
      </c>
      <c r="NZR121" s="285" t="s">
        <v>377</v>
      </c>
      <c r="NZS121" s="285" t="s">
        <v>376</v>
      </c>
      <c r="NZT121" s="285" t="s">
        <v>377</v>
      </c>
      <c r="NZU121" s="285" t="s">
        <v>376</v>
      </c>
      <c r="NZV121" s="285" t="s">
        <v>377</v>
      </c>
      <c r="NZW121" s="285" t="s">
        <v>376</v>
      </c>
      <c r="NZX121" s="285" t="s">
        <v>377</v>
      </c>
      <c r="NZY121" s="285" t="s">
        <v>376</v>
      </c>
      <c r="NZZ121" s="285" t="s">
        <v>377</v>
      </c>
      <c r="OAA121" s="285" t="s">
        <v>376</v>
      </c>
      <c r="OAB121" s="285" t="s">
        <v>377</v>
      </c>
      <c r="OAC121" s="285" t="s">
        <v>376</v>
      </c>
      <c r="OAD121" s="285" t="s">
        <v>377</v>
      </c>
      <c r="OAE121" s="285" t="s">
        <v>376</v>
      </c>
      <c r="OAF121" s="285" t="s">
        <v>377</v>
      </c>
      <c r="OAG121" s="285" t="s">
        <v>376</v>
      </c>
      <c r="OAH121" s="285" t="s">
        <v>377</v>
      </c>
      <c r="OAI121" s="285" t="s">
        <v>376</v>
      </c>
      <c r="OAJ121" s="285" t="s">
        <v>377</v>
      </c>
      <c r="OAK121" s="285" t="s">
        <v>376</v>
      </c>
      <c r="OAL121" s="285" t="s">
        <v>377</v>
      </c>
      <c r="OAM121" s="285" t="s">
        <v>376</v>
      </c>
      <c r="OAN121" s="285" t="s">
        <v>377</v>
      </c>
      <c r="OAO121" s="285" t="s">
        <v>376</v>
      </c>
      <c r="OAP121" s="285" t="s">
        <v>377</v>
      </c>
      <c r="OAQ121" s="285" t="s">
        <v>376</v>
      </c>
      <c r="OAR121" s="285" t="s">
        <v>377</v>
      </c>
      <c r="OAS121" s="285" t="s">
        <v>376</v>
      </c>
      <c r="OAT121" s="285" t="s">
        <v>377</v>
      </c>
      <c r="OAU121" s="285" t="s">
        <v>376</v>
      </c>
      <c r="OAV121" s="285" t="s">
        <v>377</v>
      </c>
      <c r="OAW121" s="285" t="s">
        <v>376</v>
      </c>
      <c r="OAX121" s="285" t="s">
        <v>377</v>
      </c>
      <c r="OAY121" s="285" t="s">
        <v>376</v>
      </c>
      <c r="OAZ121" s="285" t="s">
        <v>377</v>
      </c>
      <c r="OBA121" s="285" t="s">
        <v>376</v>
      </c>
      <c r="OBB121" s="285" t="s">
        <v>377</v>
      </c>
      <c r="OBC121" s="285" t="s">
        <v>376</v>
      </c>
      <c r="OBD121" s="285" t="s">
        <v>377</v>
      </c>
      <c r="OBE121" s="285" t="s">
        <v>376</v>
      </c>
      <c r="OBF121" s="285" t="s">
        <v>377</v>
      </c>
      <c r="OBG121" s="285" t="s">
        <v>376</v>
      </c>
      <c r="OBH121" s="285" t="s">
        <v>377</v>
      </c>
      <c r="OBI121" s="285" t="s">
        <v>376</v>
      </c>
      <c r="OBJ121" s="285" t="s">
        <v>377</v>
      </c>
      <c r="OBK121" s="285" t="s">
        <v>376</v>
      </c>
      <c r="OBL121" s="285" t="s">
        <v>377</v>
      </c>
      <c r="OBM121" s="285" t="s">
        <v>376</v>
      </c>
      <c r="OBN121" s="285" t="s">
        <v>377</v>
      </c>
      <c r="OBO121" s="285" t="s">
        <v>376</v>
      </c>
      <c r="OBP121" s="285" t="s">
        <v>377</v>
      </c>
      <c r="OBQ121" s="285" t="s">
        <v>376</v>
      </c>
      <c r="OBR121" s="285" t="s">
        <v>377</v>
      </c>
      <c r="OBS121" s="285" t="s">
        <v>376</v>
      </c>
      <c r="OBT121" s="285" t="s">
        <v>377</v>
      </c>
      <c r="OBU121" s="285" t="s">
        <v>376</v>
      </c>
      <c r="OBV121" s="285" t="s">
        <v>377</v>
      </c>
      <c r="OBW121" s="285" t="s">
        <v>376</v>
      </c>
      <c r="OBX121" s="285" t="s">
        <v>377</v>
      </c>
      <c r="OBY121" s="285" t="s">
        <v>376</v>
      </c>
      <c r="OBZ121" s="285" t="s">
        <v>377</v>
      </c>
      <c r="OCA121" s="285" t="s">
        <v>376</v>
      </c>
      <c r="OCB121" s="285" t="s">
        <v>377</v>
      </c>
      <c r="OCC121" s="285" t="s">
        <v>376</v>
      </c>
      <c r="OCD121" s="285" t="s">
        <v>377</v>
      </c>
      <c r="OCE121" s="285" t="s">
        <v>376</v>
      </c>
      <c r="OCF121" s="285" t="s">
        <v>377</v>
      </c>
      <c r="OCG121" s="285" t="s">
        <v>376</v>
      </c>
      <c r="OCH121" s="285" t="s">
        <v>377</v>
      </c>
      <c r="OCI121" s="285" t="s">
        <v>376</v>
      </c>
      <c r="OCJ121" s="285" t="s">
        <v>377</v>
      </c>
      <c r="OCK121" s="285" t="s">
        <v>376</v>
      </c>
      <c r="OCL121" s="285" t="s">
        <v>377</v>
      </c>
      <c r="OCM121" s="285" t="s">
        <v>376</v>
      </c>
      <c r="OCN121" s="285" t="s">
        <v>377</v>
      </c>
      <c r="OCO121" s="285" t="s">
        <v>376</v>
      </c>
      <c r="OCP121" s="285" t="s">
        <v>377</v>
      </c>
      <c r="OCQ121" s="285" t="s">
        <v>376</v>
      </c>
      <c r="OCR121" s="285" t="s">
        <v>377</v>
      </c>
      <c r="OCS121" s="285" t="s">
        <v>376</v>
      </c>
      <c r="OCT121" s="285" t="s">
        <v>377</v>
      </c>
      <c r="OCU121" s="285" t="s">
        <v>376</v>
      </c>
      <c r="OCV121" s="285" t="s">
        <v>377</v>
      </c>
      <c r="OCW121" s="285" t="s">
        <v>376</v>
      </c>
      <c r="OCX121" s="285" t="s">
        <v>377</v>
      </c>
      <c r="OCY121" s="285" t="s">
        <v>376</v>
      </c>
      <c r="OCZ121" s="285" t="s">
        <v>377</v>
      </c>
      <c r="ODA121" s="285" t="s">
        <v>376</v>
      </c>
      <c r="ODB121" s="285" t="s">
        <v>377</v>
      </c>
      <c r="ODC121" s="285" t="s">
        <v>376</v>
      </c>
      <c r="ODD121" s="285" t="s">
        <v>377</v>
      </c>
      <c r="ODE121" s="285" t="s">
        <v>376</v>
      </c>
      <c r="ODF121" s="285" t="s">
        <v>377</v>
      </c>
      <c r="ODG121" s="285" t="s">
        <v>376</v>
      </c>
      <c r="ODH121" s="285" t="s">
        <v>377</v>
      </c>
      <c r="ODI121" s="285" t="s">
        <v>376</v>
      </c>
      <c r="ODJ121" s="285" t="s">
        <v>377</v>
      </c>
      <c r="ODK121" s="285" t="s">
        <v>376</v>
      </c>
      <c r="ODL121" s="285" t="s">
        <v>377</v>
      </c>
      <c r="ODM121" s="285" t="s">
        <v>376</v>
      </c>
      <c r="ODN121" s="285" t="s">
        <v>377</v>
      </c>
      <c r="ODO121" s="285" t="s">
        <v>376</v>
      </c>
      <c r="ODP121" s="285" t="s">
        <v>377</v>
      </c>
      <c r="ODQ121" s="285" t="s">
        <v>376</v>
      </c>
      <c r="ODR121" s="285" t="s">
        <v>377</v>
      </c>
      <c r="ODS121" s="285" t="s">
        <v>376</v>
      </c>
      <c r="ODT121" s="285" t="s">
        <v>377</v>
      </c>
      <c r="ODU121" s="285" t="s">
        <v>376</v>
      </c>
      <c r="ODV121" s="285" t="s">
        <v>377</v>
      </c>
      <c r="ODW121" s="285" t="s">
        <v>376</v>
      </c>
      <c r="ODX121" s="285" t="s">
        <v>377</v>
      </c>
      <c r="ODY121" s="285" t="s">
        <v>376</v>
      </c>
      <c r="ODZ121" s="285" t="s">
        <v>377</v>
      </c>
      <c r="OEA121" s="285" t="s">
        <v>376</v>
      </c>
      <c r="OEB121" s="285" t="s">
        <v>377</v>
      </c>
      <c r="OEC121" s="285" t="s">
        <v>376</v>
      </c>
      <c r="OED121" s="285" t="s">
        <v>377</v>
      </c>
      <c r="OEE121" s="285" t="s">
        <v>376</v>
      </c>
      <c r="OEF121" s="285" t="s">
        <v>377</v>
      </c>
      <c r="OEG121" s="285" t="s">
        <v>376</v>
      </c>
      <c r="OEH121" s="285" t="s">
        <v>377</v>
      </c>
      <c r="OEI121" s="285" t="s">
        <v>376</v>
      </c>
      <c r="OEJ121" s="285" t="s">
        <v>377</v>
      </c>
      <c r="OEK121" s="285" t="s">
        <v>376</v>
      </c>
      <c r="OEL121" s="285" t="s">
        <v>377</v>
      </c>
      <c r="OEM121" s="285" t="s">
        <v>376</v>
      </c>
      <c r="OEN121" s="285" t="s">
        <v>377</v>
      </c>
      <c r="OEO121" s="285" t="s">
        <v>376</v>
      </c>
      <c r="OEP121" s="285" t="s">
        <v>377</v>
      </c>
      <c r="OEQ121" s="285" t="s">
        <v>376</v>
      </c>
      <c r="OER121" s="285" t="s">
        <v>377</v>
      </c>
      <c r="OES121" s="285" t="s">
        <v>376</v>
      </c>
      <c r="OET121" s="285" t="s">
        <v>377</v>
      </c>
      <c r="OEU121" s="285" t="s">
        <v>376</v>
      </c>
      <c r="OEV121" s="285" t="s">
        <v>377</v>
      </c>
      <c r="OEW121" s="285" t="s">
        <v>376</v>
      </c>
      <c r="OEX121" s="285" t="s">
        <v>377</v>
      </c>
      <c r="OEY121" s="285" t="s">
        <v>376</v>
      </c>
      <c r="OEZ121" s="285" t="s">
        <v>377</v>
      </c>
      <c r="OFA121" s="285" t="s">
        <v>376</v>
      </c>
      <c r="OFB121" s="285" t="s">
        <v>377</v>
      </c>
      <c r="OFC121" s="285" t="s">
        <v>376</v>
      </c>
      <c r="OFD121" s="285" t="s">
        <v>377</v>
      </c>
      <c r="OFE121" s="285" t="s">
        <v>376</v>
      </c>
      <c r="OFF121" s="285" t="s">
        <v>377</v>
      </c>
      <c r="OFG121" s="285" t="s">
        <v>376</v>
      </c>
      <c r="OFH121" s="285" t="s">
        <v>377</v>
      </c>
      <c r="OFI121" s="285" t="s">
        <v>376</v>
      </c>
      <c r="OFJ121" s="285" t="s">
        <v>377</v>
      </c>
      <c r="OFK121" s="285" t="s">
        <v>376</v>
      </c>
      <c r="OFL121" s="285" t="s">
        <v>377</v>
      </c>
      <c r="OFM121" s="285" t="s">
        <v>376</v>
      </c>
      <c r="OFN121" s="285" t="s">
        <v>377</v>
      </c>
      <c r="OFO121" s="285" t="s">
        <v>376</v>
      </c>
      <c r="OFP121" s="285" t="s">
        <v>377</v>
      </c>
      <c r="OFQ121" s="285" t="s">
        <v>376</v>
      </c>
      <c r="OFR121" s="285" t="s">
        <v>377</v>
      </c>
      <c r="OFS121" s="285" t="s">
        <v>376</v>
      </c>
      <c r="OFT121" s="285" t="s">
        <v>377</v>
      </c>
      <c r="OFU121" s="285" t="s">
        <v>376</v>
      </c>
      <c r="OFV121" s="285" t="s">
        <v>377</v>
      </c>
      <c r="OFW121" s="285" t="s">
        <v>376</v>
      </c>
      <c r="OFX121" s="285" t="s">
        <v>377</v>
      </c>
      <c r="OFY121" s="285" t="s">
        <v>376</v>
      </c>
      <c r="OFZ121" s="285" t="s">
        <v>377</v>
      </c>
      <c r="OGA121" s="285" t="s">
        <v>376</v>
      </c>
      <c r="OGB121" s="285" t="s">
        <v>377</v>
      </c>
      <c r="OGC121" s="285" t="s">
        <v>376</v>
      </c>
      <c r="OGD121" s="285" t="s">
        <v>377</v>
      </c>
      <c r="OGE121" s="285" t="s">
        <v>376</v>
      </c>
      <c r="OGF121" s="285" t="s">
        <v>377</v>
      </c>
      <c r="OGG121" s="285" t="s">
        <v>376</v>
      </c>
      <c r="OGH121" s="285" t="s">
        <v>377</v>
      </c>
      <c r="OGI121" s="285" t="s">
        <v>376</v>
      </c>
      <c r="OGJ121" s="285" t="s">
        <v>377</v>
      </c>
      <c r="OGK121" s="285" t="s">
        <v>376</v>
      </c>
      <c r="OGL121" s="285" t="s">
        <v>377</v>
      </c>
      <c r="OGM121" s="285" t="s">
        <v>376</v>
      </c>
      <c r="OGN121" s="285" t="s">
        <v>377</v>
      </c>
      <c r="OGO121" s="285" t="s">
        <v>376</v>
      </c>
      <c r="OGP121" s="285" t="s">
        <v>377</v>
      </c>
      <c r="OGQ121" s="285" t="s">
        <v>376</v>
      </c>
      <c r="OGR121" s="285" t="s">
        <v>377</v>
      </c>
      <c r="OGS121" s="285" t="s">
        <v>376</v>
      </c>
      <c r="OGT121" s="285" t="s">
        <v>377</v>
      </c>
      <c r="OGU121" s="285" t="s">
        <v>376</v>
      </c>
      <c r="OGV121" s="285" t="s">
        <v>377</v>
      </c>
      <c r="OGW121" s="285" t="s">
        <v>376</v>
      </c>
      <c r="OGX121" s="285" t="s">
        <v>377</v>
      </c>
      <c r="OGY121" s="285" t="s">
        <v>376</v>
      </c>
      <c r="OGZ121" s="285" t="s">
        <v>377</v>
      </c>
      <c r="OHA121" s="285" t="s">
        <v>376</v>
      </c>
      <c r="OHB121" s="285" t="s">
        <v>377</v>
      </c>
      <c r="OHC121" s="285" t="s">
        <v>376</v>
      </c>
      <c r="OHD121" s="285" t="s">
        <v>377</v>
      </c>
      <c r="OHE121" s="285" t="s">
        <v>376</v>
      </c>
      <c r="OHF121" s="285" t="s">
        <v>377</v>
      </c>
      <c r="OHG121" s="285" t="s">
        <v>376</v>
      </c>
      <c r="OHH121" s="285" t="s">
        <v>377</v>
      </c>
      <c r="OHI121" s="285" t="s">
        <v>376</v>
      </c>
      <c r="OHJ121" s="285" t="s">
        <v>377</v>
      </c>
      <c r="OHK121" s="285" t="s">
        <v>376</v>
      </c>
      <c r="OHL121" s="285" t="s">
        <v>377</v>
      </c>
      <c r="OHM121" s="285" t="s">
        <v>376</v>
      </c>
      <c r="OHN121" s="285" t="s">
        <v>377</v>
      </c>
      <c r="OHO121" s="285" t="s">
        <v>376</v>
      </c>
      <c r="OHP121" s="285" t="s">
        <v>377</v>
      </c>
      <c r="OHQ121" s="285" t="s">
        <v>376</v>
      </c>
      <c r="OHR121" s="285" t="s">
        <v>377</v>
      </c>
      <c r="OHS121" s="285" t="s">
        <v>376</v>
      </c>
      <c r="OHT121" s="285" t="s">
        <v>377</v>
      </c>
      <c r="OHU121" s="285" t="s">
        <v>376</v>
      </c>
      <c r="OHV121" s="285" t="s">
        <v>377</v>
      </c>
      <c r="OHW121" s="285" t="s">
        <v>376</v>
      </c>
      <c r="OHX121" s="285" t="s">
        <v>377</v>
      </c>
      <c r="OHY121" s="285" t="s">
        <v>376</v>
      </c>
      <c r="OHZ121" s="285" t="s">
        <v>377</v>
      </c>
      <c r="OIA121" s="285" t="s">
        <v>376</v>
      </c>
      <c r="OIB121" s="285" t="s">
        <v>377</v>
      </c>
      <c r="OIC121" s="285" t="s">
        <v>376</v>
      </c>
      <c r="OID121" s="285" t="s">
        <v>377</v>
      </c>
      <c r="OIE121" s="285" t="s">
        <v>376</v>
      </c>
      <c r="OIF121" s="285" t="s">
        <v>377</v>
      </c>
      <c r="OIG121" s="285" t="s">
        <v>376</v>
      </c>
      <c r="OIH121" s="285" t="s">
        <v>377</v>
      </c>
      <c r="OII121" s="285" t="s">
        <v>376</v>
      </c>
      <c r="OIJ121" s="285" t="s">
        <v>377</v>
      </c>
      <c r="OIK121" s="285" t="s">
        <v>376</v>
      </c>
      <c r="OIL121" s="285" t="s">
        <v>377</v>
      </c>
      <c r="OIM121" s="285" t="s">
        <v>376</v>
      </c>
      <c r="OIN121" s="285" t="s">
        <v>377</v>
      </c>
      <c r="OIO121" s="285" t="s">
        <v>376</v>
      </c>
      <c r="OIP121" s="285" t="s">
        <v>377</v>
      </c>
      <c r="OIQ121" s="285" t="s">
        <v>376</v>
      </c>
      <c r="OIR121" s="285" t="s">
        <v>377</v>
      </c>
      <c r="OIS121" s="285" t="s">
        <v>376</v>
      </c>
      <c r="OIT121" s="285" t="s">
        <v>377</v>
      </c>
      <c r="OIU121" s="285" t="s">
        <v>376</v>
      </c>
      <c r="OIV121" s="285" t="s">
        <v>377</v>
      </c>
      <c r="OIW121" s="285" t="s">
        <v>376</v>
      </c>
      <c r="OIX121" s="285" t="s">
        <v>377</v>
      </c>
      <c r="OIY121" s="285" t="s">
        <v>376</v>
      </c>
      <c r="OIZ121" s="285" t="s">
        <v>377</v>
      </c>
      <c r="OJA121" s="285" t="s">
        <v>376</v>
      </c>
      <c r="OJB121" s="285" t="s">
        <v>377</v>
      </c>
      <c r="OJC121" s="285" t="s">
        <v>376</v>
      </c>
      <c r="OJD121" s="285" t="s">
        <v>377</v>
      </c>
      <c r="OJE121" s="285" t="s">
        <v>376</v>
      </c>
      <c r="OJF121" s="285" t="s">
        <v>377</v>
      </c>
      <c r="OJG121" s="285" t="s">
        <v>376</v>
      </c>
      <c r="OJH121" s="285" t="s">
        <v>377</v>
      </c>
      <c r="OJI121" s="285" t="s">
        <v>376</v>
      </c>
      <c r="OJJ121" s="285" t="s">
        <v>377</v>
      </c>
      <c r="OJK121" s="285" t="s">
        <v>376</v>
      </c>
      <c r="OJL121" s="285" t="s">
        <v>377</v>
      </c>
      <c r="OJM121" s="285" t="s">
        <v>376</v>
      </c>
      <c r="OJN121" s="285" t="s">
        <v>377</v>
      </c>
      <c r="OJO121" s="285" t="s">
        <v>376</v>
      </c>
      <c r="OJP121" s="285" t="s">
        <v>377</v>
      </c>
      <c r="OJQ121" s="285" t="s">
        <v>376</v>
      </c>
      <c r="OJR121" s="285" t="s">
        <v>377</v>
      </c>
      <c r="OJS121" s="285" t="s">
        <v>376</v>
      </c>
      <c r="OJT121" s="285" t="s">
        <v>377</v>
      </c>
      <c r="OJU121" s="285" t="s">
        <v>376</v>
      </c>
      <c r="OJV121" s="285" t="s">
        <v>377</v>
      </c>
      <c r="OJW121" s="285" t="s">
        <v>376</v>
      </c>
      <c r="OJX121" s="285" t="s">
        <v>377</v>
      </c>
      <c r="OJY121" s="285" t="s">
        <v>376</v>
      </c>
      <c r="OJZ121" s="285" t="s">
        <v>377</v>
      </c>
      <c r="OKA121" s="285" t="s">
        <v>376</v>
      </c>
      <c r="OKB121" s="285" t="s">
        <v>377</v>
      </c>
      <c r="OKC121" s="285" t="s">
        <v>376</v>
      </c>
      <c r="OKD121" s="285" t="s">
        <v>377</v>
      </c>
      <c r="OKE121" s="285" t="s">
        <v>376</v>
      </c>
      <c r="OKF121" s="285" t="s">
        <v>377</v>
      </c>
      <c r="OKG121" s="285" t="s">
        <v>376</v>
      </c>
      <c r="OKH121" s="285" t="s">
        <v>377</v>
      </c>
      <c r="OKI121" s="285" t="s">
        <v>376</v>
      </c>
      <c r="OKJ121" s="285" t="s">
        <v>377</v>
      </c>
      <c r="OKK121" s="285" t="s">
        <v>376</v>
      </c>
      <c r="OKL121" s="285" t="s">
        <v>377</v>
      </c>
      <c r="OKM121" s="285" t="s">
        <v>376</v>
      </c>
      <c r="OKN121" s="285" t="s">
        <v>377</v>
      </c>
      <c r="OKO121" s="285" t="s">
        <v>376</v>
      </c>
      <c r="OKP121" s="285" t="s">
        <v>377</v>
      </c>
      <c r="OKQ121" s="285" t="s">
        <v>376</v>
      </c>
      <c r="OKR121" s="285" t="s">
        <v>377</v>
      </c>
      <c r="OKS121" s="285" t="s">
        <v>376</v>
      </c>
      <c r="OKT121" s="285" t="s">
        <v>377</v>
      </c>
      <c r="OKU121" s="285" t="s">
        <v>376</v>
      </c>
      <c r="OKV121" s="285" t="s">
        <v>377</v>
      </c>
      <c r="OKW121" s="285" t="s">
        <v>376</v>
      </c>
      <c r="OKX121" s="285" t="s">
        <v>377</v>
      </c>
      <c r="OKY121" s="285" t="s">
        <v>376</v>
      </c>
      <c r="OKZ121" s="285" t="s">
        <v>377</v>
      </c>
      <c r="OLA121" s="285" t="s">
        <v>376</v>
      </c>
      <c r="OLB121" s="285" t="s">
        <v>377</v>
      </c>
      <c r="OLC121" s="285" t="s">
        <v>376</v>
      </c>
      <c r="OLD121" s="285" t="s">
        <v>377</v>
      </c>
      <c r="OLE121" s="285" t="s">
        <v>376</v>
      </c>
      <c r="OLF121" s="285" t="s">
        <v>377</v>
      </c>
      <c r="OLG121" s="285" t="s">
        <v>376</v>
      </c>
      <c r="OLH121" s="285" t="s">
        <v>377</v>
      </c>
      <c r="OLI121" s="285" t="s">
        <v>376</v>
      </c>
      <c r="OLJ121" s="285" t="s">
        <v>377</v>
      </c>
      <c r="OLK121" s="285" t="s">
        <v>376</v>
      </c>
      <c r="OLL121" s="285" t="s">
        <v>377</v>
      </c>
      <c r="OLM121" s="285" t="s">
        <v>376</v>
      </c>
      <c r="OLN121" s="285" t="s">
        <v>377</v>
      </c>
      <c r="OLO121" s="285" t="s">
        <v>376</v>
      </c>
      <c r="OLP121" s="285" t="s">
        <v>377</v>
      </c>
      <c r="OLQ121" s="285" t="s">
        <v>376</v>
      </c>
      <c r="OLR121" s="285" t="s">
        <v>377</v>
      </c>
      <c r="OLS121" s="285" t="s">
        <v>376</v>
      </c>
      <c r="OLT121" s="285" t="s">
        <v>377</v>
      </c>
      <c r="OLU121" s="285" t="s">
        <v>376</v>
      </c>
      <c r="OLV121" s="285" t="s">
        <v>377</v>
      </c>
      <c r="OLW121" s="285" t="s">
        <v>376</v>
      </c>
      <c r="OLX121" s="285" t="s">
        <v>377</v>
      </c>
      <c r="OLY121" s="285" t="s">
        <v>376</v>
      </c>
      <c r="OLZ121" s="285" t="s">
        <v>377</v>
      </c>
      <c r="OMA121" s="285" t="s">
        <v>376</v>
      </c>
      <c r="OMB121" s="285" t="s">
        <v>377</v>
      </c>
      <c r="OMC121" s="285" t="s">
        <v>376</v>
      </c>
      <c r="OMD121" s="285" t="s">
        <v>377</v>
      </c>
      <c r="OME121" s="285" t="s">
        <v>376</v>
      </c>
      <c r="OMF121" s="285" t="s">
        <v>377</v>
      </c>
      <c r="OMG121" s="285" t="s">
        <v>376</v>
      </c>
      <c r="OMH121" s="285" t="s">
        <v>377</v>
      </c>
      <c r="OMI121" s="285" t="s">
        <v>376</v>
      </c>
      <c r="OMJ121" s="285" t="s">
        <v>377</v>
      </c>
      <c r="OMK121" s="285" t="s">
        <v>376</v>
      </c>
      <c r="OML121" s="285" t="s">
        <v>377</v>
      </c>
      <c r="OMM121" s="285" t="s">
        <v>376</v>
      </c>
      <c r="OMN121" s="285" t="s">
        <v>377</v>
      </c>
      <c r="OMO121" s="285" t="s">
        <v>376</v>
      </c>
      <c r="OMP121" s="285" t="s">
        <v>377</v>
      </c>
      <c r="OMQ121" s="285" t="s">
        <v>376</v>
      </c>
      <c r="OMR121" s="285" t="s">
        <v>377</v>
      </c>
      <c r="OMS121" s="285" t="s">
        <v>376</v>
      </c>
      <c r="OMT121" s="285" t="s">
        <v>377</v>
      </c>
      <c r="OMU121" s="285" t="s">
        <v>376</v>
      </c>
      <c r="OMV121" s="285" t="s">
        <v>377</v>
      </c>
      <c r="OMW121" s="285" t="s">
        <v>376</v>
      </c>
      <c r="OMX121" s="285" t="s">
        <v>377</v>
      </c>
      <c r="OMY121" s="285" t="s">
        <v>376</v>
      </c>
      <c r="OMZ121" s="285" t="s">
        <v>377</v>
      </c>
      <c r="ONA121" s="285" t="s">
        <v>376</v>
      </c>
      <c r="ONB121" s="285" t="s">
        <v>377</v>
      </c>
      <c r="ONC121" s="285" t="s">
        <v>376</v>
      </c>
      <c r="OND121" s="285" t="s">
        <v>377</v>
      </c>
      <c r="ONE121" s="285" t="s">
        <v>376</v>
      </c>
      <c r="ONF121" s="285" t="s">
        <v>377</v>
      </c>
      <c r="ONG121" s="285" t="s">
        <v>376</v>
      </c>
      <c r="ONH121" s="285" t="s">
        <v>377</v>
      </c>
      <c r="ONI121" s="285" t="s">
        <v>376</v>
      </c>
      <c r="ONJ121" s="285" t="s">
        <v>377</v>
      </c>
      <c r="ONK121" s="285" t="s">
        <v>376</v>
      </c>
      <c r="ONL121" s="285" t="s">
        <v>377</v>
      </c>
      <c r="ONM121" s="285" t="s">
        <v>376</v>
      </c>
      <c r="ONN121" s="285" t="s">
        <v>377</v>
      </c>
      <c r="ONO121" s="285" t="s">
        <v>376</v>
      </c>
      <c r="ONP121" s="285" t="s">
        <v>377</v>
      </c>
      <c r="ONQ121" s="285" t="s">
        <v>376</v>
      </c>
      <c r="ONR121" s="285" t="s">
        <v>377</v>
      </c>
      <c r="ONS121" s="285" t="s">
        <v>376</v>
      </c>
      <c r="ONT121" s="285" t="s">
        <v>377</v>
      </c>
      <c r="ONU121" s="285" t="s">
        <v>376</v>
      </c>
      <c r="ONV121" s="285" t="s">
        <v>377</v>
      </c>
      <c r="ONW121" s="285" t="s">
        <v>376</v>
      </c>
      <c r="ONX121" s="285" t="s">
        <v>377</v>
      </c>
      <c r="ONY121" s="285" t="s">
        <v>376</v>
      </c>
      <c r="ONZ121" s="285" t="s">
        <v>377</v>
      </c>
      <c r="OOA121" s="285" t="s">
        <v>376</v>
      </c>
      <c r="OOB121" s="285" t="s">
        <v>377</v>
      </c>
      <c r="OOC121" s="285" t="s">
        <v>376</v>
      </c>
      <c r="OOD121" s="285" t="s">
        <v>377</v>
      </c>
      <c r="OOE121" s="285" t="s">
        <v>376</v>
      </c>
      <c r="OOF121" s="285" t="s">
        <v>377</v>
      </c>
      <c r="OOG121" s="285" t="s">
        <v>376</v>
      </c>
      <c r="OOH121" s="285" t="s">
        <v>377</v>
      </c>
      <c r="OOI121" s="285" t="s">
        <v>376</v>
      </c>
      <c r="OOJ121" s="285" t="s">
        <v>377</v>
      </c>
      <c r="OOK121" s="285" t="s">
        <v>376</v>
      </c>
      <c r="OOL121" s="285" t="s">
        <v>377</v>
      </c>
      <c r="OOM121" s="285" t="s">
        <v>376</v>
      </c>
      <c r="OON121" s="285" t="s">
        <v>377</v>
      </c>
      <c r="OOO121" s="285" t="s">
        <v>376</v>
      </c>
      <c r="OOP121" s="285" t="s">
        <v>377</v>
      </c>
      <c r="OOQ121" s="285" t="s">
        <v>376</v>
      </c>
      <c r="OOR121" s="285" t="s">
        <v>377</v>
      </c>
      <c r="OOS121" s="285" t="s">
        <v>376</v>
      </c>
      <c r="OOT121" s="285" t="s">
        <v>377</v>
      </c>
      <c r="OOU121" s="285" t="s">
        <v>376</v>
      </c>
      <c r="OOV121" s="285" t="s">
        <v>377</v>
      </c>
      <c r="OOW121" s="285" t="s">
        <v>376</v>
      </c>
      <c r="OOX121" s="285" t="s">
        <v>377</v>
      </c>
      <c r="OOY121" s="285" t="s">
        <v>376</v>
      </c>
      <c r="OOZ121" s="285" t="s">
        <v>377</v>
      </c>
      <c r="OPA121" s="285" t="s">
        <v>376</v>
      </c>
      <c r="OPB121" s="285" t="s">
        <v>377</v>
      </c>
      <c r="OPC121" s="285" t="s">
        <v>376</v>
      </c>
      <c r="OPD121" s="285" t="s">
        <v>377</v>
      </c>
      <c r="OPE121" s="285" t="s">
        <v>376</v>
      </c>
      <c r="OPF121" s="285" t="s">
        <v>377</v>
      </c>
      <c r="OPG121" s="285" t="s">
        <v>376</v>
      </c>
      <c r="OPH121" s="285" t="s">
        <v>377</v>
      </c>
      <c r="OPI121" s="285" t="s">
        <v>376</v>
      </c>
      <c r="OPJ121" s="285" t="s">
        <v>377</v>
      </c>
      <c r="OPK121" s="285" t="s">
        <v>376</v>
      </c>
      <c r="OPL121" s="285" t="s">
        <v>377</v>
      </c>
      <c r="OPM121" s="285" t="s">
        <v>376</v>
      </c>
      <c r="OPN121" s="285" t="s">
        <v>377</v>
      </c>
      <c r="OPO121" s="285" t="s">
        <v>376</v>
      </c>
      <c r="OPP121" s="285" t="s">
        <v>377</v>
      </c>
      <c r="OPQ121" s="285" t="s">
        <v>376</v>
      </c>
      <c r="OPR121" s="285" t="s">
        <v>377</v>
      </c>
      <c r="OPS121" s="285" t="s">
        <v>376</v>
      </c>
      <c r="OPT121" s="285" t="s">
        <v>377</v>
      </c>
      <c r="OPU121" s="285" t="s">
        <v>376</v>
      </c>
      <c r="OPV121" s="285" t="s">
        <v>377</v>
      </c>
      <c r="OPW121" s="285" t="s">
        <v>376</v>
      </c>
      <c r="OPX121" s="285" t="s">
        <v>377</v>
      </c>
      <c r="OPY121" s="285" t="s">
        <v>376</v>
      </c>
      <c r="OPZ121" s="285" t="s">
        <v>377</v>
      </c>
      <c r="OQA121" s="285" t="s">
        <v>376</v>
      </c>
      <c r="OQB121" s="285" t="s">
        <v>377</v>
      </c>
      <c r="OQC121" s="285" t="s">
        <v>376</v>
      </c>
      <c r="OQD121" s="285" t="s">
        <v>377</v>
      </c>
      <c r="OQE121" s="285" t="s">
        <v>376</v>
      </c>
      <c r="OQF121" s="285" t="s">
        <v>377</v>
      </c>
      <c r="OQG121" s="285" t="s">
        <v>376</v>
      </c>
      <c r="OQH121" s="285" t="s">
        <v>377</v>
      </c>
      <c r="OQI121" s="285" t="s">
        <v>376</v>
      </c>
      <c r="OQJ121" s="285" t="s">
        <v>377</v>
      </c>
      <c r="OQK121" s="285" t="s">
        <v>376</v>
      </c>
      <c r="OQL121" s="285" t="s">
        <v>377</v>
      </c>
      <c r="OQM121" s="285" t="s">
        <v>376</v>
      </c>
      <c r="OQN121" s="285" t="s">
        <v>377</v>
      </c>
      <c r="OQO121" s="285" t="s">
        <v>376</v>
      </c>
      <c r="OQP121" s="285" t="s">
        <v>377</v>
      </c>
      <c r="OQQ121" s="285" t="s">
        <v>376</v>
      </c>
      <c r="OQR121" s="285" t="s">
        <v>377</v>
      </c>
      <c r="OQS121" s="285" t="s">
        <v>376</v>
      </c>
      <c r="OQT121" s="285" t="s">
        <v>377</v>
      </c>
      <c r="OQU121" s="285" t="s">
        <v>376</v>
      </c>
      <c r="OQV121" s="285" t="s">
        <v>377</v>
      </c>
      <c r="OQW121" s="285" t="s">
        <v>376</v>
      </c>
      <c r="OQX121" s="285" t="s">
        <v>377</v>
      </c>
      <c r="OQY121" s="285" t="s">
        <v>376</v>
      </c>
      <c r="OQZ121" s="285" t="s">
        <v>377</v>
      </c>
      <c r="ORA121" s="285" t="s">
        <v>376</v>
      </c>
      <c r="ORB121" s="285" t="s">
        <v>377</v>
      </c>
      <c r="ORC121" s="285" t="s">
        <v>376</v>
      </c>
      <c r="ORD121" s="285" t="s">
        <v>377</v>
      </c>
      <c r="ORE121" s="285" t="s">
        <v>376</v>
      </c>
      <c r="ORF121" s="285" t="s">
        <v>377</v>
      </c>
      <c r="ORG121" s="285" t="s">
        <v>376</v>
      </c>
      <c r="ORH121" s="285" t="s">
        <v>377</v>
      </c>
      <c r="ORI121" s="285" t="s">
        <v>376</v>
      </c>
      <c r="ORJ121" s="285" t="s">
        <v>377</v>
      </c>
      <c r="ORK121" s="285" t="s">
        <v>376</v>
      </c>
      <c r="ORL121" s="285" t="s">
        <v>377</v>
      </c>
      <c r="ORM121" s="285" t="s">
        <v>376</v>
      </c>
      <c r="ORN121" s="285" t="s">
        <v>377</v>
      </c>
      <c r="ORO121" s="285" t="s">
        <v>376</v>
      </c>
      <c r="ORP121" s="285" t="s">
        <v>377</v>
      </c>
      <c r="ORQ121" s="285" t="s">
        <v>376</v>
      </c>
      <c r="ORR121" s="285" t="s">
        <v>377</v>
      </c>
      <c r="ORS121" s="285" t="s">
        <v>376</v>
      </c>
      <c r="ORT121" s="285" t="s">
        <v>377</v>
      </c>
      <c r="ORU121" s="285" t="s">
        <v>376</v>
      </c>
      <c r="ORV121" s="285" t="s">
        <v>377</v>
      </c>
      <c r="ORW121" s="285" t="s">
        <v>376</v>
      </c>
      <c r="ORX121" s="285" t="s">
        <v>377</v>
      </c>
      <c r="ORY121" s="285" t="s">
        <v>376</v>
      </c>
      <c r="ORZ121" s="285" t="s">
        <v>377</v>
      </c>
      <c r="OSA121" s="285" t="s">
        <v>376</v>
      </c>
      <c r="OSB121" s="285" t="s">
        <v>377</v>
      </c>
      <c r="OSC121" s="285" t="s">
        <v>376</v>
      </c>
      <c r="OSD121" s="285" t="s">
        <v>377</v>
      </c>
      <c r="OSE121" s="285" t="s">
        <v>376</v>
      </c>
      <c r="OSF121" s="285" t="s">
        <v>377</v>
      </c>
      <c r="OSG121" s="285" t="s">
        <v>376</v>
      </c>
      <c r="OSH121" s="285" t="s">
        <v>377</v>
      </c>
      <c r="OSI121" s="285" t="s">
        <v>376</v>
      </c>
      <c r="OSJ121" s="285" t="s">
        <v>377</v>
      </c>
      <c r="OSK121" s="285" t="s">
        <v>376</v>
      </c>
      <c r="OSL121" s="285" t="s">
        <v>377</v>
      </c>
      <c r="OSM121" s="285" t="s">
        <v>376</v>
      </c>
      <c r="OSN121" s="285" t="s">
        <v>377</v>
      </c>
      <c r="OSO121" s="285" t="s">
        <v>376</v>
      </c>
      <c r="OSP121" s="285" t="s">
        <v>377</v>
      </c>
      <c r="OSQ121" s="285" t="s">
        <v>376</v>
      </c>
      <c r="OSR121" s="285" t="s">
        <v>377</v>
      </c>
      <c r="OSS121" s="285" t="s">
        <v>376</v>
      </c>
      <c r="OST121" s="285" t="s">
        <v>377</v>
      </c>
      <c r="OSU121" s="285" t="s">
        <v>376</v>
      </c>
      <c r="OSV121" s="285" t="s">
        <v>377</v>
      </c>
      <c r="OSW121" s="285" t="s">
        <v>376</v>
      </c>
      <c r="OSX121" s="285" t="s">
        <v>377</v>
      </c>
      <c r="OSY121" s="285" t="s">
        <v>376</v>
      </c>
      <c r="OSZ121" s="285" t="s">
        <v>377</v>
      </c>
      <c r="OTA121" s="285" t="s">
        <v>376</v>
      </c>
      <c r="OTB121" s="285" t="s">
        <v>377</v>
      </c>
      <c r="OTC121" s="285" t="s">
        <v>376</v>
      </c>
      <c r="OTD121" s="285" t="s">
        <v>377</v>
      </c>
      <c r="OTE121" s="285" t="s">
        <v>376</v>
      </c>
      <c r="OTF121" s="285" t="s">
        <v>377</v>
      </c>
      <c r="OTG121" s="285" t="s">
        <v>376</v>
      </c>
      <c r="OTH121" s="285" t="s">
        <v>377</v>
      </c>
      <c r="OTI121" s="285" t="s">
        <v>376</v>
      </c>
      <c r="OTJ121" s="285" t="s">
        <v>377</v>
      </c>
      <c r="OTK121" s="285" t="s">
        <v>376</v>
      </c>
      <c r="OTL121" s="285" t="s">
        <v>377</v>
      </c>
      <c r="OTM121" s="285" t="s">
        <v>376</v>
      </c>
      <c r="OTN121" s="285" t="s">
        <v>377</v>
      </c>
      <c r="OTO121" s="285" t="s">
        <v>376</v>
      </c>
      <c r="OTP121" s="285" t="s">
        <v>377</v>
      </c>
      <c r="OTQ121" s="285" t="s">
        <v>376</v>
      </c>
      <c r="OTR121" s="285" t="s">
        <v>377</v>
      </c>
      <c r="OTS121" s="285" t="s">
        <v>376</v>
      </c>
      <c r="OTT121" s="285" t="s">
        <v>377</v>
      </c>
      <c r="OTU121" s="285" t="s">
        <v>376</v>
      </c>
      <c r="OTV121" s="285" t="s">
        <v>377</v>
      </c>
      <c r="OTW121" s="285" t="s">
        <v>376</v>
      </c>
      <c r="OTX121" s="285" t="s">
        <v>377</v>
      </c>
      <c r="OTY121" s="285" t="s">
        <v>376</v>
      </c>
      <c r="OTZ121" s="285" t="s">
        <v>377</v>
      </c>
      <c r="OUA121" s="285" t="s">
        <v>376</v>
      </c>
      <c r="OUB121" s="285" t="s">
        <v>377</v>
      </c>
      <c r="OUC121" s="285" t="s">
        <v>376</v>
      </c>
      <c r="OUD121" s="285" t="s">
        <v>377</v>
      </c>
      <c r="OUE121" s="285" t="s">
        <v>376</v>
      </c>
      <c r="OUF121" s="285" t="s">
        <v>377</v>
      </c>
      <c r="OUG121" s="285" t="s">
        <v>376</v>
      </c>
      <c r="OUH121" s="285" t="s">
        <v>377</v>
      </c>
      <c r="OUI121" s="285" t="s">
        <v>376</v>
      </c>
      <c r="OUJ121" s="285" t="s">
        <v>377</v>
      </c>
      <c r="OUK121" s="285" t="s">
        <v>376</v>
      </c>
      <c r="OUL121" s="285" t="s">
        <v>377</v>
      </c>
      <c r="OUM121" s="285" t="s">
        <v>376</v>
      </c>
      <c r="OUN121" s="285" t="s">
        <v>377</v>
      </c>
      <c r="OUO121" s="285" t="s">
        <v>376</v>
      </c>
      <c r="OUP121" s="285" t="s">
        <v>377</v>
      </c>
      <c r="OUQ121" s="285" t="s">
        <v>376</v>
      </c>
      <c r="OUR121" s="285" t="s">
        <v>377</v>
      </c>
      <c r="OUS121" s="285" t="s">
        <v>376</v>
      </c>
      <c r="OUT121" s="285" t="s">
        <v>377</v>
      </c>
      <c r="OUU121" s="285" t="s">
        <v>376</v>
      </c>
      <c r="OUV121" s="285" t="s">
        <v>377</v>
      </c>
      <c r="OUW121" s="285" t="s">
        <v>376</v>
      </c>
      <c r="OUX121" s="285" t="s">
        <v>377</v>
      </c>
      <c r="OUY121" s="285" t="s">
        <v>376</v>
      </c>
      <c r="OUZ121" s="285" t="s">
        <v>377</v>
      </c>
      <c r="OVA121" s="285" t="s">
        <v>376</v>
      </c>
      <c r="OVB121" s="285" t="s">
        <v>377</v>
      </c>
      <c r="OVC121" s="285" t="s">
        <v>376</v>
      </c>
      <c r="OVD121" s="285" t="s">
        <v>377</v>
      </c>
      <c r="OVE121" s="285" t="s">
        <v>376</v>
      </c>
      <c r="OVF121" s="285" t="s">
        <v>377</v>
      </c>
      <c r="OVG121" s="285" t="s">
        <v>376</v>
      </c>
      <c r="OVH121" s="285" t="s">
        <v>377</v>
      </c>
      <c r="OVI121" s="285" t="s">
        <v>376</v>
      </c>
      <c r="OVJ121" s="285" t="s">
        <v>377</v>
      </c>
      <c r="OVK121" s="285" t="s">
        <v>376</v>
      </c>
      <c r="OVL121" s="285" t="s">
        <v>377</v>
      </c>
      <c r="OVM121" s="285" t="s">
        <v>376</v>
      </c>
      <c r="OVN121" s="285" t="s">
        <v>377</v>
      </c>
      <c r="OVO121" s="285" t="s">
        <v>376</v>
      </c>
      <c r="OVP121" s="285" t="s">
        <v>377</v>
      </c>
      <c r="OVQ121" s="285" t="s">
        <v>376</v>
      </c>
      <c r="OVR121" s="285" t="s">
        <v>377</v>
      </c>
      <c r="OVS121" s="285" t="s">
        <v>376</v>
      </c>
      <c r="OVT121" s="285" t="s">
        <v>377</v>
      </c>
      <c r="OVU121" s="285" t="s">
        <v>376</v>
      </c>
      <c r="OVV121" s="285" t="s">
        <v>377</v>
      </c>
      <c r="OVW121" s="285" t="s">
        <v>376</v>
      </c>
      <c r="OVX121" s="285" t="s">
        <v>377</v>
      </c>
      <c r="OVY121" s="285" t="s">
        <v>376</v>
      </c>
      <c r="OVZ121" s="285" t="s">
        <v>377</v>
      </c>
      <c r="OWA121" s="285" t="s">
        <v>376</v>
      </c>
      <c r="OWB121" s="285" t="s">
        <v>377</v>
      </c>
      <c r="OWC121" s="285" t="s">
        <v>376</v>
      </c>
      <c r="OWD121" s="285" t="s">
        <v>377</v>
      </c>
      <c r="OWE121" s="285" t="s">
        <v>376</v>
      </c>
      <c r="OWF121" s="285" t="s">
        <v>377</v>
      </c>
      <c r="OWG121" s="285" t="s">
        <v>376</v>
      </c>
      <c r="OWH121" s="285" t="s">
        <v>377</v>
      </c>
      <c r="OWI121" s="285" t="s">
        <v>376</v>
      </c>
      <c r="OWJ121" s="285" t="s">
        <v>377</v>
      </c>
      <c r="OWK121" s="285" t="s">
        <v>376</v>
      </c>
      <c r="OWL121" s="285" t="s">
        <v>377</v>
      </c>
      <c r="OWM121" s="285" t="s">
        <v>376</v>
      </c>
      <c r="OWN121" s="285" t="s">
        <v>377</v>
      </c>
      <c r="OWO121" s="285" t="s">
        <v>376</v>
      </c>
      <c r="OWP121" s="285" t="s">
        <v>377</v>
      </c>
      <c r="OWQ121" s="285" t="s">
        <v>376</v>
      </c>
      <c r="OWR121" s="285" t="s">
        <v>377</v>
      </c>
      <c r="OWS121" s="285" t="s">
        <v>376</v>
      </c>
      <c r="OWT121" s="285" t="s">
        <v>377</v>
      </c>
      <c r="OWU121" s="285" t="s">
        <v>376</v>
      </c>
      <c r="OWV121" s="285" t="s">
        <v>377</v>
      </c>
      <c r="OWW121" s="285" t="s">
        <v>376</v>
      </c>
      <c r="OWX121" s="285" t="s">
        <v>377</v>
      </c>
      <c r="OWY121" s="285" t="s">
        <v>376</v>
      </c>
      <c r="OWZ121" s="285" t="s">
        <v>377</v>
      </c>
      <c r="OXA121" s="285" t="s">
        <v>376</v>
      </c>
      <c r="OXB121" s="285" t="s">
        <v>377</v>
      </c>
      <c r="OXC121" s="285" t="s">
        <v>376</v>
      </c>
      <c r="OXD121" s="285" t="s">
        <v>377</v>
      </c>
      <c r="OXE121" s="285" t="s">
        <v>376</v>
      </c>
      <c r="OXF121" s="285" t="s">
        <v>377</v>
      </c>
      <c r="OXG121" s="285" t="s">
        <v>376</v>
      </c>
      <c r="OXH121" s="285" t="s">
        <v>377</v>
      </c>
      <c r="OXI121" s="285" t="s">
        <v>376</v>
      </c>
      <c r="OXJ121" s="285" t="s">
        <v>377</v>
      </c>
      <c r="OXK121" s="285" t="s">
        <v>376</v>
      </c>
      <c r="OXL121" s="285" t="s">
        <v>377</v>
      </c>
      <c r="OXM121" s="285" t="s">
        <v>376</v>
      </c>
      <c r="OXN121" s="285" t="s">
        <v>377</v>
      </c>
      <c r="OXO121" s="285" t="s">
        <v>376</v>
      </c>
      <c r="OXP121" s="285" t="s">
        <v>377</v>
      </c>
      <c r="OXQ121" s="285" t="s">
        <v>376</v>
      </c>
      <c r="OXR121" s="285" t="s">
        <v>377</v>
      </c>
      <c r="OXS121" s="285" t="s">
        <v>376</v>
      </c>
      <c r="OXT121" s="285" t="s">
        <v>377</v>
      </c>
      <c r="OXU121" s="285" t="s">
        <v>376</v>
      </c>
      <c r="OXV121" s="285" t="s">
        <v>377</v>
      </c>
      <c r="OXW121" s="285" t="s">
        <v>376</v>
      </c>
      <c r="OXX121" s="285" t="s">
        <v>377</v>
      </c>
      <c r="OXY121" s="285" t="s">
        <v>376</v>
      </c>
      <c r="OXZ121" s="285" t="s">
        <v>377</v>
      </c>
      <c r="OYA121" s="285" t="s">
        <v>376</v>
      </c>
      <c r="OYB121" s="285" t="s">
        <v>377</v>
      </c>
      <c r="OYC121" s="285" t="s">
        <v>376</v>
      </c>
      <c r="OYD121" s="285" t="s">
        <v>377</v>
      </c>
      <c r="OYE121" s="285" t="s">
        <v>376</v>
      </c>
      <c r="OYF121" s="285" t="s">
        <v>377</v>
      </c>
      <c r="OYG121" s="285" t="s">
        <v>376</v>
      </c>
      <c r="OYH121" s="285" t="s">
        <v>377</v>
      </c>
      <c r="OYI121" s="285" t="s">
        <v>376</v>
      </c>
      <c r="OYJ121" s="285" t="s">
        <v>377</v>
      </c>
      <c r="OYK121" s="285" t="s">
        <v>376</v>
      </c>
      <c r="OYL121" s="285" t="s">
        <v>377</v>
      </c>
      <c r="OYM121" s="285" t="s">
        <v>376</v>
      </c>
      <c r="OYN121" s="285" t="s">
        <v>377</v>
      </c>
      <c r="OYO121" s="285" t="s">
        <v>376</v>
      </c>
      <c r="OYP121" s="285" t="s">
        <v>377</v>
      </c>
      <c r="OYQ121" s="285" t="s">
        <v>376</v>
      </c>
      <c r="OYR121" s="285" t="s">
        <v>377</v>
      </c>
      <c r="OYS121" s="285" t="s">
        <v>376</v>
      </c>
      <c r="OYT121" s="285" t="s">
        <v>377</v>
      </c>
      <c r="OYU121" s="285" t="s">
        <v>376</v>
      </c>
      <c r="OYV121" s="285" t="s">
        <v>377</v>
      </c>
      <c r="OYW121" s="285" t="s">
        <v>376</v>
      </c>
      <c r="OYX121" s="285" t="s">
        <v>377</v>
      </c>
      <c r="OYY121" s="285" t="s">
        <v>376</v>
      </c>
      <c r="OYZ121" s="285" t="s">
        <v>377</v>
      </c>
      <c r="OZA121" s="285" t="s">
        <v>376</v>
      </c>
      <c r="OZB121" s="285" t="s">
        <v>377</v>
      </c>
      <c r="OZC121" s="285" t="s">
        <v>376</v>
      </c>
      <c r="OZD121" s="285" t="s">
        <v>377</v>
      </c>
      <c r="OZE121" s="285" t="s">
        <v>376</v>
      </c>
      <c r="OZF121" s="285" t="s">
        <v>377</v>
      </c>
      <c r="OZG121" s="285" t="s">
        <v>376</v>
      </c>
      <c r="OZH121" s="285" t="s">
        <v>377</v>
      </c>
      <c r="OZI121" s="285" t="s">
        <v>376</v>
      </c>
      <c r="OZJ121" s="285" t="s">
        <v>377</v>
      </c>
      <c r="OZK121" s="285" t="s">
        <v>376</v>
      </c>
      <c r="OZL121" s="285" t="s">
        <v>377</v>
      </c>
      <c r="OZM121" s="285" t="s">
        <v>376</v>
      </c>
      <c r="OZN121" s="285" t="s">
        <v>377</v>
      </c>
      <c r="OZO121" s="285" t="s">
        <v>376</v>
      </c>
      <c r="OZP121" s="285" t="s">
        <v>377</v>
      </c>
      <c r="OZQ121" s="285" t="s">
        <v>376</v>
      </c>
      <c r="OZR121" s="285" t="s">
        <v>377</v>
      </c>
      <c r="OZS121" s="285" t="s">
        <v>376</v>
      </c>
      <c r="OZT121" s="285" t="s">
        <v>377</v>
      </c>
      <c r="OZU121" s="285" t="s">
        <v>376</v>
      </c>
      <c r="OZV121" s="285" t="s">
        <v>377</v>
      </c>
      <c r="OZW121" s="285" t="s">
        <v>376</v>
      </c>
      <c r="OZX121" s="285" t="s">
        <v>377</v>
      </c>
      <c r="OZY121" s="285" t="s">
        <v>376</v>
      </c>
      <c r="OZZ121" s="285" t="s">
        <v>377</v>
      </c>
      <c r="PAA121" s="285" t="s">
        <v>376</v>
      </c>
      <c r="PAB121" s="285" t="s">
        <v>377</v>
      </c>
      <c r="PAC121" s="285" t="s">
        <v>376</v>
      </c>
      <c r="PAD121" s="285" t="s">
        <v>377</v>
      </c>
      <c r="PAE121" s="285" t="s">
        <v>376</v>
      </c>
      <c r="PAF121" s="285" t="s">
        <v>377</v>
      </c>
      <c r="PAG121" s="285" t="s">
        <v>376</v>
      </c>
      <c r="PAH121" s="285" t="s">
        <v>377</v>
      </c>
      <c r="PAI121" s="285" t="s">
        <v>376</v>
      </c>
      <c r="PAJ121" s="285" t="s">
        <v>377</v>
      </c>
      <c r="PAK121" s="285" t="s">
        <v>376</v>
      </c>
      <c r="PAL121" s="285" t="s">
        <v>377</v>
      </c>
      <c r="PAM121" s="285" t="s">
        <v>376</v>
      </c>
      <c r="PAN121" s="285" t="s">
        <v>377</v>
      </c>
      <c r="PAO121" s="285" t="s">
        <v>376</v>
      </c>
      <c r="PAP121" s="285" t="s">
        <v>377</v>
      </c>
      <c r="PAQ121" s="285" t="s">
        <v>376</v>
      </c>
      <c r="PAR121" s="285" t="s">
        <v>377</v>
      </c>
      <c r="PAS121" s="285" t="s">
        <v>376</v>
      </c>
      <c r="PAT121" s="285" t="s">
        <v>377</v>
      </c>
      <c r="PAU121" s="285" t="s">
        <v>376</v>
      </c>
      <c r="PAV121" s="285" t="s">
        <v>377</v>
      </c>
      <c r="PAW121" s="285" t="s">
        <v>376</v>
      </c>
      <c r="PAX121" s="285" t="s">
        <v>377</v>
      </c>
      <c r="PAY121" s="285" t="s">
        <v>376</v>
      </c>
      <c r="PAZ121" s="285" t="s">
        <v>377</v>
      </c>
      <c r="PBA121" s="285" t="s">
        <v>376</v>
      </c>
      <c r="PBB121" s="285" t="s">
        <v>377</v>
      </c>
      <c r="PBC121" s="285" t="s">
        <v>376</v>
      </c>
      <c r="PBD121" s="285" t="s">
        <v>377</v>
      </c>
      <c r="PBE121" s="285" t="s">
        <v>376</v>
      </c>
      <c r="PBF121" s="285" t="s">
        <v>377</v>
      </c>
      <c r="PBG121" s="285" t="s">
        <v>376</v>
      </c>
      <c r="PBH121" s="285" t="s">
        <v>377</v>
      </c>
      <c r="PBI121" s="285" t="s">
        <v>376</v>
      </c>
      <c r="PBJ121" s="285" t="s">
        <v>377</v>
      </c>
      <c r="PBK121" s="285" t="s">
        <v>376</v>
      </c>
      <c r="PBL121" s="285" t="s">
        <v>377</v>
      </c>
      <c r="PBM121" s="285" t="s">
        <v>376</v>
      </c>
      <c r="PBN121" s="285" t="s">
        <v>377</v>
      </c>
      <c r="PBO121" s="285" t="s">
        <v>376</v>
      </c>
      <c r="PBP121" s="285" t="s">
        <v>377</v>
      </c>
      <c r="PBQ121" s="285" t="s">
        <v>376</v>
      </c>
      <c r="PBR121" s="285" t="s">
        <v>377</v>
      </c>
      <c r="PBS121" s="285" t="s">
        <v>376</v>
      </c>
      <c r="PBT121" s="285" t="s">
        <v>377</v>
      </c>
      <c r="PBU121" s="285" t="s">
        <v>376</v>
      </c>
      <c r="PBV121" s="285" t="s">
        <v>377</v>
      </c>
      <c r="PBW121" s="285" t="s">
        <v>376</v>
      </c>
      <c r="PBX121" s="285" t="s">
        <v>377</v>
      </c>
      <c r="PBY121" s="285" t="s">
        <v>376</v>
      </c>
      <c r="PBZ121" s="285" t="s">
        <v>377</v>
      </c>
      <c r="PCA121" s="285" t="s">
        <v>376</v>
      </c>
      <c r="PCB121" s="285" t="s">
        <v>377</v>
      </c>
      <c r="PCC121" s="285" t="s">
        <v>376</v>
      </c>
      <c r="PCD121" s="285" t="s">
        <v>377</v>
      </c>
      <c r="PCE121" s="285" t="s">
        <v>376</v>
      </c>
      <c r="PCF121" s="285" t="s">
        <v>377</v>
      </c>
      <c r="PCG121" s="285" t="s">
        <v>376</v>
      </c>
      <c r="PCH121" s="285" t="s">
        <v>377</v>
      </c>
      <c r="PCI121" s="285" t="s">
        <v>376</v>
      </c>
      <c r="PCJ121" s="285" t="s">
        <v>377</v>
      </c>
      <c r="PCK121" s="285" t="s">
        <v>376</v>
      </c>
      <c r="PCL121" s="285" t="s">
        <v>377</v>
      </c>
      <c r="PCM121" s="285" t="s">
        <v>376</v>
      </c>
      <c r="PCN121" s="285" t="s">
        <v>377</v>
      </c>
      <c r="PCO121" s="285" t="s">
        <v>376</v>
      </c>
      <c r="PCP121" s="285" t="s">
        <v>377</v>
      </c>
      <c r="PCQ121" s="285" t="s">
        <v>376</v>
      </c>
      <c r="PCR121" s="285" t="s">
        <v>377</v>
      </c>
      <c r="PCS121" s="285" t="s">
        <v>376</v>
      </c>
      <c r="PCT121" s="285" t="s">
        <v>377</v>
      </c>
      <c r="PCU121" s="285" t="s">
        <v>376</v>
      </c>
      <c r="PCV121" s="285" t="s">
        <v>377</v>
      </c>
      <c r="PCW121" s="285" t="s">
        <v>376</v>
      </c>
      <c r="PCX121" s="285" t="s">
        <v>377</v>
      </c>
      <c r="PCY121" s="285" t="s">
        <v>376</v>
      </c>
      <c r="PCZ121" s="285" t="s">
        <v>377</v>
      </c>
      <c r="PDA121" s="285" t="s">
        <v>376</v>
      </c>
      <c r="PDB121" s="285" t="s">
        <v>377</v>
      </c>
      <c r="PDC121" s="285" t="s">
        <v>376</v>
      </c>
      <c r="PDD121" s="285" t="s">
        <v>377</v>
      </c>
      <c r="PDE121" s="285" t="s">
        <v>376</v>
      </c>
      <c r="PDF121" s="285" t="s">
        <v>377</v>
      </c>
      <c r="PDG121" s="285" t="s">
        <v>376</v>
      </c>
      <c r="PDH121" s="285" t="s">
        <v>377</v>
      </c>
      <c r="PDI121" s="285" t="s">
        <v>376</v>
      </c>
      <c r="PDJ121" s="285" t="s">
        <v>377</v>
      </c>
      <c r="PDK121" s="285" t="s">
        <v>376</v>
      </c>
      <c r="PDL121" s="285" t="s">
        <v>377</v>
      </c>
      <c r="PDM121" s="285" t="s">
        <v>376</v>
      </c>
      <c r="PDN121" s="285" t="s">
        <v>377</v>
      </c>
      <c r="PDO121" s="285" t="s">
        <v>376</v>
      </c>
      <c r="PDP121" s="285" t="s">
        <v>377</v>
      </c>
      <c r="PDQ121" s="285" t="s">
        <v>376</v>
      </c>
      <c r="PDR121" s="285" t="s">
        <v>377</v>
      </c>
      <c r="PDS121" s="285" t="s">
        <v>376</v>
      </c>
      <c r="PDT121" s="285" t="s">
        <v>377</v>
      </c>
      <c r="PDU121" s="285" t="s">
        <v>376</v>
      </c>
      <c r="PDV121" s="285" t="s">
        <v>377</v>
      </c>
      <c r="PDW121" s="285" t="s">
        <v>376</v>
      </c>
      <c r="PDX121" s="285" t="s">
        <v>377</v>
      </c>
      <c r="PDY121" s="285" t="s">
        <v>376</v>
      </c>
      <c r="PDZ121" s="285" t="s">
        <v>377</v>
      </c>
      <c r="PEA121" s="285" t="s">
        <v>376</v>
      </c>
      <c r="PEB121" s="285" t="s">
        <v>377</v>
      </c>
      <c r="PEC121" s="285" t="s">
        <v>376</v>
      </c>
      <c r="PED121" s="285" t="s">
        <v>377</v>
      </c>
      <c r="PEE121" s="285" t="s">
        <v>376</v>
      </c>
      <c r="PEF121" s="285" t="s">
        <v>377</v>
      </c>
      <c r="PEG121" s="285" t="s">
        <v>376</v>
      </c>
      <c r="PEH121" s="285" t="s">
        <v>377</v>
      </c>
      <c r="PEI121" s="285" t="s">
        <v>376</v>
      </c>
      <c r="PEJ121" s="285" t="s">
        <v>377</v>
      </c>
      <c r="PEK121" s="285" t="s">
        <v>376</v>
      </c>
      <c r="PEL121" s="285" t="s">
        <v>377</v>
      </c>
      <c r="PEM121" s="285" t="s">
        <v>376</v>
      </c>
      <c r="PEN121" s="285" t="s">
        <v>377</v>
      </c>
      <c r="PEO121" s="285" t="s">
        <v>376</v>
      </c>
      <c r="PEP121" s="285" t="s">
        <v>377</v>
      </c>
      <c r="PEQ121" s="285" t="s">
        <v>376</v>
      </c>
      <c r="PER121" s="285" t="s">
        <v>377</v>
      </c>
      <c r="PES121" s="285" t="s">
        <v>376</v>
      </c>
      <c r="PET121" s="285" t="s">
        <v>377</v>
      </c>
      <c r="PEU121" s="285" t="s">
        <v>376</v>
      </c>
      <c r="PEV121" s="285" t="s">
        <v>377</v>
      </c>
      <c r="PEW121" s="285" t="s">
        <v>376</v>
      </c>
      <c r="PEX121" s="285" t="s">
        <v>377</v>
      </c>
      <c r="PEY121" s="285" t="s">
        <v>376</v>
      </c>
      <c r="PEZ121" s="285" t="s">
        <v>377</v>
      </c>
      <c r="PFA121" s="285" t="s">
        <v>376</v>
      </c>
      <c r="PFB121" s="285" t="s">
        <v>377</v>
      </c>
      <c r="PFC121" s="285" t="s">
        <v>376</v>
      </c>
      <c r="PFD121" s="285" t="s">
        <v>377</v>
      </c>
      <c r="PFE121" s="285" t="s">
        <v>376</v>
      </c>
      <c r="PFF121" s="285" t="s">
        <v>377</v>
      </c>
      <c r="PFG121" s="285" t="s">
        <v>376</v>
      </c>
      <c r="PFH121" s="285" t="s">
        <v>377</v>
      </c>
      <c r="PFI121" s="285" t="s">
        <v>376</v>
      </c>
      <c r="PFJ121" s="285" t="s">
        <v>377</v>
      </c>
      <c r="PFK121" s="285" t="s">
        <v>376</v>
      </c>
      <c r="PFL121" s="285" t="s">
        <v>377</v>
      </c>
      <c r="PFM121" s="285" t="s">
        <v>376</v>
      </c>
      <c r="PFN121" s="285" t="s">
        <v>377</v>
      </c>
      <c r="PFO121" s="285" t="s">
        <v>376</v>
      </c>
      <c r="PFP121" s="285" t="s">
        <v>377</v>
      </c>
      <c r="PFQ121" s="285" t="s">
        <v>376</v>
      </c>
      <c r="PFR121" s="285" t="s">
        <v>377</v>
      </c>
      <c r="PFS121" s="285" t="s">
        <v>376</v>
      </c>
      <c r="PFT121" s="285" t="s">
        <v>377</v>
      </c>
      <c r="PFU121" s="285" t="s">
        <v>376</v>
      </c>
      <c r="PFV121" s="285" t="s">
        <v>377</v>
      </c>
      <c r="PFW121" s="285" t="s">
        <v>376</v>
      </c>
      <c r="PFX121" s="285" t="s">
        <v>377</v>
      </c>
      <c r="PFY121" s="285" t="s">
        <v>376</v>
      </c>
      <c r="PFZ121" s="285" t="s">
        <v>377</v>
      </c>
      <c r="PGA121" s="285" t="s">
        <v>376</v>
      </c>
      <c r="PGB121" s="285" t="s">
        <v>377</v>
      </c>
      <c r="PGC121" s="285" t="s">
        <v>376</v>
      </c>
      <c r="PGD121" s="285" t="s">
        <v>377</v>
      </c>
      <c r="PGE121" s="285" t="s">
        <v>376</v>
      </c>
      <c r="PGF121" s="285" t="s">
        <v>377</v>
      </c>
      <c r="PGG121" s="285" t="s">
        <v>376</v>
      </c>
      <c r="PGH121" s="285" t="s">
        <v>377</v>
      </c>
      <c r="PGI121" s="285" t="s">
        <v>376</v>
      </c>
      <c r="PGJ121" s="285" t="s">
        <v>377</v>
      </c>
      <c r="PGK121" s="285" t="s">
        <v>376</v>
      </c>
      <c r="PGL121" s="285" t="s">
        <v>377</v>
      </c>
      <c r="PGM121" s="285" t="s">
        <v>376</v>
      </c>
      <c r="PGN121" s="285" t="s">
        <v>377</v>
      </c>
      <c r="PGO121" s="285" t="s">
        <v>376</v>
      </c>
      <c r="PGP121" s="285" t="s">
        <v>377</v>
      </c>
      <c r="PGQ121" s="285" t="s">
        <v>376</v>
      </c>
      <c r="PGR121" s="285" t="s">
        <v>377</v>
      </c>
      <c r="PGS121" s="285" t="s">
        <v>376</v>
      </c>
      <c r="PGT121" s="285" t="s">
        <v>377</v>
      </c>
      <c r="PGU121" s="285" t="s">
        <v>376</v>
      </c>
      <c r="PGV121" s="285" t="s">
        <v>377</v>
      </c>
      <c r="PGW121" s="285" t="s">
        <v>376</v>
      </c>
      <c r="PGX121" s="285" t="s">
        <v>377</v>
      </c>
      <c r="PGY121" s="285" t="s">
        <v>376</v>
      </c>
      <c r="PGZ121" s="285" t="s">
        <v>377</v>
      </c>
      <c r="PHA121" s="285" t="s">
        <v>376</v>
      </c>
      <c r="PHB121" s="285" t="s">
        <v>377</v>
      </c>
      <c r="PHC121" s="285" t="s">
        <v>376</v>
      </c>
      <c r="PHD121" s="285" t="s">
        <v>377</v>
      </c>
      <c r="PHE121" s="285" t="s">
        <v>376</v>
      </c>
      <c r="PHF121" s="285" t="s">
        <v>377</v>
      </c>
      <c r="PHG121" s="285" t="s">
        <v>376</v>
      </c>
      <c r="PHH121" s="285" t="s">
        <v>377</v>
      </c>
      <c r="PHI121" s="285" t="s">
        <v>376</v>
      </c>
      <c r="PHJ121" s="285" t="s">
        <v>377</v>
      </c>
      <c r="PHK121" s="285" t="s">
        <v>376</v>
      </c>
      <c r="PHL121" s="285" t="s">
        <v>377</v>
      </c>
      <c r="PHM121" s="285" t="s">
        <v>376</v>
      </c>
      <c r="PHN121" s="285" t="s">
        <v>377</v>
      </c>
      <c r="PHO121" s="285" t="s">
        <v>376</v>
      </c>
      <c r="PHP121" s="285" t="s">
        <v>377</v>
      </c>
      <c r="PHQ121" s="285" t="s">
        <v>376</v>
      </c>
      <c r="PHR121" s="285" t="s">
        <v>377</v>
      </c>
      <c r="PHS121" s="285" t="s">
        <v>376</v>
      </c>
      <c r="PHT121" s="285" t="s">
        <v>377</v>
      </c>
      <c r="PHU121" s="285" t="s">
        <v>376</v>
      </c>
      <c r="PHV121" s="285" t="s">
        <v>377</v>
      </c>
      <c r="PHW121" s="285" t="s">
        <v>376</v>
      </c>
      <c r="PHX121" s="285" t="s">
        <v>377</v>
      </c>
      <c r="PHY121" s="285" t="s">
        <v>376</v>
      </c>
      <c r="PHZ121" s="285" t="s">
        <v>377</v>
      </c>
      <c r="PIA121" s="285" t="s">
        <v>376</v>
      </c>
      <c r="PIB121" s="285" t="s">
        <v>377</v>
      </c>
      <c r="PIC121" s="285" t="s">
        <v>376</v>
      </c>
      <c r="PID121" s="285" t="s">
        <v>377</v>
      </c>
      <c r="PIE121" s="285" t="s">
        <v>376</v>
      </c>
      <c r="PIF121" s="285" t="s">
        <v>377</v>
      </c>
      <c r="PIG121" s="285" t="s">
        <v>376</v>
      </c>
      <c r="PIH121" s="285" t="s">
        <v>377</v>
      </c>
      <c r="PII121" s="285" t="s">
        <v>376</v>
      </c>
      <c r="PIJ121" s="285" t="s">
        <v>377</v>
      </c>
      <c r="PIK121" s="285" t="s">
        <v>376</v>
      </c>
      <c r="PIL121" s="285" t="s">
        <v>377</v>
      </c>
      <c r="PIM121" s="285" t="s">
        <v>376</v>
      </c>
      <c r="PIN121" s="285" t="s">
        <v>377</v>
      </c>
      <c r="PIO121" s="285" t="s">
        <v>376</v>
      </c>
      <c r="PIP121" s="285" t="s">
        <v>377</v>
      </c>
      <c r="PIQ121" s="285" t="s">
        <v>376</v>
      </c>
      <c r="PIR121" s="285" t="s">
        <v>377</v>
      </c>
      <c r="PIS121" s="285" t="s">
        <v>376</v>
      </c>
      <c r="PIT121" s="285" t="s">
        <v>377</v>
      </c>
      <c r="PIU121" s="285" t="s">
        <v>376</v>
      </c>
      <c r="PIV121" s="285" t="s">
        <v>377</v>
      </c>
      <c r="PIW121" s="285" t="s">
        <v>376</v>
      </c>
      <c r="PIX121" s="285" t="s">
        <v>377</v>
      </c>
      <c r="PIY121" s="285" t="s">
        <v>376</v>
      </c>
      <c r="PIZ121" s="285" t="s">
        <v>377</v>
      </c>
      <c r="PJA121" s="285" t="s">
        <v>376</v>
      </c>
      <c r="PJB121" s="285" t="s">
        <v>377</v>
      </c>
      <c r="PJC121" s="285" t="s">
        <v>376</v>
      </c>
      <c r="PJD121" s="285" t="s">
        <v>377</v>
      </c>
      <c r="PJE121" s="285" t="s">
        <v>376</v>
      </c>
      <c r="PJF121" s="285" t="s">
        <v>377</v>
      </c>
      <c r="PJG121" s="285" t="s">
        <v>376</v>
      </c>
      <c r="PJH121" s="285" t="s">
        <v>377</v>
      </c>
      <c r="PJI121" s="285" t="s">
        <v>376</v>
      </c>
      <c r="PJJ121" s="285" t="s">
        <v>377</v>
      </c>
      <c r="PJK121" s="285" t="s">
        <v>376</v>
      </c>
      <c r="PJL121" s="285" t="s">
        <v>377</v>
      </c>
      <c r="PJM121" s="285" t="s">
        <v>376</v>
      </c>
      <c r="PJN121" s="285" t="s">
        <v>377</v>
      </c>
      <c r="PJO121" s="285" t="s">
        <v>376</v>
      </c>
      <c r="PJP121" s="285" t="s">
        <v>377</v>
      </c>
      <c r="PJQ121" s="285" t="s">
        <v>376</v>
      </c>
      <c r="PJR121" s="285" t="s">
        <v>377</v>
      </c>
      <c r="PJS121" s="285" t="s">
        <v>376</v>
      </c>
      <c r="PJT121" s="285" t="s">
        <v>377</v>
      </c>
      <c r="PJU121" s="285" t="s">
        <v>376</v>
      </c>
      <c r="PJV121" s="285" t="s">
        <v>377</v>
      </c>
      <c r="PJW121" s="285" t="s">
        <v>376</v>
      </c>
      <c r="PJX121" s="285" t="s">
        <v>377</v>
      </c>
      <c r="PJY121" s="285" t="s">
        <v>376</v>
      </c>
      <c r="PJZ121" s="285" t="s">
        <v>377</v>
      </c>
      <c r="PKA121" s="285" t="s">
        <v>376</v>
      </c>
      <c r="PKB121" s="285" t="s">
        <v>377</v>
      </c>
      <c r="PKC121" s="285" t="s">
        <v>376</v>
      </c>
      <c r="PKD121" s="285" t="s">
        <v>377</v>
      </c>
      <c r="PKE121" s="285" t="s">
        <v>376</v>
      </c>
      <c r="PKF121" s="285" t="s">
        <v>377</v>
      </c>
      <c r="PKG121" s="285" t="s">
        <v>376</v>
      </c>
      <c r="PKH121" s="285" t="s">
        <v>377</v>
      </c>
      <c r="PKI121" s="285" t="s">
        <v>376</v>
      </c>
      <c r="PKJ121" s="285" t="s">
        <v>377</v>
      </c>
      <c r="PKK121" s="285" t="s">
        <v>376</v>
      </c>
      <c r="PKL121" s="285" t="s">
        <v>377</v>
      </c>
      <c r="PKM121" s="285" t="s">
        <v>376</v>
      </c>
      <c r="PKN121" s="285" t="s">
        <v>377</v>
      </c>
      <c r="PKO121" s="285" t="s">
        <v>376</v>
      </c>
      <c r="PKP121" s="285" t="s">
        <v>377</v>
      </c>
      <c r="PKQ121" s="285" t="s">
        <v>376</v>
      </c>
      <c r="PKR121" s="285" t="s">
        <v>377</v>
      </c>
      <c r="PKS121" s="285" t="s">
        <v>376</v>
      </c>
      <c r="PKT121" s="285" t="s">
        <v>377</v>
      </c>
      <c r="PKU121" s="285" t="s">
        <v>376</v>
      </c>
      <c r="PKV121" s="285" t="s">
        <v>377</v>
      </c>
      <c r="PKW121" s="285" t="s">
        <v>376</v>
      </c>
      <c r="PKX121" s="285" t="s">
        <v>377</v>
      </c>
      <c r="PKY121" s="285" t="s">
        <v>376</v>
      </c>
      <c r="PKZ121" s="285" t="s">
        <v>377</v>
      </c>
      <c r="PLA121" s="285" t="s">
        <v>376</v>
      </c>
      <c r="PLB121" s="285" t="s">
        <v>377</v>
      </c>
      <c r="PLC121" s="285" t="s">
        <v>376</v>
      </c>
      <c r="PLD121" s="285" t="s">
        <v>377</v>
      </c>
      <c r="PLE121" s="285" t="s">
        <v>376</v>
      </c>
      <c r="PLF121" s="285" t="s">
        <v>377</v>
      </c>
      <c r="PLG121" s="285" t="s">
        <v>376</v>
      </c>
      <c r="PLH121" s="285" t="s">
        <v>377</v>
      </c>
      <c r="PLI121" s="285" t="s">
        <v>376</v>
      </c>
      <c r="PLJ121" s="285" t="s">
        <v>377</v>
      </c>
      <c r="PLK121" s="285" t="s">
        <v>376</v>
      </c>
      <c r="PLL121" s="285" t="s">
        <v>377</v>
      </c>
      <c r="PLM121" s="285" t="s">
        <v>376</v>
      </c>
      <c r="PLN121" s="285" t="s">
        <v>377</v>
      </c>
      <c r="PLO121" s="285" t="s">
        <v>376</v>
      </c>
      <c r="PLP121" s="285" t="s">
        <v>377</v>
      </c>
      <c r="PLQ121" s="285" t="s">
        <v>376</v>
      </c>
      <c r="PLR121" s="285" t="s">
        <v>377</v>
      </c>
      <c r="PLS121" s="285" t="s">
        <v>376</v>
      </c>
      <c r="PLT121" s="285" t="s">
        <v>377</v>
      </c>
      <c r="PLU121" s="285" t="s">
        <v>376</v>
      </c>
      <c r="PLV121" s="285" t="s">
        <v>377</v>
      </c>
      <c r="PLW121" s="285" t="s">
        <v>376</v>
      </c>
      <c r="PLX121" s="285" t="s">
        <v>377</v>
      </c>
      <c r="PLY121" s="285" t="s">
        <v>376</v>
      </c>
      <c r="PLZ121" s="285" t="s">
        <v>377</v>
      </c>
      <c r="PMA121" s="285" t="s">
        <v>376</v>
      </c>
      <c r="PMB121" s="285" t="s">
        <v>377</v>
      </c>
      <c r="PMC121" s="285" t="s">
        <v>376</v>
      </c>
      <c r="PMD121" s="285" t="s">
        <v>377</v>
      </c>
      <c r="PME121" s="285" t="s">
        <v>376</v>
      </c>
      <c r="PMF121" s="285" t="s">
        <v>377</v>
      </c>
      <c r="PMG121" s="285" t="s">
        <v>376</v>
      </c>
      <c r="PMH121" s="285" t="s">
        <v>377</v>
      </c>
      <c r="PMI121" s="285" t="s">
        <v>376</v>
      </c>
      <c r="PMJ121" s="285" t="s">
        <v>377</v>
      </c>
      <c r="PMK121" s="285" t="s">
        <v>376</v>
      </c>
      <c r="PML121" s="285" t="s">
        <v>377</v>
      </c>
      <c r="PMM121" s="285" t="s">
        <v>376</v>
      </c>
      <c r="PMN121" s="285" t="s">
        <v>377</v>
      </c>
      <c r="PMO121" s="285" t="s">
        <v>376</v>
      </c>
      <c r="PMP121" s="285" t="s">
        <v>377</v>
      </c>
      <c r="PMQ121" s="285" t="s">
        <v>376</v>
      </c>
      <c r="PMR121" s="285" t="s">
        <v>377</v>
      </c>
      <c r="PMS121" s="285" t="s">
        <v>376</v>
      </c>
      <c r="PMT121" s="285" t="s">
        <v>377</v>
      </c>
      <c r="PMU121" s="285" t="s">
        <v>376</v>
      </c>
      <c r="PMV121" s="285" t="s">
        <v>377</v>
      </c>
      <c r="PMW121" s="285" t="s">
        <v>376</v>
      </c>
      <c r="PMX121" s="285" t="s">
        <v>377</v>
      </c>
      <c r="PMY121" s="285" t="s">
        <v>376</v>
      </c>
      <c r="PMZ121" s="285" t="s">
        <v>377</v>
      </c>
      <c r="PNA121" s="285" t="s">
        <v>376</v>
      </c>
      <c r="PNB121" s="285" t="s">
        <v>377</v>
      </c>
      <c r="PNC121" s="285" t="s">
        <v>376</v>
      </c>
      <c r="PND121" s="285" t="s">
        <v>377</v>
      </c>
      <c r="PNE121" s="285" t="s">
        <v>376</v>
      </c>
      <c r="PNF121" s="285" t="s">
        <v>377</v>
      </c>
      <c r="PNG121" s="285" t="s">
        <v>376</v>
      </c>
      <c r="PNH121" s="285" t="s">
        <v>377</v>
      </c>
      <c r="PNI121" s="285" t="s">
        <v>376</v>
      </c>
      <c r="PNJ121" s="285" t="s">
        <v>377</v>
      </c>
      <c r="PNK121" s="285" t="s">
        <v>376</v>
      </c>
      <c r="PNL121" s="285" t="s">
        <v>377</v>
      </c>
      <c r="PNM121" s="285" t="s">
        <v>376</v>
      </c>
      <c r="PNN121" s="285" t="s">
        <v>377</v>
      </c>
      <c r="PNO121" s="285" t="s">
        <v>376</v>
      </c>
      <c r="PNP121" s="285" t="s">
        <v>377</v>
      </c>
      <c r="PNQ121" s="285" t="s">
        <v>376</v>
      </c>
      <c r="PNR121" s="285" t="s">
        <v>377</v>
      </c>
      <c r="PNS121" s="285" t="s">
        <v>376</v>
      </c>
      <c r="PNT121" s="285" t="s">
        <v>377</v>
      </c>
      <c r="PNU121" s="285" t="s">
        <v>376</v>
      </c>
      <c r="PNV121" s="285" t="s">
        <v>377</v>
      </c>
      <c r="PNW121" s="285" t="s">
        <v>376</v>
      </c>
      <c r="PNX121" s="285" t="s">
        <v>377</v>
      </c>
      <c r="PNY121" s="285" t="s">
        <v>376</v>
      </c>
      <c r="PNZ121" s="285" t="s">
        <v>377</v>
      </c>
      <c r="POA121" s="285" t="s">
        <v>376</v>
      </c>
      <c r="POB121" s="285" t="s">
        <v>377</v>
      </c>
      <c r="POC121" s="285" t="s">
        <v>376</v>
      </c>
      <c r="POD121" s="285" t="s">
        <v>377</v>
      </c>
      <c r="POE121" s="285" t="s">
        <v>376</v>
      </c>
      <c r="POF121" s="285" t="s">
        <v>377</v>
      </c>
      <c r="POG121" s="285" t="s">
        <v>376</v>
      </c>
      <c r="POH121" s="285" t="s">
        <v>377</v>
      </c>
      <c r="POI121" s="285" t="s">
        <v>376</v>
      </c>
      <c r="POJ121" s="285" t="s">
        <v>377</v>
      </c>
      <c r="POK121" s="285" t="s">
        <v>376</v>
      </c>
      <c r="POL121" s="285" t="s">
        <v>377</v>
      </c>
      <c r="POM121" s="285" t="s">
        <v>376</v>
      </c>
      <c r="PON121" s="285" t="s">
        <v>377</v>
      </c>
      <c r="POO121" s="285" t="s">
        <v>376</v>
      </c>
      <c r="POP121" s="285" t="s">
        <v>377</v>
      </c>
      <c r="POQ121" s="285" t="s">
        <v>376</v>
      </c>
      <c r="POR121" s="285" t="s">
        <v>377</v>
      </c>
      <c r="POS121" s="285" t="s">
        <v>376</v>
      </c>
      <c r="POT121" s="285" t="s">
        <v>377</v>
      </c>
      <c r="POU121" s="285" t="s">
        <v>376</v>
      </c>
      <c r="POV121" s="285" t="s">
        <v>377</v>
      </c>
      <c r="POW121" s="285" t="s">
        <v>376</v>
      </c>
      <c r="POX121" s="285" t="s">
        <v>377</v>
      </c>
      <c r="POY121" s="285" t="s">
        <v>376</v>
      </c>
      <c r="POZ121" s="285" t="s">
        <v>377</v>
      </c>
      <c r="PPA121" s="285" t="s">
        <v>376</v>
      </c>
      <c r="PPB121" s="285" t="s">
        <v>377</v>
      </c>
      <c r="PPC121" s="285" t="s">
        <v>376</v>
      </c>
      <c r="PPD121" s="285" t="s">
        <v>377</v>
      </c>
      <c r="PPE121" s="285" t="s">
        <v>376</v>
      </c>
      <c r="PPF121" s="285" t="s">
        <v>377</v>
      </c>
      <c r="PPG121" s="285" t="s">
        <v>376</v>
      </c>
      <c r="PPH121" s="285" t="s">
        <v>377</v>
      </c>
      <c r="PPI121" s="285" t="s">
        <v>376</v>
      </c>
      <c r="PPJ121" s="285" t="s">
        <v>377</v>
      </c>
      <c r="PPK121" s="285" t="s">
        <v>376</v>
      </c>
      <c r="PPL121" s="285" t="s">
        <v>377</v>
      </c>
      <c r="PPM121" s="285" t="s">
        <v>376</v>
      </c>
      <c r="PPN121" s="285" t="s">
        <v>377</v>
      </c>
      <c r="PPO121" s="285" t="s">
        <v>376</v>
      </c>
      <c r="PPP121" s="285" t="s">
        <v>377</v>
      </c>
      <c r="PPQ121" s="285" t="s">
        <v>376</v>
      </c>
      <c r="PPR121" s="285" t="s">
        <v>377</v>
      </c>
      <c r="PPS121" s="285" t="s">
        <v>376</v>
      </c>
      <c r="PPT121" s="285" t="s">
        <v>377</v>
      </c>
      <c r="PPU121" s="285" t="s">
        <v>376</v>
      </c>
      <c r="PPV121" s="285" t="s">
        <v>377</v>
      </c>
      <c r="PPW121" s="285" t="s">
        <v>376</v>
      </c>
      <c r="PPX121" s="285" t="s">
        <v>377</v>
      </c>
      <c r="PPY121" s="285" t="s">
        <v>376</v>
      </c>
      <c r="PPZ121" s="285" t="s">
        <v>377</v>
      </c>
      <c r="PQA121" s="285" t="s">
        <v>376</v>
      </c>
      <c r="PQB121" s="285" t="s">
        <v>377</v>
      </c>
      <c r="PQC121" s="285" t="s">
        <v>376</v>
      </c>
      <c r="PQD121" s="285" t="s">
        <v>377</v>
      </c>
      <c r="PQE121" s="285" t="s">
        <v>376</v>
      </c>
      <c r="PQF121" s="285" t="s">
        <v>377</v>
      </c>
      <c r="PQG121" s="285" t="s">
        <v>376</v>
      </c>
      <c r="PQH121" s="285" t="s">
        <v>377</v>
      </c>
      <c r="PQI121" s="285" t="s">
        <v>376</v>
      </c>
      <c r="PQJ121" s="285" t="s">
        <v>377</v>
      </c>
      <c r="PQK121" s="285" t="s">
        <v>376</v>
      </c>
      <c r="PQL121" s="285" t="s">
        <v>377</v>
      </c>
      <c r="PQM121" s="285" t="s">
        <v>376</v>
      </c>
      <c r="PQN121" s="285" t="s">
        <v>377</v>
      </c>
      <c r="PQO121" s="285" t="s">
        <v>376</v>
      </c>
      <c r="PQP121" s="285" t="s">
        <v>377</v>
      </c>
      <c r="PQQ121" s="285" t="s">
        <v>376</v>
      </c>
      <c r="PQR121" s="285" t="s">
        <v>377</v>
      </c>
      <c r="PQS121" s="285" t="s">
        <v>376</v>
      </c>
      <c r="PQT121" s="285" t="s">
        <v>377</v>
      </c>
      <c r="PQU121" s="285" t="s">
        <v>376</v>
      </c>
      <c r="PQV121" s="285" t="s">
        <v>377</v>
      </c>
      <c r="PQW121" s="285" t="s">
        <v>376</v>
      </c>
      <c r="PQX121" s="285" t="s">
        <v>377</v>
      </c>
      <c r="PQY121" s="285" t="s">
        <v>376</v>
      </c>
      <c r="PQZ121" s="285" t="s">
        <v>377</v>
      </c>
      <c r="PRA121" s="285" t="s">
        <v>376</v>
      </c>
      <c r="PRB121" s="285" t="s">
        <v>377</v>
      </c>
      <c r="PRC121" s="285" t="s">
        <v>376</v>
      </c>
      <c r="PRD121" s="285" t="s">
        <v>377</v>
      </c>
      <c r="PRE121" s="285" t="s">
        <v>376</v>
      </c>
      <c r="PRF121" s="285" t="s">
        <v>377</v>
      </c>
      <c r="PRG121" s="285" t="s">
        <v>376</v>
      </c>
      <c r="PRH121" s="285" t="s">
        <v>377</v>
      </c>
      <c r="PRI121" s="285" t="s">
        <v>376</v>
      </c>
      <c r="PRJ121" s="285" t="s">
        <v>377</v>
      </c>
      <c r="PRK121" s="285" t="s">
        <v>376</v>
      </c>
      <c r="PRL121" s="285" t="s">
        <v>377</v>
      </c>
      <c r="PRM121" s="285" t="s">
        <v>376</v>
      </c>
      <c r="PRN121" s="285" t="s">
        <v>377</v>
      </c>
      <c r="PRO121" s="285" t="s">
        <v>376</v>
      </c>
      <c r="PRP121" s="285" t="s">
        <v>377</v>
      </c>
      <c r="PRQ121" s="285" t="s">
        <v>376</v>
      </c>
      <c r="PRR121" s="285" t="s">
        <v>377</v>
      </c>
      <c r="PRS121" s="285" t="s">
        <v>376</v>
      </c>
      <c r="PRT121" s="285" t="s">
        <v>377</v>
      </c>
      <c r="PRU121" s="285" t="s">
        <v>376</v>
      </c>
      <c r="PRV121" s="285" t="s">
        <v>377</v>
      </c>
      <c r="PRW121" s="285" t="s">
        <v>376</v>
      </c>
      <c r="PRX121" s="285" t="s">
        <v>377</v>
      </c>
      <c r="PRY121" s="285" t="s">
        <v>376</v>
      </c>
      <c r="PRZ121" s="285" t="s">
        <v>377</v>
      </c>
      <c r="PSA121" s="285" t="s">
        <v>376</v>
      </c>
      <c r="PSB121" s="285" t="s">
        <v>377</v>
      </c>
      <c r="PSC121" s="285" t="s">
        <v>376</v>
      </c>
      <c r="PSD121" s="285" t="s">
        <v>377</v>
      </c>
      <c r="PSE121" s="285" t="s">
        <v>376</v>
      </c>
      <c r="PSF121" s="285" t="s">
        <v>377</v>
      </c>
      <c r="PSG121" s="285" t="s">
        <v>376</v>
      </c>
      <c r="PSH121" s="285" t="s">
        <v>377</v>
      </c>
      <c r="PSI121" s="285" t="s">
        <v>376</v>
      </c>
      <c r="PSJ121" s="285" t="s">
        <v>377</v>
      </c>
      <c r="PSK121" s="285" t="s">
        <v>376</v>
      </c>
      <c r="PSL121" s="285" t="s">
        <v>377</v>
      </c>
      <c r="PSM121" s="285" t="s">
        <v>376</v>
      </c>
      <c r="PSN121" s="285" t="s">
        <v>377</v>
      </c>
      <c r="PSO121" s="285" t="s">
        <v>376</v>
      </c>
      <c r="PSP121" s="285" t="s">
        <v>377</v>
      </c>
      <c r="PSQ121" s="285" t="s">
        <v>376</v>
      </c>
      <c r="PSR121" s="285" t="s">
        <v>377</v>
      </c>
      <c r="PSS121" s="285" t="s">
        <v>376</v>
      </c>
      <c r="PST121" s="285" t="s">
        <v>377</v>
      </c>
      <c r="PSU121" s="285" t="s">
        <v>376</v>
      </c>
      <c r="PSV121" s="285" t="s">
        <v>377</v>
      </c>
      <c r="PSW121" s="285" t="s">
        <v>376</v>
      </c>
      <c r="PSX121" s="285" t="s">
        <v>377</v>
      </c>
      <c r="PSY121" s="285" t="s">
        <v>376</v>
      </c>
      <c r="PSZ121" s="285" t="s">
        <v>377</v>
      </c>
      <c r="PTA121" s="285" t="s">
        <v>376</v>
      </c>
      <c r="PTB121" s="285" t="s">
        <v>377</v>
      </c>
      <c r="PTC121" s="285" t="s">
        <v>376</v>
      </c>
      <c r="PTD121" s="285" t="s">
        <v>377</v>
      </c>
      <c r="PTE121" s="285" t="s">
        <v>376</v>
      </c>
      <c r="PTF121" s="285" t="s">
        <v>377</v>
      </c>
      <c r="PTG121" s="285" t="s">
        <v>376</v>
      </c>
      <c r="PTH121" s="285" t="s">
        <v>377</v>
      </c>
      <c r="PTI121" s="285" t="s">
        <v>376</v>
      </c>
      <c r="PTJ121" s="285" t="s">
        <v>377</v>
      </c>
      <c r="PTK121" s="285" t="s">
        <v>376</v>
      </c>
      <c r="PTL121" s="285" t="s">
        <v>377</v>
      </c>
      <c r="PTM121" s="285" t="s">
        <v>376</v>
      </c>
      <c r="PTN121" s="285" t="s">
        <v>377</v>
      </c>
      <c r="PTO121" s="285" t="s">
        <v>376</v>
      </c>
      <c r="PTP121" s="285" t="s">
        <v>377</v>
      </c>
      <c r="PTQ121" s="285" t="s">
        <v>376</v>
      </c>
      <c r="PTR121" s="285" t="s">
        <v>377</v>
      </c>
      <c r="PTS121" s="285" t="s">
        <v>376</v>
      </c>
      <c r="PTT121" s="285" t="s">
        <v>377</v>
      </c>
      <c r="PTU121" s="285" t="s">
        <v>376</v>
      </c>
      <c r="PTV121" s="285" t="s">
        <v>377</v>
      </c>
      <c r="PTW121" s="285" t="s">
        <v>376</v>
      </c>
      <c r="PTX121" s="285" t="s">
        <v>377</v>
      </c>
      <c r="PTY121" s="285" t="s">
        <v>376</v>
      </c>
      <c r="PTZ121" s="285" t="s">
        <v>377</v>
      </c>
      <c r="PUA121" s="285" t="s">
        <v>376</v>
      </c>
      <c r="PUB121" s="285" t="s">
        <v>377</v>
      </c>
      <c r="PUC121" s="285" t="s">
        <v>376</v>
      </c>
      <c r="PUD121" s="285" t="s">
        <v>377</v>
      </c>
      <c r="PUE121" s="285" t="s">
        <v>376</v>
      </c>
      <c r="PUF121" s="285" t="s">
        <v>377</v>
      </c>
      <c r="PUG121" s="285" t="s">
        <v>376</v>
      </c>
      <c r="PUH121" s="285" t="s">
        <v>377</v>
      </c>
      <c r="PUI121" s="285" t="s">
        <v>376</v>
      </c>
      <c r="PUJ121" s="285" t="s">
        <v>377</v>
      </c>
      <c r="PUK121" s="285" t="s">
        <v>376</v>
      </c>
      <c r="PUL121" s="285" t="s">
        <v>377</v>
      </c>
      <c r="PUM121" s="285" t="s">
        <v>376</v>
      </c>
      <c r="PUN121" s="285" t="s">
        <v>377</v>
      </c>
      <c r="PUO121" s="285" t="s">
        <v>376</v>
      </c>
      <c r="PUP121" s="285" t="s">
        <v>377</v>
      </c>
      <c r="PUQ121" s="285" t="s">
        <v>376</v>
      </c>
      <c r="PUR121" s="285" t="s">
        <v>377</v>
      </c>
      <c r="PUS121" s="285" t="s">
        <v>376</v>
      </c>
      <c r="PUT121" s="285" t="s">
        <v>377</v>
      </c>
      <c r="PUU121" s="285" t="s">
        <v>376</v>
      </c>
      <c r="PUV121" s="285" t="s">
        <v>377</v>
      </c>
      <c r="PUW121" s="285" t="s">
        <v>376</v>
      </c>
      <c r="PUX121" s="285" t="s">
        <v>377</v>
      </c>
      <c r="PUY121" s="285" t="s">
        <v>376</v>
      </c>
      <c r="PUZ121" s="285" t="s">
        <v>377</v>
      </c>
      <c r="PVA121" s="285" t="s">
        <v>376</v>
      </c>
      <c r="PVB121" s="285" t="s">
        <v>377</v>
      </c>
      <c r="PVC121" s="285" t="s">
        <v>376</v>
      </c>
      <c r="PVD121" s="285" t="s">
        <v>377</v>
      </c>
      <c r="PVE121" s="285" t="s">
        <v>376</v>
      </c>
      <c r="PVF121" s="285" t="s">
        <v>377</v>
      </c>
      <c r="PVG121" s="285" t="s">
        <v>376</v>
      </c>
      <c r="PVH121" s="285" t="s">
        <v>377</v>
      </c>
      <c r="PVI121" s="285" t="s">
        <v>376</v>
      </c>
      <c r="PVJ121" s="285" t="s">
        <v>377</v>
      </c>
      <c r="PVK121" s="285" t="s">
        <v>376</v>
      </c>
      <c r="PVL121" s="285" t="s">
        <v>377</v>
      </c>
      <c r="PVM121" s="285" t="s">
        <v>376</v>
      </c>
      <c r="PVN121" s="285" t="s">
        <v>377</v>
      </c>
      <c r="PVO121" s="285" t="s">
        <v>376</v>
      </c>
      <c r="PVP121" s="285" t="s">
        <v>377</v>
      </c>
      <c r="PVQ121" s="285" t="s">
        <v>376</v>
      </c>
      <c r="PVR121" s="285" t="s">
        <v>377</v>
      </c>
      <c r="PVS121" s="285" t="s">
        <v>376</v>
      </c>
      <c r="PVT121" s="285" t="s">
        <v>377</v>
      </c>
      <c r="PVU121" s="285" t="s">
        <v>376</v>
      </c>
      <c r="PVV121" s="285" t="s">
        <v>377</v>
      </c>
      <c r="PVW121" s="285" t="s">
        <v>376</v>
      </c>
      <c r="PVX121" s="285" t="s">
        <v>377</v>
      </c>
      <c r="PVY121" s="285" t="s">
        <v>376</v>
      </c>
      <c r="PVZ121" s="285" t="s">
        <v>377</v>
      </c>
      <c r="PWA121" s="285" t="s">
        <v>376</v>
      </c>
      <c r="PWB121" s="285" t="s">
        <v>377</v>
      </c>
      <c r="PWC121" s="285" t="s">
        <v>376</v>
      </c>
      <c r="PWD121" s="285" t="s">
        <v>377</v>
      </c>
      <c r="PWE121" s="285" t="s">
        <v>376</v>
      </c>
      <c r="PWF121" s="285" t="s">
        <v>377</v>
      </c>
      <c r="PWG121" s="285" t="s">
        <v>376</v>
      </c>
      <c r="PWH121" s="285" t="s">
        <v>377</v>
      </c>
      <c r="PWI121" s="285" t="s">
        <v>376</v>
      </c>
      <c r="PWJ121" s="285" t="s">
        <v>377</v>
      </c>
      <c r="PWK121" s="285" t="s">
        <v>376</v>
      </c>
      <c r="PWL121" s="285" t="s">
        <v>377</v>
      </c>
      <c r="PWM121" s="285" t="s">
        <v>376</v>
      </c>
      <c r="PWN121" s="285" t="s">
        <v>377</v>
      </c>
      <c r="PWO121" s="285" t="s">
        <v>376</v>
      </c>
      <c r="PWP121" s="285" t="s">
        <v>377</v>
      </c>
      <c r="PWQ121" s="285" t="s">
        <v>376</v>
      </c>
      <c r="PWR121" s="285" t="s">
        <v>377</v>
      </c>
      <c r="PWS121" s="285" t="s">
        <v>376</v>
      </c>
      <c r="PWT121" s="285" t="s">
        <v>377</v>
      </c>
      <c r="PWU121" s="285" t="s">
        <v>376</v>
      </c>
      <c r="PWV121" s="285" t="s">
        <v>377</v>
      </c>
      <c r="PWW121" s="285" t="s">
        <v>376</v>
      </c>
      <c r="PWX121" s="285" t="s">
        <v>377</v>
      </c>
      <c r="PWY121" s="285" t="s">
        <v>376</v>
      </c>
      <c r="PWZ121" s="285" t="s">
        <v>377</v>
      </c>
      <c r="PXA121" s="285" t="s">
        <v>376</v>
      </c>
      <c r="PXB121" s="285" t="s">
        <v>377</v>
      </c>
      <c r="PXC121" s="285" t="s">
        <v>376</v>
      </c>
      <c r="PXD121" s="285" t="s">
        <v>377</v>
      </c>
      <c r="PXE121" s="285" t="s">
        <v>376</v>
      </c>
      <c r="PXF121" s="285" t="s">
        <v>377</v>
      </c>
      <c r="PXG121" s="285" t="s">
        <v>376</v>
      </c>
      <c r="PXH121" s="285" t="s">
        <v>377</v>
      </c>
      <c r="PXI121" s="285" t="s">
        <v>376</v>
      </c>
      <c r="PXJ121" s="285" t="s">
        <v>377</v>
      </c>
      <c r="PXK121" s="285" t="s">
        <v>376</v>
      </c>
      <c r="PXL121" s="285" t="s">
        <v>377</v>
      </c>
      <c r="PXM121" s="285" t="s">
        <v>376</v>
      </c>
      <c r="PXN121" s="285" t="s">
        <v>377</v>
      </c>
      <c r="PXO121" s="285" t="s">
        <v>376</v>
      </c>
      <c r="PXP121" s="285" t="s">
        <v>377</v>
      </c>
      <c r="PXQ121" s="285" t="s">
        <v>376</v>
      </c>
      <c r="PXR121" s="285" t="s">
        <v>377</v>
      </c>
      <c r="PXS121" s="285" t="s">
        <v>376</v>
      </c>
      <c r="PXT121" s="285" t="s">
        <v>377</v>
      </c>
      <c r="PXU121" s="285" t="s">
        <v>376</v>
      </c>
      <c r="PXV121" s="285" t="s">
        <v>377</v>
      </c>
      <c r="PXW121" s="285" t="s">
        <v>376</v>
      </c>
      <c r="PXX121" s="285" t="s">
        <v>377</v>
      </c>
      <c r="PXY121" s="285" t="s">
        <v>376</v>
      </c>
      <c r="PXZ121" s="285" t="s">
        <v>377</v>
      </c>
      <c r="PYA121" s="285" t="s">
        <v>376</v>
      </c>
      <c r="PYB121" s="285" t="s">
        <v>377</v>
      </c>
      <c r="PYC121" s="285" t="s">
        <v>376</v>
      </c>
      <c r="PYD121" s="285" t="s">
        <v>377</v>
      </c>
      <c r="PYE121" s="285" t="s">
        <v>376</v>
      </c>
      <c r="PYF121" s="285" t="s">
        <v>377</v>
      </c>
      <c r="PYG121" s="285" t="s">
        <v>376</v>
      </c>
      <c r="PYH121" s="285" t="s">
        <v>377</v>
      </c>
      <c r="PYI121" s="285" t="s">
        <v>376</v>
      </c>
      <c r="PYJ121" s="285" t="s">
        <v>377</v>
      </c>
      <c r="PYK121" s="285" t="s">
        <v>376</v>
      </c>
      <c r="PYL121" s="285" t="s">
        <v>377</v>
      </c>
      <c r="PYM121" s="285" t="s">
        <v>376</v>
      </c>
      <c r="PYN121" s="285" t="s">
        <v>377</v>
      </c>
      <c r="PYO121" s="285" t="s">
        <v>376</v>
      </c>
      <c r="PYP121" s="285" t="s">
        <v>377</v>
      </c>
      <c r="PYQ121" s="285" t="s">
        <v>376</v>
      </c>
      <c r="PYR121" s="285" t="s">
        <v>377</v>
      </c>
      <c r="PYS121" s="285" t="s">
        <v>376</v>
      </c>
      <c r="PYT121" s="285" t="s">
        <v>377</v>
      </c>
      <c r="PYU121" s="285" t="s">
        <v>376</v>
      </c>
      <c r="PYV121" s="285" t="s">
        <v>377</v>
      </c>
      <c r="PYW121" s="285" t="s">
        <v>376</v>
      </c>
      <c r="PYX121" s="285" t="s">
        <v>377</v>
      </c>
      <c r="PYY121" s="285" t="s">
        <v>376</v>
      </c>
      <c r="PYZ121" s="285" t="s">
        <v>377</v>
      </c>
      <c r="PZA121" s="285" t="s">
        <v>376</v>
      </c>
      <c r="PZB121" s="285" t="s">
        <v>377</v>
      </c>
      <c r="PZC121" s="285" t="s">
        <v>376</v>
      </c>
      <c r="PZD121" s="285" t="s">
        <v>377</v>
      </c>
      <c r="PZE121" s="285" t="s">
        <v>376</v>
      </c>
      <c r="PZF121" s="285" t="s">
        <v>377</v>
      </c>
      <c r="PZG121" s="285" t="s">
        <v>376</v>
      </c>
      <c r="PZH121" s="285" t="s">
        <v>377</v>
      </c>
      <c r="PZI121" s="285" t="s">
        <v>376</v>
      </c>
      <c r="PZJ121" s="285" t="s">
        <v>377</v>
      </c>
      <c r="PZK121" s="285" t="s">
        <v>376</v>
      </c>
      <c r="PZL121" s="285" t="s">
        <v>377</v>
      </c>
      <c r="PZM121" s="285" t="s">
        <v>376</v>
      </c>
      <c r="PZN121" s="285" t="s">
        <v>377</v>
      </c>
      <c r="PZO121" s="285" t="s">
        <v>376</v>
      </c>
      <c r="PZP121" s="285" t="s">
        <v>377</v>
      </c>
      <c r="PZQ121" s="285" t="s">
        <v>376</v>
      </c>
      <c r="PZR121" s="285" t="s">
        <v>377</v>
      </c>
      <c r="PZS121" s="285" t="s">
        <v>376</v>
      </c>
      <c r="PZT121" s="285" t="s">
        <v>377</v>
      </c>
      <c r="PZU121" s="285" t="s">
        <v>376</v>
      </c>
      <c r="PZV121" s="285" t="s">
        <v>377</v>
      </c>
      <c r="PZW121" s="285" t="s">
        <v>376</v>
      </c>
      <c r="PZX121" s="285" t="s">
        <v>377</v>
      </c>
      <c r="PZY121" s="285" t="s">
        <v>376</v>
      </c>
      <c r="PZZ121" s="285" t="s">
        <v>377</v>
      </c>
      <c r="QAA121" s="285" t="s">
        <v>376</v>
      </c>
      <c r="QAB121" s="285" t="s">
        <v>377</v>
      </c>
      <c r="QAC121" s="285" t="s">
        <v>376</v>
      </c>
      <c r="QAD121" s="285" t="s">
        <v>377</v>
      </c>
      <c r="QAE121" s="285" t="s">
        <v>376</v>
      </c>
      <c r="QAF121" s="285" t="s">
        <v>377</v>
      </c>
      <c r="QAG121" s="285" t="s">
        <v>376</v>
      </c>
      <c r="QAH121" s="285" t="s">
        <v>377</v>
      </c>
      <c r="QAI121" s="285" t="s">
        <v>376</v>
      </c>
      <c r="QAJ121" s="285" t="s">
        <v>377</v>
      </c>
      <c r="QAK121" s="285" t="s">
        <v>376</v>
      </c>
      <c r="QAL121" s="285" t="s">
        <v>377</v>
      </c>
      <c r="QAM121" s="285" t="s">
        <v>376</v>
      </c>
      <c r="QAN121" s="285" t="s">
        <v>377</v>
      </c>
      <c r="QAO121" s="285" t="s">
        <v>376</v>
      </c>
      <c r="QAP121" s="285" t="s">
        <v>377</v>
      </c>
      <c r="QAQ121" s="285" t="s">
        <v>376</v>
      </c>
      <c r="QAR121" s="285" t="s">
        <v>377</v>
      </c>
      <c r="QAS121" s="285" t="s">
        <v>376</v>
      </c>
      <c r="QAT121" s="285" t="s">
        <v>377</v>
      </c>
      <c r="QAU121" s="285" t="s">
        <v>376</v>
      </c>
      <c r="QAV121" s="285" t="s">
        <v>377</v>
      </c>
      <c r="QAW121" s="285" t="s">
        <v>376</v>
      </c>
      <c r="QAX121" s="285" t="s">
        <v>377</v>
      </c>
      <c r="QAY121" s="285" t="s">
        <v>376</v>
      </c>
      <c r="QAZ121" s="285" t="s">
        <v>377</v>
      </c>
      <c r="QBA121" s="285" t="s">
        <v>376</v>
      </c>
      <c r="QBB121" s="285" t="s">
        <v>377</v>
      </c>
      <c r="QBC121" s="285" t="s">
        <v>376</v>
      </c>
      <c r="QBD121" s="285" t="s">
        <v>377</v>
      </c>
      <c r="QBE121" s="285" t="s">
        <v>376</v>
      </c>
      <c r="QBF121" s="285" t="s">
        <v>377</v>
      </c>
      <c r="QBG121" s="285" t="s">
        <v>376</v>
      </c>
      <c r="QBH121" s="285" t="s">
        <v>377</v>
      </c>
      <c r="QBI121" s="285" t="s">
        <v>376</v>
      </c>
      <c r="QBJ121" s="285" t="s">
        <v>377</v>
      </c>
      <c r="QBK121" s="285" t="s">
        <v>376</v>
      </c>
      <c r="QBL121" s="285" t="s">
        <v>377</v>
      </c>
      <c r="QBM121" s="285" t="s">
        <v>376</v>
      </c>
      <c r="QBN121" s="285" t="s">
        <v>377</v>
      </c>
      <c r="QBO121" s="285" t="s">
        <v>376</v>
      </c>
      <c r="QBP121" s="285" t="s">
        <v>377</v>
      </c>
      <c r="QBQ121" s="285" t="s">
        <v>376</v>
      </c>
      <c r="QBR121" s="285" t="s">
        <v>377</v>
      </c>
      <c r="QBS121" s="285" t="s">
        <v>376</v>
      </c>
      <c r="QBT121" s="285" t="s">
        <v>377</v>
      </c>
      <c r="QBU121" s="285" t="s">
        <v>376</v>
      </c>
      <c r="QBV121" s="285" t="s">
        <v>377</v>
      </c>
      <c r="QBW121" s="285" t="s">
        <v>376</v>
      </c>
      <c r="QBX121" s="285" t="s">
        <v>377</v>
      </c>
      <c r="QBY121" s="285" t="s">
        <v>376</v>
      </c>
      <c r="QBZ121" s="285" t="s">
        <v>377</v>
      </c>
      <c r="QCA121" s="285" t="s">
        <v>376</v>
      </c>
      <c r="QCB121" s="285" t="s">
        <v>377</v>
      </c>
      <c r="QCC121" s="285" t="s">
        <v>376</v>
      </c>
      <c r="QCD121" s="285" t="s">
        <v>377</v>
      </c>
      <c r="QCE121" s="285" t="s">
        <v>376</v>
      </c>
      <c r="QCF121" s="285" t="s">
        <v>377</v>
      </c>
      <c r="QCG121" s="285" t="s">
        <v>376</v>
      </c>
      <c r="QCH121" s="285" t="s">
        <v>377</v>
      </c>
      <c r="QCI121" s="285" t="s">
        <v>376</v>
      </c>
      <c r="QCJ121" s="285" t="s">
        <v>377</v>
      </c>
      <c r="QCK121" s="285" t="s">
        <v>376</v>
      </c>
      <c r="QCL121" s="285" t="s">
        <v>377</v>
      </c>
      <c r="QCM121" s="285" t="s">
        <v>376</v>
      </c>
      <c r="QCN121" s="285" t="s">
        <v>377</v>
      </c>
      <c r="QCO121" s="285" t="s">
        <v>376</v>
      </c>
      <c r="QCP121" s="285" t="s">
        <v>377</v>
      </c>
      <c r="QCQ121" s="285" t="s">
        <v>376</v>
      </c>
      <c r="QCR121" s="285" t="s">
        <v>377</v>
      </c>
      <c r="QCS121" s="285" t="s">
        <v>376</v>
      </c>
      <c r="QCT121" s="285" t="s">
        <v>377</v>
      </c>
      <c r="QCU121" s="285" t="s">
        <v>376</v>
      </c>
      <c r="QCV121" s="285" t="s">
        <v>377</v>
      </c>
      <c r="QCW121" s="285" t="s">
        <v>376</v>
      </c>
      <c r="QCX121" s="285" t="s">
        <v>377</v>
      </c>
      <c r="QCY121" s="285" t="s">
        <v>376</v>
      </c>
      <c r="QCZ121" s="285" t="s">
        <v>377</v>
      </c>
      <c r="QDA121" s="285" t="s">
        <v>376</v>
      </c>
      <c r="QDB121" s="285" t="s">
        <v>377</v>
      </c>
      <c r="QDC121" s="285" t="s">
        <v>376</v>
      </c>
      <c r="QDD121" s="285" t="s">
        <v>377</v>
      </c>
      <c r="QDE121" s="285" t="s">
        <v>376</v>
      </c>
      <c r="QDF121" s="285" t="s">
        <v>377</v>
      </c>
      <c r="QDG121" s="285" t="s">
        <v>376</v>
      </c>
      <c r="QDH121" s="285" t="s">
        <v>377</v>
      </c>
      <c r="QDI121" s="285" t="s">
        <v>376</v>
      </c>
      <c r="QDJ121" s="285" t="s">
        <v>377</v>
      </c>
      <c r="QDK121" s="285" t="s">
        <v>376</v>
      </c>
      <c r="QDL121" s="285" t="s">
        <v>377</v>
      </c>
      <c r="QDM121" s="285" t="s">
        <v>376</v>
      </c>
      <c r="QDN121" s="285" t="s">
        <v>377</v>
      </c>
      <c r="QDO121" s="285" t="s">
        <v>376</v>
      </c>
      <c r="QDP121" s="285" t="s">
        <v>377</v>
      </c>
      <c r="QDQ121" s="285" t="s">
        <v>376</v>
      </c>
      <c r="QDR121" s="285" t="s">
        <v>377</v>
      </c>
      <c r="QDS121" s="285" t="s">
        <v>376</v>
      </c>
      <c r="QDT121" s="285" t="s">
        <v>377</v>
      </c>
      <c r="QDU121" s="285" t="s">
        <v>376</v>
      </c>
      <c r="QDV121" s="285" t="s">
        <v>377</v>
      </c>
      <c r="QDW121" s="285" t="s">
        <v>376</v>
      </c>
      <c r="QDX121" s="285" t="s">
        <v>377</v>
      </c>
      <c r="QDY121" s="285" t="s">
        <v>376</v>
      </c>
      <c r="QDZ121" s="285" t="s">
        <v>377</v>
      </c>
      <c r="QEA121" s="285" t="s">
        <v>376</v>
      </c>
      <c r="QEB121" s="285" t="s">
        <v>377</v>
      </c>
      <c r="QEC121" s="285" t="s">
        <v>376</v>
      </c>
      <c r="QED121" s="285" t="s">
        <v>377</v>
      </c>
      <c r="QEE121" s="285" t="s">
        <v>376</v>
      </c>
      <c r="QEF121" s="285" t="s">
        <v>377</v>
      </c>
      <c r="QEG121" s="285" t="s">
        <v>376</v>
      </c>
      <c r="QEH121" s="285" t="s">
        <v>377</v>
      </c>
      <c r="QEI121" s="285" t="s">
        <v>376</v>
      </c>
      <c r="QEJ121" s="285" t="s">
        <v>377</v>
      </c>
      <c r="QEK121" s="285" t="s">
        <v>376</v>
      </c>
      <c r="QEL121" s="285" t="s">
        <v>377</v>
      </c>
      <c r="QEM121" s="285" t="s">
        <v>376</v>
      </c>
      <c r="QEN121" s="285" t="s">
        <v>377</v>
      </c>
      <c r="QEO121" s="285" t="s">
        <v>376</v>
      </c>
      <c r="QEP121" s="285" t="s">
        <v>377</v>
      </c>
      <c r="QEQ121" s="285" t="s">
        <v>376</v>
      </c>
      <c r="QER121" s="285" t="s">
        <v>377</v>
      </c>
      <c r="QES121" s="285" t="s">
        <v>376</v>
      </c>
      <c r="QET121" s="285" t="s">
        <v>377</v>
      </c>
      <c r="QEU121" s="285" t="s">
        <v>376</v>
      </c>
      <c r="QEV121" s="285" t="s">
        <v>377</v>
      </c>
      <c r="QEW121" s="285" t="s">
        <v>376</v>
      </c>
      <c r="QEX121" s="285" t="s">
        <v>377</v>
      </c>
      <c r="QEY121" s="285" t="s">
        <v>376</v>
      </c>
      <c r="QEZ121" s="285" t="s">
        <v>377</v>
      </c>
      <c r="QFA121" s="285" t="s">
        <v>376</v>
      </c>
      <c r="QFB121" s="285" t="s">
        <v>377</v>
      </c>
      <c r="QFC121" s="285" t="s">
        <v>376</v>
      </c>
      <c r="QFD121" s="285" t="s">
        <v>377</v>
      </c>
      <c r="QFE121" s="285" t="s">
        <v>376</v>
      </c>
      <c r="QFF121" s="285" t="s">
        <v>377</v>
      </c>
      <c r="QFG121" s="285" t="s">
        <v>376</v>
      </c>
      <c r="QFH121" s="285" t="s">
        <v>377</v>
      </c>
      <c r="QFI121" s="285" t="s">
        <v>376</v>
      </c>
      <c r="QFJ121" s="285" t="s">
        <v>377</v>
      </c>
      <c r="QFK121" s="285" t="s">
        <v>376</v>
      </c>
      <c r="QFL121" s="285" t="s">
        <v>377</v>
      </c>
      <c r="QFM121" s="285" t="s">
        <v>376</v>
      </c>
      <c r="QFN121" s="285" t="s">
        <v>377</v>
      </c>
      <c r="QFO121" s="285" t="s">
        <v>376</v>
      </c>
      <c r="QFP121" s="285" t="s">
        <v>377</v>
      </c>
      <c r="QFQ121" s="285" t="s">
        <v>376</v>
      </c>
      <c r="QFR121" s="285" t="s">
        <v>377</v>
      </c>
      <c r="QFS121" s="285" t="s">
        <v>376</v>
      </c>
      <c r="QFT121" s="285" t="s">
        <v>377</v>
      </c>
      <c r="QFU121" s="285" t="s">
        <v>376</v>
      </c>
      <c r="QFV121" s="285" t="s">
        <v>377</v>
      </c>
      <c r="QFW121" s="285" t="s">
        <v>376</v>
      </c>
      <c r="QFX121" s="285" t="s">
        <v>377</v>
      </c>
      <c r="QFY121" s="285" t="s">
        <v>376</v>
      </c>
      <c r="QFZ121" s="285" t="s">
        <v>377</v>
      </c>
      <c r="QGA121" s="285" t="s">
        <v>376</v>
      </c>
      <c r="QGB121" s="285" t="s">
        <v>377</v>
      </c>
      <c r="QGC121" s="285" t="s">
        <v>376</v>
      </c>
      <c r="QGD121" s="285" t="s">
        <v>377</v>
      </c>
      <c r="QGE121" s="285" t="s">
        <v>376</v>
      </c>
      <c r="QGF121" s="285" t="s">
        <v>377</v>
      </c>
      <c r="QGG121" s="285" t="s">
        <v>376</v>
      </c>
      <c r="QGH121" s="285" t="s">
        <v>377</v>
      </c>
      <c r="QGI121" s="285" t="s">
        <v>376</v>
      </c>
      <c r="QGJ121" s="285" t="s">
        <v>377</v>
      </c>
      <c r="QGK121" s="285" t="s">
        <v>376</v>
      </c>
      <c r="QGL121" s="285" t="s">
        <v>377</v>
      </c>
      <c r="QGM121" s="285" t="s">
        <v>376</v>
      </c>
      <c r="QGN121" s="285" t="s">
        <v>377</v>
      </c>
      <c r="QGO121" s="285" t="s">
        <v>376</v>
      </c>
      <c r="QGP121" s="285" t="s">
        <v>377</v>
      </c>
      <c r="QGQ121" s="285" t="s">
        <v>376</v>
      </c>
      <c r="QGR121" s="285" t="s">
        <v>377</v>
      </c>
      <c r="QGS121" s="285" t="s">
        <v>376</v>
      </c>
      <c r="QGT121" s="285" t="s">
        <v>377</v>
      </c>
      <c r="QGU121" s="285" t="s">
        <v>376</v>
      </c>
      <c r="QGV121" s="285" t="s">
        <v>377</v>
      </c>
      <c r="QGW121" s="285" t="s">
        <v>376</v>
      </c>
      <c r="QGX121" s="285" t="s">
        <v>377</v>
      </c>
      <c r="QGY121" s="285" t="s">
        <v>376</v>
      </c>
      <c r="QGZ121" s="285" t="s">
        <v>377</v>
      </c>
      <c r="QHA121" s="285" t="s">
        <v>376</v>
      </c>
      <c r="QHB121" s="285" t="s">
        <v>377</v>
      </c>
      <c r="QHC121" s="285" t="s">
        <v>376</v>
      </c>
      <c r="QHD121" s="285" t="s">
        <v>377</v>
      </c>
      <c r="QHE121" s="285" t="s">
        <v>376</v>
      </c>
      <c r="QHF121" s="285" t="s">
        <v>377</v>
      </c>
      <c r="QHG121" s="285" t="s">
        <v>376</v>
      </c>
      <c r="QHH121" s="285" t="s">
        <v>377</v>
      </c>
      <c r="QHI121" s="285" t="s">
        <v>376</v>
      </c>
      <c r="QHJ121" s="285" t="s">
        <v>377</v>
      </c>
      <c r="QHK121" s="285" t="s">
        <v>376</v>
      </c>
      <c r="QHL121" s="285" t="s">
        <v>377</v>
      </c>
      <c r="QHM121" s="285" t="s">
        <v>376</v>
      </c>
      <c r="QHN121" s="285" t="s">
        <v>377</v>
      </c>
      <c r="QHO121" s="285" t="s">
        <v>376</v>
      </c>
      <c r="QHP121" s="285" t="s">
        <v>377</v>
      </c>
      <c r="QHQ121" s="285" t="s">
        <v>376</v>
      </c>
      <c r="QHR121" s="285" t="s">
        <v>377</v>
      </c>
      <c r="QHS121" s="285" t="s">
        <v>376</v>
      </c>
      <c r="QHT121" s="285" t="s">
        <v>377</v>
      </c>
      <c r="QHU121" s="285" t="s">
        <v>376</v>
      </c>
      <c r="QHV121" s="285" t="s">
        <v>377</v>
      </c>
      <c r="QHW121" s="285" t="s">
        <v>376</v>
      </c>
      <c r="QHX121" s="285" t="s">
        <v>377</v>
      </c>
      <c r="QHY121" s="285" t="s">
        <v>376</v>
      </c>
      <c r="QHZ121" s="285" t="s">
        <v>377</v>
      </c>
      <c r="QIA121" s="285" t="s">
        <v>376</v>
      </c>
      <c r="QIB121" s="285" t="s">
        <v>377</v>
      </c>
      <c r="QIC121" s="285" t="s">
        <v>376</v>
      </c>
      <c r="QID121" s="285" t="s">
        <v>377</v>
      </c>
      <c r="QIE121" s="285" t="s">
        <v>376</v>
      </c>
      <c r="QIF121" s="285" t="s">
        <v>377</v>
      </c>
      <c r="QIG121" s="285" t="s">
        <v>376</v>
      </c>
      <c r="QIH121" s="285" t="s">
        <v>377</v>
      </c>
      <c r="QII121" s="285" t="s">
        <v>376</v>
      </c>
      <c r="QIJ121" s="285" t="s">
        <v>377</v>
      </c>
      <c r="QIK121" s="285" t="s">
        <v>376</v>
      </c>
      <c r="QIL121" s="285" t="s">
        <v>377</v>
      </c>
      <c r="QIM121" s="285" t="s">
        <v>376</v>
      </c>
      <c r="QIN121" s="285" t="s">
        <v>377</v>
      </c>
      <c r="QIO121" s="285" t="s">
        <v>376</v>
      </c>
      <c r="QIP121" s="285" t="s">
        <v>377</v>
      </c>
      <c r="QIQ121" s="285" t="s">
        <v>376</v>
      </c>
      <c r="QIR121" s="285" t="s">
        <v>377</v>
      </c>
      <c r="QIS121" s="285" t="s">
        <v>376</v>
      </c>
      <c r="QIT121" s="285" t="s">
        <v>377</v>
      </c>
      <c r="QIU121" s="285" t="s">
        <v>376</v>
      </c>
      <c r="QIV121" s="285" t="s">
        <v>377</v>
      </c>
      <c r="QIW121" s="285" t="s">
        <v>376</v>
      </c>
      <c r="QIX121" s="285" t="s">
        <v>377</v>
      </c>
      <c r="QIY121" s="285" t="s">
        <v>376</v>
      </c>
      <c r="QIZ121" s="285" t="s">
        <v>377</v>
      </c>
      <c r="QJA121" s="285" t="s">
        <v>376</v>
      </c>
      <c r="QJB121" s="285" t="s">
        <v>377</v>
      </c>
      <c r="QJC121" s="285" t="s">
        <v>376</v>
      </c>
      <c r="QJD121" s="285" t="s">
        <v>377</v>
      </c>
      <c r="QJE121" s="285" t="s">
        <v>376</v>
      </c>
      <c r="QJF121" s="285" t="s">
        <v>377</v>
      </c>
      <c r="QJG121" s="285" t="s">
        <v>376</v>
      </c>
      <c r="QJH121" s="285" t="s">
        <v>377</v>
      </c>
      <c r="QJI121" s="285" t="s">
        <v>376</v>
      </c>
      <c r="QJJ121" s="285" t="s">
        <v>377</v>
      </c>
      <c r="QJK121" s="285" t="s">
        <v>376</v>
      </c>
      <c r="QJL121" s="285" t="s">
        <v>377</v>
      </c>
      <c r="QJM121" s="285" t="s">
        <v>376</v>
      </c>
      <c r="QJN121" s="285" t="s">
        <v>377</v>
      </c>
      <c r="QJO121" s="285" t="s">
        <v>376</v>
      </c>
      <c r="QJP121" s="285" t="s">
        <v>377</v>
      </c>
      <c r="QJQ121" s="285" t="s">
        <v>376</v>
      </c>
      <c r="QJR121" s="285" t="s">
        <v>377</v>
      </c>
      <c r="QJS121" s="285" t="s">
        <v>376</v>
      </c>
      <c r="QJT121" s="285" t="s">
        <v>377</v>
      </c>
      <c r="QJU121" s="285" t="s">
        <v>376</v>
      </c>
      <c r="QJV121" s="285" t="s">
        <v>377</v>
      </c>
      <c r="QJW121" s="285" t="s">
        <v>376</v>
      </c>
      <c r="QJX121" s="285" t="s">
        <v>377</v>
      </c>
      <c r="QJY121" s="285" t="s">
        <v>376</v>
      </c>
      <c r="QJZ121" s="285" t="s">
        <v>377</v>
      </c>
      <c r="QKA121" s="285" t="s">
        <v>376</v>
      </c>
      <c r="QKB121" s="285" t="s">
        <v>377</v>
      </c>
      <c r="QKC121" s="285" t="s">
        <v>376</v>
      </c>
      <c r="QKD121" s="285" t="s">
        <v>377</v>
      </c>
      <c r="QKE121" s="285" t="s">
        <v>376</v>
      </c>
      <c r="QKF121" s="285" t="s">
        <v>377</v>
      </c>
      <c r="QKG121" s="285" t="s">
        <v>376</v>
      </c>
      <c r="QKH121" s="285" t="s">
        <v>377</v>
      </c>
      <c r="QKI121" s="285" t="s">
        <v>376</v>
      </c>
      <c r="QKJ121" s="285" t="s">
        <v>377</v>
      </c>
      <c r="QKK121" s="285" t="s">
        <v>376</v>
      </c>
      <c r="QKL121" s="285" t="s">
        <v>377</v>
      </c>
      <c r="QKM121" s="285" t="s">
        <v>376</v>
      </c>
      <c r="QKN121" s="285" t="s">
        <v>377</v>
      </c>
      <c r="QKO121" s="285" t="s">
        <v>376</v>
      </c>
      <c r="QKP121" s="285" t="s">
        <v>377</v>
      </c>
      <c r="QKQ121" s="285" t="s">
        <v>376</v>
      </c>
      <c r="QKR121" s="285" t="s">
        <v>377</v>
      </c>
      <c r="QKS121" s="285" t="s">
        <v>376</v>
      </c>
      <c r="QKT121" s="285" t="s">
        <v>377</v>
      </c>
      <c r="QKU121" s="285" t="s">
        <v>376</v>
      </c>
      <c r="QKV121" s="285" t="s">
        <v>377</v>
      </c>
      <c r="QKW121" s="285" t="s">
        <v>376</v>
      </c>
      <c r="QKX121" s="285" t="s">
        <v>377</v>
      </c>
      <c r="QKY121" s="285" t="s">
        <v>376</v>
      </c>
      <c r="QKZ121" s="285" t="s">
        <v>377</v>
      </c>
      <c r="QLA121" s="285" t="s">
        <v>376</v>
      </c>
      <c r="QLB121" s="285" t="s">
        <v>377</v>
      </c>
      <c r="QLC121" s="285" t="s">
        <v>376</v>
      </c>
      <c r="QLD121" s="285" t="s">
        <v>377</v>
      </c>
      <c r="QLE121" s="285" t="s">
        <v>376</v>
      </c>
      <c r="QLF121" s="285" t="s">
        <v>377</v>
      </c>
      <c r="QLG121" s="285" t="s">
        <v>376</v>
      </c>
      <c r="QLH121" s="285" t="s">
        <v>377</v>
      </c>
      <c r="QLI121" s="285" t="s">
        <v>376</v>
      </c>
      <c r="QLJ121" s="285" t="s">
        <v>377</v>
      </c>
      <c r="QLK121" s="285" t="s">
        <v>376</v>
      </c>
      <c r="QLL121" s="285" t="s">
        <v>377</v>
      </c>
      <c r="QLM121" s="285" t="s">
        <v>376</v>
      </c>
      <c r="QLN121" s="285" t="s">
        <v>377</v>
      </c>
      <c r="QLO121" s="285" t="s">
        <v>376</v>
      </c>
      <c r="QLP121" s="285" t="s">
        <v>377</v>
      </c>
      <c r="QLQ121" s="285" t="s">
        <v>376</v>
      </c>
      <c r="QLR121" s="285" t="s">
        <v>377</v>
      </c>
      <c r="QLS121" s="285" t="s">
        <v>376</v>
      </c>
      <c r="QLT121" s="285" t="s">
        <v>377</v>
      </c>
      <c r="QLU121" s="285" t="s">
        <v>376</v>
      </c>
      <c r="QLV121" s="285" t="s">
        <v>377</v>
      </c>
      <c r="QLW121" s="285" t="s">
        <v>376</v>
      </c>
      <c r="QLX121" s="285" t="s">
        <v>377</v>
      </c>
      <c r="QLY121" s="285" t="s">
        <v>376</v>
      </c>
      <c r="QLZ121" s="285" t="s">
        <v>377</v>
      </c>
      <c r="QMA121" s="285" t="s">
        <v>376</v>
      </c>
      <c r="QMB121" s="285" t="s">
        <v>377</v>
      </c>
      <c r="QMC121" s="285" t="s">
        <v>376</v>
      </c>
      <c r="QMD121" s="285" t="s">
        <v>377</v>
      </c>
      <c r="QME121" s="285" t="s">
        <v>376</v>
      </c>
      <c r="QMF121" s="285" t="s">
        <v>377</v>
      </c>
      <c r="QMG121" s="285" t="s">
        <v>376</v>
      </c>
      <c r="QMH121" s="285" t="s">
        <v>377</v>
      </c>
      <c r="QMI121" s="285" t="s">
        <v>376</v>
      </c>
      <c r="QMJ121" s="285" t="s">
        <v>377</v>
      </c>
      <c r="QMK121" s="285" t="s">
        <v>376</v>
      </c>
      <c r="QML121" s="285" t="s">
        <v>377</v>
      </c>
      <c r="QMM121" s="285" t="s">
        <v>376</v>
      </c>
      <c r="QMN121" s="285" t="s">
        <v>377</v>
      </c>
      <c r="QMO121" s="285" t="s">
        <v>376</v>
      </c>
      <c r="QMP121" s="285" t="s">
        <v>377</v>
      </c>
      <c r="QMQ121" s="285" t="s">
        <v>376</v>
      </c>
      <c r="QMR121" s="285" t="s">
        <v>377</v>
      </c>
      <c r="QMS121" s="285" t="s">
        <v>376</v>
      </c>
      <c r="QMT121" s="285" t="s">
        <v>377</v>
      </c>
      <c r="QMU121" s="285" t="s">
        <v>376</v>
      </c>
      <c r="QMV121" s="285" t="s">
        <v>377</v>
      </c>
      <c r="QMW121" s="285" t="s">
        <v>376</v>
      </c>
      <c r="QMX121" s="285" t="s">
        <v>377</v>
      </c>
      <c r="QMY121" s="285" t="s">
        <v>376</v>
      </c>
      <c r="QMZ121" s="285" t="s">
        <v>377</v>
      </c>
      <c r="QNA121" s="285" t="s">
        <v>376</v>
      </c>
      <c r="QNB121" s="285" t="s">
        <v>377</v>
      </c>
      <c r="QNC121" s="285" t="s">
        <v>376</v>
      </c>
      <c r="QND121" s="285" t="s">
        <v>377</v>
      </c>
      <c r="QNE121" s="285" t="s">
        <v>376</v>
      </c>
      <c r="QNF121" s="285" t="s">
        <v>377</v>
      </c>
      <c r="QNG121" s="285" t="s">
        <v>376</v>
      </c>
      <c r="QNH121" s="285" t="s">
        <v>377</v>
      </c>
      <c r="QNI121" s="285" t="s">
        <v>376</v>
      </c>
      <c r="QNJ121" s="285" t="s">
        <v>377</v>
      </c>
      <c r="QNK121" s="285" t="s">
        <v>376</v>
      </c>
      <c r="QNL121" s="285" t="s">
        <v>377</v>
      </c>
      <c r="QNM121" s="285" t="s">
        <v>376</v>
      </c>
      <c r="QNN121" s="285" t="s">
        <v>377</v>
      </c>
      <c r="QNO121" s="285" t="s">
        <v>376</v>
      </c>
      <c r="QNP121" s="285" t="s">
        <v>377</v>
      </c>
      <c r="QNQ121" s="285" t="s">
        <v>376</v>
      </c>
      <c r="QNR121" s="285" t="s">
        <v>377</v>
      </c>
      <c r="QNS121" s="285" t="s">
        <v>376</v>
      </c>
      <c r="QNT121" s="285" t="s">
        <v>377</v>
      </c>
      <c r="QNU121" s="285" t="s">
        <v>376</v>
      </c>
      <c r="QNV121" s="285" t="s">
        <v>377</v>
      </c>
      <c r="QNW121" s="285" t="s">
        <v>376</v>
      </c>
      <c r="QNX121" s="285" t="s">
        <v>377</v>
      </c>
      <c r="QNY121" s="285" t="s">
        <v>376</v>
      </c>
      <c r="QNZ121" s="285" t="s">
        <v>377</v>
      </c>
      <c r="QOA121" s="285" t="s">
        <v>376</v>
      </c>
      <c r="QOB121" s="285" t="s">
        <v>377</v>
      </c>
      <c r="QOC121" s="285" t="s">
        <v>376</v>
      </c>
      <c r="QOD121" s="285" t="s">
        <v>377</v>
      </c>
      <c r="QOE121" s="285" t="s">
        <v>376</v>
      </c>
      <c r="QOF121" s="285" t="s">
        <v>377</v>
      </c>
      <c r="QOG121" s="285" t="s">
        <v>376</v>
      </c>
      <c r="QOH121" s="285" t="s">
        <v>377</v>
      </c>
      <c r="QOI121" s="285" t="s">
        <v>376</v>
      </c>
      <c r="QOJ121" s="285" t="s">
        <v>377</v>
      </c>
      <c r="QOK121" s="285" t="s">
        <v>376</v>
      </c>
      <c r="QOL121" s="285" t="s">
        <v>377</v>
      </c>
      <c r="QOM121" s="285" t="s">
        <v>376</v>
      </c>
      <c r="QON121" s="285" t="s">
        <v>377</v>
      </c>
      <c r="QOO121" s="285" t="s">
        <v>376</v>
      </c>
      <c r="QOP121" s="285" t="s">
        <v>377</v>
      </c>
      <c r="QOQ121" s="285" t="s">
        <v>376</v>
      </c>
      <c r="QOR121" s="285" t="s">
        <v>377</v>
      </c>
      <c r="QOS121" s="285" t="s">
        <v>376</v>
      </c>
      <c r="QOT121" s="285" t="s">
        <v>377</v>
      </c>
      <c r="QOU121" s="285" t="s">
        <v>376</v>
      </c>
      <c r="QOV121" s="285" t="s">
        <v>377</v>
      </c>
      <c r="QOW121" s="285" t="s">
        <v>376</v>
      </c>
      <c r="QOX121" s="285" t="s">
        <v>377</v>
      </c>
      <c r="QOY121" s="285" t="s">
        <v>376</v>
      </c>
      <c r="QOZ121" s="285" t="s">
        <v>377</v>
      </c>
      <c r="QPA121" s="285" t="s">
        <v>376</v>
      </c>
      <c r="QPB121" s="285" t="s">
        <v>377</v>
      </c>
      <c r="QPC121" s="285" t="s">
        <v>376</v>
      </c>
      <c r="QPD121" s="285" t="s">
        <v>377</v>
      </c>
      <c r="QPE121" s="285" t="s">
        <v>376</v>
      </c>
      <c r="QPF121" s="285" t="s">
        <v>377</v>
      </c>
      <c r="QPG121" s="285" t="s">
        <v>376</v>
      </c>
      <c r="QPH121" s="285" t="s">
        <v>377</v>
      </c>
      <c r="QPI121" s="285" t="s">
        <v>376</v>
      </c>
      <c r="QPJ121" s="285" t="s">
        <v>377</v>
      </c>
      <c r="QPK121" s="285" t="s">
        <v>376</v>
      </c>
      <c r="QPL121" s="285" t="s">
        <v>377</v>
      </c>
      <c r="QPM121" s="285" t="s">
        <v>376</v>
      </c>
      <c r="QPN121" s="285" t="s">
        <v>377</v>
      </c>
      <c r="QPO121" s="285" t="s">
        <v>376</v>
      </c>
      <c r="QPP121" s="285" t="s">
        <v>377</v>
      </c>
      <c r="QPQ121" s="285" t="s">
        <v>376</v>
      </c>
      <c r="QPR121" s="285" t="s">
        <v>377</v>
      </c>
      <c r="QPS121" s="285" t="s">
        <v>376</v>
      </c>
      <c r="QPT121" s="285" t="s">
        <v>377</v>
      </c>
      <c r="QPU121" s="285" t="s">
        <v>376</v>
      </c>
      <c r="QPV121" s="285" t="s">
        <v>377</v>
      </c>
      <c r="QPW121" s="285" t="s">
        <v>376</v>
      </c>
      <c r="QPX121" s="285" t="s">
        <v>377</v>
      </c>
      <c r="QPY121" s="285" t="s">
        <v>376</v>
      </c>
      <c r="QPZ121" s="285" t="s">
        <v>377</v>
      </c>
      <c r="QQA121" s="285" t="s">
        <v>376</v>
      </c>
      <c r="QQB121" s="285" t="s">
        <v>377</v>
      </c>
      <c r="QQC121" s="285" t="s">
        <v>376</v>
      </c>
      <c r="QQD121" s="285" t="s">
        <v>377</v>
      </c>
      <c r="QQE121" s="285" t="s">
        <v>376</v>
      </c>
      <c r="QQF121" s="285" t="s">
        <v>377</v>
      </c>
      <c r="QQG121" s="285" t="s">
        <v>376</v>
      </c>
      <c r="QQH121" s="285" t="s">
        <v>377</v>
      </c>
      <c r="QQI121" s="285" t="s">
        <v>376</v>
      </c>
      <c r="QQJ121" s="285" t="s">
        <v>377</v>
      </c>
      <c r="QQK121" s="285" t="s">
        <v>376</v>
      </c>
      <c r="QQL121" s="285" t="s">
        <v>377</v>
      </c>
      <c r="QQM121" s="285" t="s">
        <v>376</v>
      </c>
      <c r="QQN121" s="285" t="s">
        <v>377</v>
      </c>
      <c r="QQO121" s="285" t="s">
        <v>376</v>
      </c>
      <c r="QQP121" s="285" t="s">
        <v>377</v>
      </c>
      <c r="QQQ121" s="285" t="s">
        <v>376</v>
      </c>
      <c r="QQR121" s="285" t="s">
        <v>377</v>
      </c>
      <c r="QQS121" s="285" t="s">
        <v>376</v>
      </c>
      <c r="QQT121" s="285" t="s">
        <v>377</v>
      </c>
      <c r="QQU121" s="285" t="s">
        <v>376</v>
      </c>
      <c r="QQV121" s="285" t="s">
        <v>377</v>
      </c>
      <c r="QQW121" s="285" t="s">
        <v>376</v>
      </c>
      <c r="QQX121" s="285" t="s">
        <v>377</v>
      </c>
      <c r="QQY121" s="285" t="s">
        <v>376</v>
      </c>
      <c r="QQZ121" s="285" t="s">
        <v>377</v>
      </c>
      <c r="QRA121" s="285" t="s">
        <v>376</v>
      </c>
      <c r="QRB121" s="285" t="s">
        <v>377</v>
      </c>
      <c r="QRC121" s="285" t="s">
        <v>376</v>
      </c>
      <c r="QRD121" s="285" t="s">
        <v>377</v>
      </c>
      <c r="QRE121" s="285" t="s">
        <v>376</v>
      </c>
      <c r="QRF121" s="285" t="s">
        <v>377</v>
      </c>
      <c r="QRG121" s="285" t="s">
        <v>376</v>
      </c>
      <c r="QRH121" s="285" t="s">
        <v>377</v>
      </c>
      <c r="QRI121" s="285" t="s">
        <v>376</v>
      </c>
      <c r="QRJ121" s="285" t="s">
        <v>377</v>
      </c>
      <c r="QRK121" s="285" t="s">
        <v>376</v>
      </c>
      <c r="QRL121" s="285" t="s">
        <v>377</v>
      </c>
      <c r="QRM121" s="285" t="s">
        <v>376</v>
      </c>
      <c r="QRN121" s="285" t="s">
        <v>377</v>
      </c>
      <c r="QRO121" s="285" t="s">
        <v>376</v>
      </c>
      <c r="QRP121" s="285" t="s">
        <v>377</v>
      </c>
      <c r="QRQ121" s="285" t="s">
        <v>376</v>
      </c>
      <c r="QRR121" s="285" t="s">
        <v>377</v>
      </c>
      <c r="QRS121" s="285" t="s">
        <v>376</v>
      </c>
      <c r="QRT121" s="285" t="s">
        <v>377</v>
      </c>
      <c r="QRU121" s="285" t="s">
        <v>376</v>
      </c>
      <c r="QRV121" s="285" t="s">
        <v>377</v>
      </c>
      <c r="QRW121" s="285" t="s">
        <v>376</v>
      </c>
      <c r="QRX121" s="285" t="s">
        <v>377</v>
      </c>
      <c r="QRY121" s="285" t="s">
        <v>376</v>
      </c>
      <c r="QRZ121" s="285" t="s">
        <v>377</v>
      </c>
      <c r="QSA121" s="285" t="s">
        <v>376</v>
      </c>
      <c r="QSB121" s="285" t="s">
        <v>377</v>
      </c>
      <c r="QSC121" s="285" t="s">
        <v>376</v>
      </c>
      <c r="QSD121" s="285" t="s">
        <v>377</v>
      </c>
      <c r="QSE121" s="285" t="s">
        <v>376</v>
      </c>
      <c r="QSF121" s="285" t="s">
        <v>377</v>
      </c>
      <c r="QSG121" s="285" t="s">
        <v>376</v>
      </c>
      <c r="QSH121" s="285" t="s">
        <v>377</v>
      </c>
      <c r="QSI121" s="285" t="s">
        <v>376</v>
      </c>
      <c r="QSJ121" s="285" t="s">
        <v>377</v>
      </c>
      <c r="QSK121" s="285" t="s">
        <v>376</v>
      </c>
      <c r="QSL121" s="285" t="s">
        <v>377</v>
      </c>
      <c r="QSM121" s="285" t="s">
        <v>376</v>
      </c>
      <c r="QSN121" s="285" t="s">
        <v>377</v>
      </c>
      <c r="QSO121" s="285" t="s">
        <v>376</v>
      </c>
      <c r="QSP121" s="285" t="s">
        <v>377</v>
      </c>
      <c r="QSQ121" s="285" t="s">
        <v>376</v>
      </c>
      <c r="QSR121" s="285" t="s">
        <v>377</v>
      </c>
      <c r="QSS121" s="285" t="s">
        <v>376</v>
      </c>
      <c r="QST121" s="285" t="s">
        <v>377</v>
      </c>
      <c r="QSU121" s="285" t="s">
        <v>376</v>
      </c>
      <c r="QSV121" s="285" t="s">
        <v>377</v>
      </c>
      <c r="QSW121" s="285" t="s">
        <v>376</v>
      </c>
      <c r="QSX121" s="285" t="s">
        <v>377</v>
      </c>
      <c r="QSY121" s="285" t="s">
        <v>376</v>
      </c>
      <c r="QSZ121" s="285" t="s">
        <v>377</v>
      </c>
      <c r="QTA121" s="285" t="s">
        <v>376</v>
      </c>
      <c r="QTB121" s="285" t="s">
        <v>377</v>
      </c>
      <c r="QTC121" s="285" t="s">
        <v>376</v>
      </c>
      <c r="QTD121" s="285" t="s">
        <v>377</v>
      </c>
      <c r="QTE121" s="285" t="s">
        <v>376</v>
      </c>
      <c r="QTF121" s="285" t="s">
        <v>377</v>
      </c>
      <c r="QTG121" s="285" t="s">
        <v>376</v>
      </c>
      <c r="QTH121" s="285" t="s">
        <v>377</v>
      </c>
      <c r="QTI121" s="285" t="s">
        <v>376</v>
      </c>
      <c r="QTJ121" s="285" t="s">
        <v>377</v>
      </c>
      <c r="QTK121" s="285" t="s">
        <v>376</v>
      </c>
      <c r="QTL121" s="285" t="s">
        <v>377</v>
      </c>
      <c r="QTM121" s="285" t="s">
        <v>376</v>
      </c>
      <c r="QTN121" s="285" t="s">
        <v>377</v>
      </c>
      <c r="QTO121" s="285" t="s">
        <v>376</v>
      </c>
      <c r="QTP121" s="285" t="s">
        <v>377</v>
      </c>
      <c r="QTQ121" s="285" t="s">
        <v>376</v>
      </c>
      <c r="QTR121" s="285" t="s">
        <v>377</v>
      </c>
      <c r="QTS121" s="285" t="s">
        <v>376</v>
      </c>
      <c r="QTT121" s="285" t="s">
        <v>377</v>
      </c>
      <c r="QTU121" s="285" t="s">
        <v>376</v>
      </c>
      <c r="QTV121" s="285" t="s">
        <v>377</v>
      </c>
      <c r="QTW121" s="285" t="s">
        <v>376</v>
      </c>
      <c r="QTX121" s="285" t="s">
        <v>377</v>
      </c>
      <c r="QTY121" s="285" t="s">
        <v>376</v>
      </c>
      <c r="QTZ121" s="285" t="s">
        <v>377</v>
      </c>
      <c r="QUA121" s="285" t="s">
        <v>376</v>
      </c>
      <c r="QUB121" s="285" t="s">
        <v>377</v>
      </c>
      <c r="QUC121" s="285" t="s">
        <v>376</v>
      </c>
      <c r="QUD121" s="285" t="s">
        <v>377</v>
      </c>
      <c r="QUE121" s="285" t="s">
        <v>376</v>
      </c>
      <c r="QUF121" s="285" t="s">
        <v>377</v>
      </c>
      <c r="QUG121" s="285" t="s">
        <v>376</v>
      </c>
      <c r="QUH121" s="285" t="s">
        <v>377</v>
      </c>
      <c r="QUI121" s="285" t="s">
        <v>376</v>
      </c>
      <c r="QUJ121" s="285" t="s">
        <v>377</v>
      </c>
      <c r="QUK121" s="285" t="s">
        <v>376</v>
      </c>
      <c r="QUL121" s="285" t="s">
        <v>377</v>
      </c>
      <c r="QUM121" s="285" t="s">
        <v>376</v>
      </c>
      <c r="QUN121" s="285" t="s">
        <v>377</v>
      </c>
      <c r="QUO121" s="285" t="s">
        <v>376</v>
      </c>
      <c r="QUP121" s="285" t="s">
        <v>377</v>
      </c>
      <c r="QUQ121" s="285" t="s">
        <v>376</v>
      </c>
      <c r="QUR121" s="285" t="s">
        <v>377</v>
      </c>
      <c r="QUS121" s="285" t="s">
        <v>376</v>
      </c>
      <c r="QUT121" s="285" t="s">
        <v>377</v>
      </c>
      <c r="QUU121" s="285" t="s">
        <v>376</v>
      </c>
      <c r="QUV121" s="285" t="s">
        <v>377</v>
      </c>
      <c r="QUW121" s="285" t="s">
        <v>376</v>
      </c>
      <c r="QUX121" s="285" t="s">
        <v>377</v>
      </c>
      <c r="QUY121" s="285" t="s">
        <v>376</v>
      </c>
      <c r="QUZ121" s="285" t="s">
        <v>377</v>
      </c>
      <c r="QVA121" s="285" t="s">
        <v>376</v>
      </c>
      <c r="QVB121" s="285" t="s">
        <v>377</v>
      </c>
      <c r="QVC121" s="285" t="s">
        <v>376</v>
      </c>
      <c r="QVD121" s="285" t="s">
        <v>377</v>
      </c>
      <c r="QVE121" s="285" t="s">
        <v>376</v>
      </c>
      <c r="QVF121" s="285" t="s">
        <v>377</v>
      </c>
      <c r="QVG121" s="285" t="s">
        <v>376</v>
      </c>
      <c r="QVH121" s="285" t="s">
        <v>377</v>
      </c>
      <c r="QVI121" s="285" t="s">
        <v>376</v>
      </c>
      <c r="QVJ121" s="285" t="s">
        <v>377</v>
      </c>
      <c r="QVK121" s="285" t="s">
        <v>376</v>
      </c>
      <c r="QVL121" s="285" t="s">
        <v>377</v>
      </c>
      <c r="QVM121" s="285" t="s">
        <v>376</v>
      </c>
      <c r="QVN121" s="285" t="s">
        <v>377</v>
      </c>
      <c r="QVO121" s="285" t="s">
        <v>376</v>
      </c>
      <c r="QVP121" s="285" t="s">
        <v>377</v>
      </c>
      <c r="QVQ121" s="285" t="s">
        <v>376</v>
      </c>
      <c r="QVR121" s="285" t="s">
        <v>377</v>
      </c>
      <c r="QVS121" s="285" t="s">
        <v>376</v>
      </c>
      <c r="QVT121" s="285" t="s">
        <v>377</v>
      </c>
      <c r="QVU121" s="285" t="s">
        <v>376</v>
      </c>
      <c r="QVV121" s="285" t="s">
        <v>377</v>
      </c>
      <c r="QVW121" s="285" t="s">
        <v>376</v>
      </c>
      <c r="QVX121" s="285" t="s">
        <v>377</v>
      </c>
      <c r="QVY121" s="285" t="s">
        <v>376</v>
      </c>
      <c r="QVZ121" s="285" t="s">
        <v>377</v>
      </c>
      <c r="QWA121" s="285" t="s">
        <v>376</v>
      </c>
      <c r="QWB121" s="285" t="s">
        <v>377</v>
      </c>
      <c r="QWC121" s="285" t="s">
        <v>376</v>
      </c>
      <c r="QWD121" s="285" t="s">
        <v>377</v>
      </c>
      <c r="QWE121" s="285" t="s">
        <v>376</v>
      </c>
      <c r="QWF121" s="285" t="s">
        <v>377</v>
      </c>
      <c r="QWG121" s="285" t="s">
        <v>376</v>
      </c>
      <c r="QWH121" s="285" t="s">
        <v>377</v>
      </c>
      <c r="QWI121" s="285" t="s">
        <v>376</v>
      </c>
      <c r="QWJ121" s="285" t="s">
        <v>377</v>
      </c>
      <c r="QWK121" s="285" t="s">
        <v>376</v>
      </c>
      <c r="QWL121" s="285" t="s">
        <v>377</v>
      </c>
      <c r="QWM121" s="285" t="s">
        <v>376</v>
      </c>
      <c r="QWN121" s="285" t="s">
        <v>377</v>
      </c>
      <c r="QWO121" s="285" t="s">
        <v>376</v>
      </c>
      <c r="QWP121" s="285" t="s">
        <v>377</v>
      </c>
      <c r="QWQ121" s="285" t="s">
        <v>376</v>
      </c>
      <c r="QWR121" s="285" t="s">
        <v>377</v>
      </c>
      <c r="QWS121" s="285" t="s">
        <v>376</v>
      </c>
      <c r="QWT121" s="285" t="s">
        <v>377</v>
      </c>
      <c r="QWU121" s="285" t="s">
        <v>376</v>
      </c>
      <c r="QWV121" s="285" t="s">
        <v>377</v>
      </c>
      <c r="QWW121" s="285" t="s">
        <v>376</v>
      </c>
      <c r="QWX121" s="285" t="s">
        <v>377</v>
      </c>
      <c r="QWY121" s="285" t="s">
        <v>376</v>
      </c>
      <c r="QWZ121" s="285" t="s">
        <v>377</v>
      </c>
      <c r="QXA121" s="285" t="s">
        <v>376</v>
      </c>
      <c r="QXB121" s="285" t="s">
        <v>377</v>
      </c>
      <c r="QXC121" s="285" t="s">
        <v>376</v>
      </c>
      <c r="QXD121" s="285" t="s">
        <v>377</v>
      </c>
      <c r="QXE121" s="285" t="s">
        <v>376</v>
      </c>
      <c r="QXF121" s="285" t="s">
        <v>377</v>
      </c>
      <c r="QXG121" s="285" t="s">
        <v>376</v>
      </c>
      <c r="QXH121" s="285" t="s">
        <v>377</v>
      </c>
      <c r="QXI121" s="285" t="s">
        <v>376</v>
      </c>
      <c r="QXJ121" s="285" t="s">
        <v>377</v>
      </c>
      <c r="QXK121" s="285" t="s">
        <v>376</v>
      </c>
      <c r="QXL121" s="285" t="s">
        <v>377</v>
      </c>
      <c r="QXM121" s="285" t="s">
        <v>376</v>
      </c>
      <c r="QXN121" s="285" t="s">
        <v>377</v>
      </c>
      <c r="QXO121" s="285" t="s">
        <v>376</v>
      </c>
      <c r="QXP121" s="285" t="s">
        <v>377</v>
      </c>
      <c r="QXQ121" s="285" t="s">
        <v>376</v>
      </c>
      <c r="QXR121" s="285" t="s">
        <v>377</v>
      </c>
      <c r="QXS121" s="285" t="s">
        <v>376</v>
      </c>
      <c r="QXT121" s="285" t="s">
        <v>377</v>
      </c>
      <c r="QXU121" s="285" t="s">
        <v>376</v>
      </c>
      <c r="QXV121" s="285" t="s">
        <v>377</v>
      </c>
      <c r="QXW121" s="285" t="s">
        <v>376</v>
      </c>
      <c r="QXX121" s="285" t="s">
        <v>377</v>
      </c>
      <c r="QXY121" s="285" t="s">
        <v>376</v>
      </c>
      <c r="QXZ121" s="285" t="s">
        <v>377</v>
      </c>
      <c r="QYA121" s="285" t="s">
        <v>376</v>
      </c>
      <c r="QYB121" s="285" t="s">
        <v>377</v>
      </c>
      <c r="QYC121" s="285" t="s">
        <v>376</v>
      </c>
      <c r="QYD121" s="285" t="s">
        <v>377</v>
      </c>
      <c r="QYE121" s="285" t="s">
        <v>376</v>
      </c>
      <c r="QYF121" s="285" t="s">
        <v>377</v>
      </c>
      <c r="QYG121" s="285" t="s">
        <v>376</v>
      </c>
      <c r="QYH121" s="285" t="s">
        <v>377</v>
      </c>
      <c r="QYI121" s="285" t="s">
        <v>376</v>
      </c>
      <c r="QYJ121" s="285" t="s">
        <v>377</v>
      </c>
      <c r="QYK121" s="285" t="s">
        <v>376</v>
      </c>
      <c r="QYL121" s="285" t="s">
        <v>377</v>
      </c>
      <c r="QYM121" s="285" t="s">
        <v>376</v>
      </c>
      <c r="QYN121" s="285" t="s">
        <v>377</v>
      </c>
      <c r="QYO121" s="285" t="s">
        <v>376</v>
      </c>
      <c r="QYP121" s="285" t="s">
        <v>377</v>
      </c>
      <c r="QYQ121" s="285" t="s">
        <v>376</v>
      </c>
      <c r="QYR121" s="285" t="s">
        <v>377</v>
      </c>
      <c r="QYS121" s="285" t="s">
        <v>376</v>
      </c>
      <c r="QYT121" s="285" t="s">
        <v>377</v>
      </c>
      <c r="QYU121" s="285" t="s">
        <v>376</v>
      </c>
      <c r="QYV121" s="285" t="s">
        <v>377</v>
      </c>
      <c r="QYW121" s="285" t="s">
        <v>376</v>
      </c>
      <c r="QYX121" s="285" t="s">
        <v>377</v>
      </c>
      <c r="QYY121" s="285" t="s">
        <v>376</v>
      </c>
      <c r="QYZ121" s="285" t="s">
        <v>377</v>
      </c>
      <c r="QZA121" s="285" t="s">
        <v>376</v>
      </c>
      <c r="QZB121" s="285" t="s">
        <v>377</v>
      </c>
      <c r="QZC121" s="285" t="s">
        <v>376</v>
      </c>
      <c r="QZD121" s="285" t="s">
        <v>377</v>
      </c>
      <c r="QZE121" s="285" t="s">
        <v>376</v>
      </c>
      <c r="QZF121" s="285" t="s">
        <v>377</v>
      </c>
      <c r="QZG121" s="285" t="s">
        <v>376</v>
      </c>
      <c r="QZH121" s="285" t="s">
        <v>377</v>
      </c>
      <c r="QZI121" s="285" t="s">
        <v>376</v>
      </c>
      <c r="QZJ121" s="285" t="s">
        <v>377</v>
      </c>
      <c r="QZK121" s="285" t="s">
        <v>376</v>
      </c>
      <c r="QZL121" s="285" t="s">
        <v>377</v>
      </c>
      <c r="QZM121" s="285" t="s">
        <v>376</v>
      </c>
      <c r="QZN121" s="285" t="s">
        <v>377</v>
      </c>
      <c r="QZO121" s="285" t="s">
        <v>376</v>
      </c>
      <c r="QZP121" s="285" t="s">
        <v>377</v>
      </c>
      <c r="QZQ121" s="285" t="s">
        <v>376</v>
      </c>
      <c r="QZR121" s="285" t="s">
        <v>377</v>
      </c>
      <c r="QZS121" s="285" t="s">
        <v>376</v>
      </c>
      <c r="QZT121" s="285" t="s">
        <v>377</v>
      </c>
      <c r="QZU121" s="285" t="s">
        <v>376</v>
      </c>
      <c r="QZV121" s="285" t="s">
        <v>377</v>
      </c>
      <c r="QZW121" s="285" t="s">
        <v>376</v>
      </c>
      <c r="QZX121" s="285" t="s">
        <v>377</v>
      </c>
      <c r="QZY121" s="285" t="s">
        <v>376</v>
      </c>
      <c r="QZZ121" s="285" t="s">
        <v>377</v>
      </c>
      <c r="RAA121" s="285" t="s">
        <v>376</v>
      </c>
      <c r="RAB121" s="285" t="s">
        <v>377</v>
      </c>
      <c r="RAC121" s="285" t="s">
        <v>376</v>
      </c>
      <c r="RAD121" s="285" t="s">
        <v>377</v>
      </c>
      <c r="RAE121" s="285" t="s">
        <v>376</v>
      </c>
      <c r="RAF121" s="285" t="s">
        <v>377</v>
      </c>
      <c r="RAG121" s="285" t="s">
        <v>376</v>
      </c>
      <c r="RAH121" s="285" t="s">
        <v>377</v>
      </c>
      <c r="RAI121" s="285" t="s">
        <v>376</v>
      </c>
      <c r="RAJ121" s="285" t="s">
        <v>377</v>
      </c>
      <c r="RAK121" s="285" t="s">
        <v>376</v>
      </c>
      <c r="RAL121" s="285" t="s">
        <v>377</v>
      </c>
      <c r="RAM121" s="285" t="s">
        <v>376</v>
      </c>
      <c r="RAN121" s="285" t="s">
        <v>377</v>
      </c>
      <c r="RAO121" s="285" t="s">
        <v>376</v>
      </c>
      <c r="RAP121" s="285" t="s">
        <v>377</v>
      </c>
      <c r="RAQ121" s="285" t="s">
        <v>376</v>
      </c>
      <c r="RAR121" s="285" t="s">
        <v>377</v>
      </c>
      <c r="RAS121" s="285" t="s">
        <v>376</v>
      </c>
      <c r="RAT121" s="285" t="s">
        <v>377</v>
      </c>
      <c r="RAU121" s="285" t="s">
        <v>376</v>
      </c>
      <c r="RAV121" s="285" t="s">
        <v>377</v>
      </c>
      <c r="RAW121" s="285" t="s">
        <v>376</v>
      </c>
      <c r="RAX121" s="285" t="s">
        <v>377</v>
      </c>
      <c r="RAY121" s="285" t="s">
        <v>376</v>
      </c>
      <c r="RAZ121" s="285" t="s">
        <v>377</v>
      </c>
      <c r="RBA121" s="285" t="s">
        <v>376</v>
      </c>
      <c r="RBB121" s="285" t="s">
        <v>377</v>
      </c>
      <c r="RBC121" s="285" t="s">
        <v>376</v>
      </c>
      <c r="RBD121" s="285" t="s">
        <v>377</v>
      </c>
      <c r="RBE121" s="285" t="s">
        <v>376</v>
      </c>
      <c r="RBF121" s="285" t="s">
        <v>377</v>
      </c>
      <c r="RBG121" s="285" t="s">
        <v>376</v>
      </c>
      <c r="RBH121" s="285" t="s">
        <v>377</v>
      </c>
      <c r="RBI121" s="285" t="s">
        <v>376</v>
      </c>
      <c r="RBJ121" s="285" t="s">
        <v>377</v>
      </c>
      <c r="RBK121" s="285" t="s">
        <v>376</v>
      </c>
      <c r="RBL121" s="285" t="s">
        <v>377</v>
      </c>
      <c r="RBM121" s="285" t="s">
        <v>376</v>
      </c>
      <c r="RBN121" s="285" t="s">
        <v>377</v>
      </c>
      <c r="RBO121" s="285" t="s">
        <v>376</v>
      </c>
      <c r="RBP121" s="285" t="s">
        <v>377</v>
      </c>
      <c r="RBQ121" s="285" t="s">
        <v>376</v>
      </c>
      <c r="RBR121" s="285" t="s">
        <v>377</v>
      </c>
      <c r="RBS121" s="285" t="s">
        <v>376</v>
      </c>
      <c r="RBT121" s="285" t="s">
        <v>377</v>
      </c>
      <c r="RBU121" s="285" t="s">
        <v>376</v>
      </c>
      <c r="RBV121" s="285" t="s">
        <v>377</v>
      </c>
      <c r="RBW121" s="285" t="s">
        <v>376</v>
      </c>
      <c r="RBX121" s="285" t="s">
        <v>377</v>
      </c>
      <c r="RBY121" s="285" t="s">
        <v>376</v>
      </c>
      <c r="RBZ121" s="285" t="s">
        <v>377</v>
      </c>
      <c r="RCA121" s="285" t="s">
        <v>376</v>
      </c>
      <c r="RCB121" s="285" t="s">
        <v>377</v>
      </c>
      <c r="RCC121" s="285" t="s">
        <v>376</v>
      </c>
      <c r="RCD121" s="285" t="s">
        <v>377</v>
      </c>
      <c r="RCE121" s="285" t="s">
        <v>376</v>
      </c>
      <c r="RCF121" s="285" t="s">
        <v>377</v>
      </c>
      <c r="RCG121" s="285" t="s">
        <v>376</v>
      </c>
      <c r="RCH121" s="285" t="s">
        <v>377</v>
      </c>
      <c r="RCI121" s="285" t="s">
        <v>376</v>
      </c>
      <c r="RCJ121" s="285" t="s">
        <v>377</v>
      </c>
      <c r="RCK121" s="285" t="s">
        <v>376</v>
      </c>
      <c r="RCL121" s="285" t="s">
        <v>377</v>
      </c>
      <c r="RCM121" s="285" t="s">
        <v>376</v>
      </c>
      <c r="RCN121" s="285" t="s">
        <v>377</v>
      </c>
      <c r="RCO121" s="285" t="s">
        <v>376</v>
      </c>
      <c r="RCP121" s="285" t="s">
        <v>377</v>
      </c>
      <c r="RCQ121" s="285" t="s">
        <v>376</v>
      </c>
      <c r="RCR121" s="285" t="s">
        <v>377</v>
      </c>
      <c r="RCS121" s="285" t="s">
        <v>376</v>
      </c>
      <c r="RCT121" s="285" t="s">
        <v>377</v>
      </c>
      <c r="RCU121" s="285" t="s">
        <v>376</v>
      </c>
      <c r="RCV121" s="285" t="s">
        <v>377</v>
      </c>
      <c r="RCW121" s="285" t="s">
        <v>376</v>
      </c>
      <c r="RCX121" s="285" t="s">
        <v>377</v>
      </c>
      <c r="RCY121" s="285" t="s">
        <v>376</v>
      </c>
      <c r="RCZ121" s="285" t="s">
        <v>377</v>
      </c>
      <c r="RDA121" s="285" t="s">
        <v>376</v>
      </c>
      <c r="RDB121" s="285" t="s">
        <v>377</v>
      </c>
      <c r="RDC121" s="285" t="s">
        <v>376</v>
      </c>
      <c r="RDD121" s="285" t="s">
        <v>377</v>
      </c>
      <c r="RDE121" s="285" t="s">
        <v>376</v>
      </c>
      <c r="RDF121" s="285" t="s">
        <v>377</v>
      </c>
      <c r="RDG121" s="285" t="s">
        <v>376</v>
      </c>
      <c r="RDH121" s="285" t="s">
        <v>377</v>
      </c>
      <c r="RDI121" s="285" t="s">
        <v>376</v>
      </c>
      <c r="RDJ121" s="285" t="s">
        <v>377</v>
      </c>
      <c r="RDK121" s="285" t="s">
        <v>376</v>
      </c>
      <c r="RDL121" s="285" t="s">
        <v>377</v>
      </c>
      <c r="RDM121" s="285" t="s">
        <v>376</v>
      </c>
      <c r="RDN121" s="285" t="s">
        <v>377</v>
      </c>
      <c r="RDO121" s="285" t="s">
        <v>376</v>
      </c>
      <c r="RDP121" s="285" t="s">
        <v>377</v>
      </c>
      <c r="RDQ121" s="285" t="s">
        <v>376</v>
      </c>
      <c r="RDR121" s="285" t="s">
        <v>377</v>
      </c>
      <c r="RDS121" s="285" t="s">
        <v>376</v>
      </c>
      <c r="RDT121" s="285" t="s">
        <v>377</v>
      </c>
      <c r="RDU121" s="285" t="s">
        <v>376</v>
      </c>
      <c r="RDV121" s="285" t="s">
        <v>377</v>
      </c>
      <c r="RDW121" s="285" t="s">
        <v>376</v>
      </c>
      <c r="RDX121" s="285" t="s">
        <v>377</v>
      </c>
      <c r="RDY121" s="285" t="s">
        <v>376</v>
      </c>
      <c r="RDZ121" s="285" t="s">
        <v>377</v>
      </c>
      <c r="REA121" s="285" t="s">
        <v>376</v>
      </c>
      <c r="REB121" s="285" t="s">
        <v>377</v>
      </c>
      <c r="REC121" s="285" t="s">
        <v>376</v>
      </c>
      <c r="RED121" s="285" t="s">
        <v>377</v>
      </c>
      <c r="REE121" s="285" t="s">
        <v>376</v>
      </c>
      <c r="REF121" s="285" t="s">
        <v>377</v>
      </c>
      <c r="REG121" s="285" t="s">
        <v>376</v>
      </c>
      <c r="REH121" s="285" t="s">
        <v>377</v>
      </c>
      <c r="REI121" s="285" t="s">
        <v>376</v>
      </c>
      <c r="REJ121" s="285" t="s">
        <v>377</v>
      </c>
      <c r="REK121" s="285" t="s">
        <v>376</v>
      </c>
      <c r="REL121" s="285" t="s">
        <v>377</v>
      </c>
      <c r="REM121" s="285" t="s">
        <v>376</v>
      </c>
      <c r="REN121" s="285" t="s">
        <v>377</v>
      </c>
      <c r="REO121" s="285" t="s">
        <v>376</v>
      </c>
      <c r="REP121" s="285" t="s">
        <v>377</v>
      </c>
      <c r="REQ121" s="285" t="s">
        <v>376</v>
      </c>
      <c r="RER121" s="285" t="s">
        <v>377</v>
      </c>
      <c r="RES121" s="285" t="s">
        <v>376</v>
      </c>
      <c r="RET121" s="285" t="s">
        <v>377</v>
      </c>
      <c r="REU121" s="285" t="s">
        <v>376</v>
      </c>
      <c r="REV121" s="285" t="s">
        <v>377</v>
      </c>
      <c r="REW121" s="285" t="s">
        <v>376</v>
      </c>
      <c r="REX121" s="285" t="s">
        <v>377</v>
      </c>
      <c r="REY121" s="285" t="s">
        <v>376</v>
      </c>
      <c r="REZ121" s="285" t="s">
        <v>377</v>
      </c>
      <c r="RFA121" s="285" t="s">
        <v>376</v>
      </c>
      <c r="RFB121" s="285" t="s">
        <v>377</v>
      </c>
      <c r="RFC121" s="285" t="s">
        <v>376</v>
      </c>
      <c r="RFD121" s="285" t="s">
        <v>377</v>
      </c>
      <c r="RFE121" s="285" t="s">
        <v>376</v>
      </c>
      <c r="RFF121" s="285" t="s">
        <v>377</v>
      </c>
      <c r="RFG121" s="285" t="s">
        <v>376</v>
      </c>
      <c r="RFH121" s="285" t="s">
        <v>377</v>
      </c>
      <c r="RFI121" s="285" t="s">
        <v>376</v>
      </c>
      <c r="RFJ121" s="285" t="s">
        <v>377</v>
      </c>
      <c r="RFK121" s="285" t="s">
        <v>376</v>
      </c>
      <c r="RFL121" s="285" t="s">
        <v>377</v>
      </c>
      <c r="RFM121" s="285" t="s">
        <v>376</v>
      </c>
      <c r="RFN121" s="285" t="s">
        <v>377</v>
      </c>
      <c r="RFO121" s="285" t="s">
        <v>376</v>
      </c>
      <c r="RFP121" s="285" t="s">
        <v>377</v>
      </c>
      <c r="RFQ121" s="285" t="s">
        <v>376</v>
      </c>
      <c r="RFR121" s="285" t="s">
        <v>377</v>
      </c>
      <c r="RFS121" s="285" t="s">
        <v>376</v>
      </c>
      <c r="RFT121" s="285" t="s">
        <v>377</v>
      </c>
      <c r="RFU121" s="285" t="s">
        <v>376</v>
      </c>
      <c r="RFV121" s="285" t="s">
        <v>377</v>
      </c>
      <c r="RFW121" s="285" t="s">
        <v>376</v>
      </c>
      <c r="RFX121" s="285" t="s">
        <v>377</v>
      </c>
      <c r="RFY121" s="285" t="s">
        <v>376</v>
      </c>
      <c r="RFZ121" s="285" t="s">
        <v>377</v>
      </c>
      <c r="RGA121" s="285" t="s">
        <v>376</v>
      </c>
      <c r="RGB121" s="285" t="s">
        <v>377</v>
      </c>
      <c r="RGC121" s="285" t="s">
        <v>376</v>
      </c>
      <c r="RGD121" s="285" t="s">
        <v>377</v>
      </c>
      <c r="RGE121" s="285" t="s">
        <v>376</v>
      </c>
      <c r="RGF121" s="285" t="s">
        <v>377</v>
      </c>
      <c r="RGG121" s="285" t="s">
        <v>376</v>
      </c>
      <c r="RGH121" s="285" t="s">
        <v>377</v>
      </c>
      <c r="RGI121" s="285" t="s">
        <v>376</v>
      </c>
      <c r="RGJ121" s="285" t="s">
        <v>377</v>
      </c>
      <c r="RGK121" s="285" t="s">
        <v>376</v>
      </c>
      <c r="RGL121" s="285" t="s">
        <v>377</v>
      </c>
      <c r="RGM121" s="285" t="s">
        <v>376</v>
      </c>
      <c r="RGN121" s="285" t="s">
        <v>377</v>
      </c>
      <c r="RGO121" s="285" t="s">
        <v>376</v>
      </c>
      <c r="RGP121" s="285" t="s">
        <v>377</v>
      </c>
      <c r="RGQ121" s="285" t="s">
        <v>376</v>
      </c>
      <c r="RGR121" s="285" t="s">
        <v>377</v>
      </c>
      <c r="RGS121" s="285" t="s">
        <v>376</v>
      </c>
      <c r="RGT121" s="285" t="s">
        <v>377</v>
      </c>
      <c r="RGU121" s="285" t="s">
        <v>376</v>
      </c>
      <c r="RGV121" s="285" t="s">
        <v>377</v>
      </c>
      <c r="RGW121" s="285" t="s">
        <v>376</v>
      </c>
      <c r="RGX121" s="285" t="s">
        <v>377</v>
      </c>
      <c r="RGY121" s="285" t="s">
        <v>376</v>
      </c>
      <c r="RGZ121" s="285" t="s">
        <v>377</v>
      </c>
      <c r="RHA121" s="285" t="s">
        <v>376</v>
      </c>
      <c r="RHB121" s="285" t="s">
        <v>377</v>
      </c>
      <c r="RHC121" s="285" t="s">
        <v>376</v>
      </c>
      <c r="RHD121" s="285" t="s">
        <v>377</v>
      </c>
      <c r="RHE121" s="285" t="s">
        <v>376</v>
      </c>
      <c r="RHF121" s="285" t="s">
        <v>377</v>
      </c>
      <c r="RHG121" s="285" t="s">
        <v>376</v>
      </c>
      <c r="RHH121" s="285" t="s">
        <v>377</v>
      </c>
      <c r="RHI121" s="285" t="s">
        <v>376</v>
      </c>
      <c r="RHJ121" s="285" t="s">
        <v>377</v>
      </c>
      <c r="RHK121" s="285" t="s">
        <v>376</v>
      </c>
      <c r="RHL121" s="285" t="s">
        <v>377</v>
      </c>
      <c r="RHM121" s="285" t="s">
        <v>376</v>
      </c>
      <c r="RHN121" s="285" t="s">
        <v>377</v>
      </c>
      <c r="RHO121" s="285" t="s">
        <v>376</v>
      </c>
      <c r="RHP121" s="285" t="s">
        <v>377</v>
      </c>
      <c r="RHQ121" s="285" t="s">
        <v>376</v>
      </c>
      <c r="RHR121" s="285" t="s">
        <v>377</v>
      </c>
      <c r="RHS121" s="285" t="s">
        <v>376</v>
      </c>
      <c r="RHT121" s="285" t="s">
        <v>377</v>
      </c>
      <c r="RHU121" s="285" t="s">
        <v>376</v>
      </c>
      <c r="RHV121" s="285" t="s">
        <v>377</v>
      </c>
      <c r="RHW121" s="285" t="s">
        <v>376</v>
      </c>
      <c r="RHX121" s="285" t="s">
        <v>377</v>
      </c>
      <c r="RHY121" s="285" t="s">
        <v>376</v>
      </c>
      <c r="RHZ121" s="285" t="s">
        <v>377</v>
      </c>
      <c r="RIA121" s="285" t="s">
        <v>376</v>
      </c>
      <c r="RIB121" s="285" t="s">
        <v>377</v>
      </c>
      <c r="RIC121" s="285" t="s">
        <v>376</v>
      </c>
      <c r="RID121" s="285" t="s">
        <v>377</v>
      </c>
      <c r="RIE121" s="285" t="s">
        <v>376</v>
      </c>
      <c r="RIF121" s="285" t="s">
        <v>377</v>
      </c>
      <c r="RIG121" s="285" t="s">
        <v>376</v>
      </c>
      <c r="RIH121" s="285" t="s">
        <v>377</v>
      </c>
      <c r="RII121" s="285" t="s">
        <v>376</v>
      </c>
      <c r="RIJ121" s="285" t="s">
        <v>377</v>
      </c>
      <c r="RIK121" s="285" t="s">
        <v>376</v>
      </c>
      <c r="RIL121" s="285" t="s">
        <v>377</v>
      </c>
      <c r="RIM121" s="285" t="s">
        <v>376</v>
      </c>
      <c r="RIN121" s="285" t="s">
        <v>377</v>
      </c>
      <c r="RIO121" s="285" t="s">
        <v>376</v>
      </c>
      <c r="RIP121" s="285" t="s">
        <v>377</v>
      </c>
      <c r="RIQ121" s="285" t="s">
        <v>376</v>
      </c>
      <c r="RIR121" s="285" t="s">
        <v>377</v>
      </c>
      <c r="RIS121" s="285" t="s">
        <v>376</v>
      </c>
      <c r="RIT121" s="285" t="s">
        <v>377</v>
      </c>
      <c r="RIU121" s="285" t="s">
        <v>376</v>
      </c>
      <c r="RIV121" s="285" t="s">
        <v>377</v>
      </c>
      <c r="RIW121" s="285" t="s">
        <v>376</v>
      </c>
      <c r="RIX121" s="285" t="s">
        <v>377</v>
      </c>
      <c r="RIY121" s="285" t="s">
        <v>376</v>
      </c>
      <c r="RIZ121" s="285" t="s">
        <v>377</v>
      </c>
      <c r="RJA121" s="285" t="s">
        <v>376</v>
      </c>
      <c r="RJB121" s="285" t="s">
        <v>377</v>
      </c>
      <c r="RJC121" s="285" t="s">
        <v>376</v>
      </c>
      <c r="RJD121" s="285" t="s">
        <v>377</v>
      </c>
      <c r="RJE121" s="285" t="s">
        <v>376</v>
      </c>
      <c r="RJF121" s="285" t="s">
        <v>377</v>
      </c>
      <c r="RJG121" s="285" t="s">
        <v>376</v>
      </c>
      <c r="RJH121" s="285" t="s">
        <v>377</v>
      </c>
      <c r="RJI121" s="285" t="s">
        <v>376</v>
      </c>
      <c r="RJJ121" s="285" t="s">
        <v>377</v>
      </c>
      <c r="RJK121" s="285" t="s">
        <v>376</v>
      </c>
      <c r="RJL121" s="285" t="s">
        <v>377</v>
      </c>
      <c r="RJM121" s="285" t="s">
        <v>376</v>
      </c>
      <c r="RJN121" s="285" t="s">
        <v>377</v>
      </c>
      <c r="RJO121" s="285" t="s">
        <v>376</v>
      </c>
      <c r="RJP121" s="285" t="s">
        <v>377</v>
      </c>
      <c r="RJQ121" s="285" t="s">
        <v>376</v>
      </c>
      <c r="RJR121" s="285" t="s">
        <v>377</v>
      </c>
      <c r="RJS121" s="285" t="s">
        <v>376</v>
      </c>
      <c r="RJT121" s="285" t="s">
        <v>377</v>
      </c>
      <c r="RJU121" s="285" t="s">
        <v>376</v>
      </c>
      <c r="RJV121" s="285" t="s">
        <v>377</v>
      </c>
      <c r="RJW121" s="285" t="s">
        <v>376</v>
      </c>
      <c r="RJX121" s="285" t="s">
        <v>377</v>
      </c>
      <c r="RJY121" s="285" t="s">
        <v>376</v>
      </c>
      <c r="RJZ121" s="285" t="s">
        <v>377</v>
      </c>
      <c r="RKA121" s="285" t="s">
        <v>376</v>
      </c>
      <c r="RKB121" s="285" t="s">
        <v>377</v>
      </c>
      <c r="RKC121" s="285" t="s">
        <v>376</v>
      </c>
      <c r="RKD121" s="285" t="s">
        <v>377</v>
      </c>
      <c r="RKE121" s="285" t="s">
        <v>376</v>
      </c>
      <c r="RKF121" s="285" t="s">
        <v>377</v>
      </c>
      <c r="RKG121" s="285" t="s">
        <v>376</v>
      </c>
      <c r="RKH121" s="285" t="s">
        <v>377</v>
      </c>
      <c r="RKI121" s="285" t="s">
        <v>376</v>
      </c>
      <c r="RKJ121" s="285" t="s">
        <v>377</v>
      </c>
      <c r="RKK121" s="285" t="s">
        <v>376</v>
      </c>
      <c r="RKL121" s="285" t="s">
        <v>377</v>
      </c>
      <c r="RKM121" s="285" t="s">
        <v>376</v>
      </c>
      <c r="RKN121" s="285" t="s">
        <v>377</v>
      </c>
      <c r="RKO121" s="285" t="s">
        <v>376</v>
      </c>
      <c r="RKP121" s="285" t="s">
        <v>377</v>
      </c>
      <c r="RKQ121" s="285" t="s">
        <v>376</v>
      </c>
      <c r="RKR121" s="285" t="s">
        <v>377</v>
      </c>
      <c r="RKS121" s="285" t="s">
        <v>376</v>
      </c>
      <c r="RKT121" s="285" t="s">
        <v>377</v>
      </c>
      <c r="RKU121" s="285" t="s">
        <v>376</v>
      </c>
      <c r="RKV121" s="285" t="s">
        <v>377</v>
      </c>
      <c r="RKW121" s="285" t="s">
        <v>376</v>
      </c>
      <c r="RKX121" s="285" t="s">
        <v>377</v>
      </c>
      <c r="RKY121" s="285" t="s">
        <v>376</v>
      </c>
      <c r="RKZ121" s="285" t="s">
        <v>377</v>
      </c>
      <c r="RLA121" s="285" t="s">
        <v>376</v>
      </c>
      <c r="RLB121" s="285" t="s">
        <v>377</v>
      </c>
      <c r="RLC121" s="285" t="s">
        <v>376</v>
      </c>
      <c r="RLD121" s="285" t="s">
        <v>377</v>
      </c>
      <c r="RLE121" s="285" t="s">
        <v>376</v>
      </c>
      <c r="RLF121" s="285" t="s">
        <v>377</v>
      </c>
      <c r="RLG121" s="285" t="s">
        <v>376</v>
      </c>
      <c r="RLH121" s="285" t="s">
        <v>377</v>
      </c>
      <c r="RLI121" s="285" t="s">
        <v>376</v>
      </c>
      <c r="RLJ121" s="285" t="s">
        <v>377</v>
      </c>
      <c r="RLK121" s="285" t="s">
        <v>376</v>
      </c>
      <c r="RLL121" s="285" t="s">
        <v>377</v>
      </c>
      <c r="RLM121" s="285" t="s">
        <v>376</v>
      </c>
      <c r="RLN121" s="285" t="s">
        <v>377</v>
      </c>
      <c r="RLO121" s="285" t="s">
        <v>376</v>
      </c>
      <c r="RLP121" s="285" t="s">
        <v>377</v>
      </c>
      <c r="RLQ121" s="285" t="s">
        <v>376</v>
      </c>
      <c r="RLR121" s="285" t="s">
        <v>377</v>
      </c>
      <c r="RLS121" s="285" t="s">
        <v>376</v>
      </c>
      <c r="RLT121" s="285" t="s">
        <v>377</v>
      </c>
      <c r="RLU121" s="285" t="s">
        <v>376</v>
      </c>
      <c r="RLV121" s="285" t="s">
        <v>377</v>
      </c>
      <c r="RLW121" s="285" t="s">
        <v>376</v>
      </c>
      <c r="RLX121" s="285" t="s">
        <v>377</v>
      </c>
      <c r="RLY121" s="285" t="s">
        <v>376</v>
      </c>
      <c r="RLZ121" s="285" t="s">
        <v>377</v>
      </c>
      <c r="RMA121" s="285" t="s">
        <v>376</v>
      </c>
      <c r="RMB121" s="285" t="s">
        <v>377</v>
      </c>
      <c r="RMC121" s="285" t="s">
        <v>376</v>
      </c>
      <c r="RMD121" s="285" t="s">
        <v>377</v>
      </c>
      <c r="RME121" s="285" t="s">
        <v>376</v>
      </c>
      <c r="RMF121" s="285" t="s">
        <v>377</v>
      </c>
      <c r="RMG121" s="285" t="s">
        <v>376</v>
      </c>
      <c r="RMH121" s="285" t="s">
        <v>377</v>
      </c>
      <c r="RMI121" s="285" t="s">
        <v>376</v>
      </c>
      <c r="RMJ121" s="285" t="s">
        <v>377</v>
      </c>
      <c r="RMK121" s="285" t="s">
        <v>376</v>
      </c>
      <c r="RML121" s="285" t="s">
        <v>377</v>
      </c>
      <c r="RMM121" s="285" t="s">
        <v>376</v>
      </c>
      <c r="RMN121" s="285" t="s">
        <v>377</v>
      </c>
      <c r="RMO121" s="285" t="s">
        <v>376</v>
      </c>
      <c r="RMP121" s="285" t="s">
        <v>377</v>
      </c>
      <c r="RMQ121" s="285" t="s">
        <v>376</v>
      </c>
      <c r="RMR121" s="285" t="s">
        <v>377</v>
      </c>
      <c r="RMS121" s="285" t="s">
        <v>376</v>
      </c>
      <c r="RMT121" s="285" t="s">
        <v>377</v>
      </c>
      <c r="RMU121" s="285" t="s">
        <v>376</v>
      </c>
      <c r="RMV121" s="285" t="s">
        <v>377</v>
      </c>
      <c r="RMW121" s="285" t="s">
        <v>376</v>
      </c>
      <c r="RMX121" s="285" t="s">
        <v>377</v>
      </c>
      <c r="RMY121" s="285" t="s">
        <v>376</v>
      </c>
      <c r="RMZ121" s="285" t="s">
        <v>377</v>
      </c>
      <c r="RNA121" s="285" t="s">
        <v>376</v>
      </c>
      <c r="RNB121" s="285" t="s">
        <v>377</v>
      </c>
      <c r="RNC121" s="285" t="s">
        <v>376</v>
      </c>
      <c r="RND121" s="285" t="s">
        <v>377</v>
      </c>
      <c r="RNE121" s="285" t="s">
        <v>376</v>
      </c>
      <c r="RNF121" s="285" t="s">
        <v>377</v>
      </c>
      <c r="RNG121" s="285" t="s">
        <v>376</v>
      </c>
      <c r="RNH121" s="285" t="s">
        <v>377</v>
      </c>
      <c r="RNI121" s="285" t="s">
        <v>376</v>
      </c>
      <c r="RNJ121" s="285" t="s">
        <v>377</v>
      </c>
      <c r="RNK121" s="285" t="s">
        <v>376</v>
      </c>
      <c r="RNL121" s="285" t="s">
        <v>377</v>
      </c>
      <c r="RNM121" s="285" t="s">
        <v>376</v>
      </c>
      <c r="RNN121" s="285" t="s">
        <v>377</v>
      </c>
      <c r="RNO121" s="285" t="s">
        <v>376</v>
      </c>
      <c r="RNP121" s="285" t="s">
        <v>377</v>
      </c>
      <c r="RNQ121" s="285" t="s">
        <v>376</v>
      </c>
      <c r="RNR121" s="285" t="s">
        <v>377</v>
      </c>
      <c r="RNS121" s="285" t="s">
        <v>376</v>
      </c>
      <c r="RNT121" s="285" t="s">
        <v>377</v>
      </c>
      <c r="RNU121" s="285" t="s">
        <v>376</v>
      </c>
      <c r="RNV121" s="285" t="s">
        <v>377</v>
      </c>
      <c r="RNW121" s="285" t="s">
        <v>376</v>
      </c>
      <c r="RNX121" s="285" t="s">
        <v>377</v>
      </c>
      <c r="RNY121" s="285" t="s">
        <v>376</v>
      </c>
      <c r="RNZ121" s="285" t="s">
        <v>377</v>
      </c>
      <c r="ROA121" s="285" t="s">
        <v>376</v>
      </c>
      <c r="ROB121" s="285" t="s">
        <v>377</v>
      </c>
      <c r="ROC121" s="285" t="s">
        <v>376</v>
      </c>
      <c r="ROD121" s="285" t="s">
        <v>377</v>
      </c>
      <c r="ROE121" s="285" t="s">
        <v>376</v>
      </c>
      <c r="ROF121" s="285" t="s">
        <v>377</v>
      </c>
      <c r="ROG121" s="285" t="s">
        <v>376</v>
      </c>
      <c r="ROH121" s="285" t="s">
        <v>377</v>
      </c>
      <c r="ROI121" s="285" t="s">
        <v>376</v>
      </c>
      <c r="ROJ121" s="285" t="s">
        <v>377</v>
      </c>
      <c r="ROK121" s="285" t="s">
        <v>376</v>
      </c>
      <c r="ROL121" s="285" t="s">
        <v>377</v>
      </c>
      <c r="ROM121" s="285" t="s">
        <v>376</v>
      </c>
      <c r="RON121" s="285" t="s">
        <v>377</v>
      </c>
      <c r="ROO121" s="285" t="s">
        <v>376</v>
      </c>
      <c r="ROP121" s="285" t="s">
        <v>377</v>
      </c>
      <c r="ROQ121" s="285" t="s">
        <v>376</v>
      </c>
      <c r="ROR121" s="285" t="s">
        <v>377</v>
      </c>
      <c r="ROS121" s="285" t="s">
        <v>376</v>
      </c>
      <c r="ROT121" s="285" t="s">
        <v>377</v>
      </c>
      <c r="ROU121" s="285" t="s">
        <v>376</v>
      </c>
      <c r="ROV121" s="285" t="s">
        <v>377</v>
      </c>
      <c r="ROW121" s="285" t="s">
        <v>376</v>
      </c>
      <c r="ROX121" s="285" t="s">
        <v>377</v>
      </c>
      <c r="ROY121" s="285" t="s">
        <v>376</v>
      </c>
      <c r="ROZ121" s="285" t="s">
        <v>377</v>
      </c>
      <c r="RPA121" s="285" t="s">
        <v>376</v>
      </c>
      <c r="RPB121" s="285" t="s">
        <v>377</v>
      </c>
      <c r="RPC121" s="285" t="s">
        <v>376</v>
      </c>
      <c r="RPD121" s="285" t="s">
        <v>377</v>
      </c>
      <c r="RPE121" s="285" t="s">
        <v>376</v>
      </c>
      <c r="RPF121" s="285" t="s">
        <v>377</v>
      </c>
      <c r="RPG121" s="285" t="s">
        <v>376</v>
      </c>
      <c r="RPH121" s="285" t="s">
        <v>377</v>
      </c>
      <c r="RPI121" s="285" t="s">
        <v>376</v>
      </c>
      <c r="RPJ121" s="285" t="s">
        <v>377</v>
      </c>
      <c r="RPK121" s="285" t="s">
        <v>376</v>
      </c>
      <c r="RPL121" s="285" t="s">
        <v>377</v>
      </c>
      <c r="RPM121" s="285" t="s">
        <v>376</v>
      </c>
      <c r="RPN121" s="285" t="s">
        <v>377</v>
      </c>
      <c r="RPO121" s="285" t="s">
        <v>376</v>
      </c>
      <c r="RPP121" s="285" t="s">
        <v>377</v>
      </c>
      <c r="RPQ121" s="285" t="s">
        <v>376</v>
      </c>
      <c r="RPR121" s="285" t="s">
        <v>377</v>
      </c>
      <c r="RPS121" s="285" t="s">
        <v>376</v>
      </c>
      <c r="RPT121" s="285" t="s">
        <v>377</v>
      </c>
      <c r="RPU121" s="285" t="s">
        <v>376</v>
      </c>
      <c r="RPV121" s="285" t="s">
        <v>377</v>
      </c>
      <c r="RPW121" s="285" t="s">
        <v>376</v>
      </c>
      <c r="RPX121" s="285" t="s">
        <v>377</v>
      </c>
      <c r="RPY121" s="285" t="s">
        <v>376</v>
      </c>
      <c r="RPZ121" s="285" t="s">
        <v>377</v>
      </c>
      <c r="RQA121" s="285" t="s">
        <v>376</v>
      </c>
      <c r="RQB121" s="285" t="s">
        <v>377</v>
      </c>
      <c r="RQC121" s="285" t="s">
        <v>376</v>
      </c>
      <c r="RQD121" s="285" t="s">
        <v>377</v>
      </c>
      <c r="RQE121" s="285" t="s">
        <v>376</v>
      </c>
      <c r="RQF121" s="285" t="s">
        <v>377</v>
      </c>
      <c r="RQG121" s="285" t="s">
        <v>376</v>
      </c>
      <c r="RQH121" s="285" t="s">
        <v>377</v>
      </c>
      <c r="RQI121" s="285" t="s">
        <v>376</v>
      </c>
      <c r="RQJ121" s="285" t="s">
        <v>377</v>
      </c>
      <c r="RQK121" s="285" t="s">
        <v>376</v>
      </c>
      <c r="RQL121" s="285" t="s">
        <v>377</v>
      </c>
      <c r="RQM121" s="285" t="s">
        <v>376</v>
      </c>
      <c r="RQN121" s="285" t="s">
        <v>377</v>
      </c>
      <c r="RQO121" s="285" t="s">
        <v>376</v>
      </c>
      <c r="RQP121" s="285" t="s">
        <v>377</v>
      </c>
      <c r="RQQ121" s="285" t="s">
        <v>376</v>
      </c>
      <c r="RQR121" s="285" t="s">
        <v>377</v>
      </c>
      <c r="RQS121" s="285" t="s">
        <v>376</v>
      </c>
      <c r="RQT121" s="285" t="s">
        <v>377</v>
      </c>
      <c r="RQU121" s="285" t="s">
        <v>376</v>
      </c>
      <c r="RQV121" s="285" t="s">
        <v>377</v>
      </c>
      <c r="RQW121" s="285" t="s">
        <v>376</v>
      </c>
      <c r="RQX121" s="285" t="s">
        <v>377</v>
      </c>
      <c r="RQY121" s="285" t="s">
        <v>376</v>
      </c>
      <c r="RQZ121" s="285" t="s">
        <v>377</v>
      </c>
      <c r="RRA121" s="285" t="s">
        <v>376</v>
      </c>
      <c r="RRB121" s="285" t="s">
        <v>377</v>
      </c>
      <c r="RRC121" s="285" t="s">
        <v>376</v>
      </c>
      <c r="RRD121" s="285" t="s">
        <v>377</v>
      </c>
      <c r="RRE121" s="285" t="s">
        <v>376</v>
      </c>
      <c r="RRF121" s="285" t="s">
        <v>377</v>
      </c>
      <c r="RRG121" s="285" t="s">
        <v>376</v>
      </c>
      <c r="RRH121" s="285" t="s">
        <v>377</v>
      </c>
      <c r="RRI121" s="285" t="s">
        <v>376</v>
      </c>
      <c r="RRJ121" s="285" t="s">
        <v>377</v>
      </c>
      <c r="RRK121" s="285" t="s">
        <v>376</v>
      </c>
      <c r="RRL121" s="285" t="s">
        <v>377</v>
      </c>
      <c r="RRM121" s="285" t="s">
        <v>376</v>
      </c>
      <c r="RRN121" s="285" t="s">
        <v>377</v>
      </c>
      <c r="RRO121" s="285" t="s">
        <v>376</v>
      </c>
      <c r="RRP121" s="285" t="s">
        <v>377</v>
      </c>
      <c r="RRQ121" s="285" t="s">
        <v>376</v>
      </c>
      <c r="RRR121" s="285" t="s">
        <v>377</v>
      </c>
      <c r="RRS121" s="285" t="s">
        <v>376</v>
      </c>
      <c r="RRT121" s="285" t="s">
        <v>377</v>
      </c>
      <c r="RRU121" s="285" t="s">
        <v>376</v>
      </c>
      <c r="RRV121" s="285" t="s">
        <v>377</v>
      </c>
      <c r="RRW121" s="285" t="s">
        <v>376</v>
      </c>
      <c r="RRX121" s="285" t="s">
        <v>377</v>
      </c>
      <c r="RRY121" s="285" t="s">
        <v>376</v>
      </c>
      <c r="RRZ121" s="285" t="s">
        <v>377</v>
      </c>
      <c r="RSA121" s="285" t="s">
        <v>376</v>
      </c>
      <c r="RSB121" s="285" t="s">
        <v>377</v>
      </c>
      <c r="RSC121" s="285" t="s">
        <v>376</v>
      </c>
      <c r="RSD121" s="285" t="s">
        <v>377</v>
      </c>
      <c r="RSE121" s="285" t="s">
        <v>376</v>
      </c>
      <c r="RSF121" s="285" t="s">
        <v>377</v>
      </c>
      <c r="RSG121" s="285" t="s">
        <v>376</v>
      </c>
      <c r="RSH121" s="285" t="s">
        <v>377</v>
      </c>
      <c r="RSI121" s="285" t="s">
        <v>376</v>
      </c>
      <c r="RSJ121" s="285" t="s">
        <v>377</v>
      </c>
      <c r="RSK121" s="285" t="s">
        <v>376</v>
      </c>
      <c r="RSL121" s="285" t="s">
        <v>377</v>
      </c>
      <c r="RSM121" s="285" t="s">
        <v>376</v>
      </c>
      <c r="RSN121" s="285" t="s">
        <v>377</v>
      </c>
      <c r="RSO121" s="285" t="s">
        <v>376</v>
      </c>
      <c r="RSP121" s="285" t="s">
        <v>377</v>
      </c>
      <c r="RSQ121" s="285" t="s">
        <v>376</v>
      </c>
      <c r="RSR121" s="285" t="s">
        <v>377</v>
      </c>
      <c r="RSS121" s="285" t="s">
        <v>376</v>
      </c>
      <c r="RST121" s="285" t="s">
        <v>377</v>
      </c>
      <c r="RSU121" s="285" t="s">
        <v>376</v>
      </c>
      <c r="RSV121" s="285" t="s">
        <v>377</v>
      </c>
      <c r="RSW121" s="285" t="s">
        <v>376</v>
      </c>
      <c r="RSX121" s="285" t="s">
        <v>377</v>
      </c>
      <c r="RSY121" s="285" t="s">
        <v>376</v>
      </c>
      <c r="RSZ121" s="285" t="s">
        <v>377</v>
      </c>
      <c r="RTA121" s="285" t="s">
        <v>376</v>
      </c>
      <c r="RTB121" s="285" t="s">
        <v>377</v>
      </c>
      <c r="RTC121" s="285" t="s">
        <v>376</v>
      </c>
      <c r="RTD121" s="285" t="s">
        <v>377</v>
      </c>
      <c r="RTE121" s="285" t="s">
        <v>376</v>
      </c>
      <c r="RTF121" s="285" t="s">
        <v>377</v>
      </c>
      <c r="RTG121" s="285" t="s">
        <v>376</v>
      </c>
      <c r="RTH121" s="285" t="s">
        <v>377</v>
      </c>
      <c r="RTI121" s="285" t="s">
        <v>376</v>
      </c>
      <c r="RTJ121" s="285" t="s">
        <v>377</v>
      </c>
      <c r="RTK121" s="285" t="s">
        <v>376</v>
      </c>
      <c r="RTL121" s="285" t="s">
        <v>377</v>
      </c>
      <c r="RTM121" s="285" t="s">
        <v>376</v>
      </c>
      <c r="RTN121" s="285" t="s">
        <v>377</v>
      </c>
      <c r="RTO121" s="285" t="s">
        <v>376</v>
      </c>
      <c r="RTP121" s="285" t="s">
        <v>377</v>
      </c>
      <c r="RTQ121" s="285" t="s">
        <v>376</v>
      </c>
      <c r="RTR121" s="285" t="s">
        <v>377</v>
      </c>
      <c r="RTS121" s="285" t="s">
        <v>376</v>
      </c>
      <c r="RTT121" s="285" t="s">
        <v>377</v>
      </c>
      <c r="RTU121" s="285" t="s">
        <v>376</v>
      </c>
      <c r="RTV121" s="285" t="s">
        <v>377</v>
      </c>
      <c r="RTW121" s="285" t="s">
        <v>376</v>
      </c>
      <c r="RTX121" s="285" t="s">
        <v>377</v>
      </c>
      <c r="RTY121" s="285" t="s">
        <v>376</v>
      </c>
      <c r="RTZ121" s="285" t="s">
        <v>377</v>
      </c>
      <c r="RUA121" s="285" t="s">
        <v>376</v>
      </c>
      <c r="RUB121" s="285" t="s">
        <v>377</v>
      </c>
      <c r="RUC121" s="285" t="s">
        <v>376</v>
      </c>
      <c r="RUD121" s="285" t="s">
        <v>377</v>
      </c>
      <c r="RUE121" s="285" t="s">
        <v>376</v>
      </c>
      <c r="RUF121" s="285" t="s">
        <v>377</v>
      </c>
      <c r="RUG121" s="285" t="s">
        <v>376</v>
      </c>
      <c r="RUH121" s="285" t="s">
        <v>377</v>
      </c>
      <c r="RUI121" s="285" t="s">
        <v>376</v>
      </c>
      <c r="RUJ121" s="285" t="s">
        <v>377</v>
      </c>
      <c r="RUK121" s="285" t="s">
        <v>376</v>
      </c>
      <c r="RUL121" s="285" t="s">
        <v>377</v>
      </c>
      <c r="RUM121" s="285" t="s">
        <v>376</v>
      </c>
      <c r="RUN121" s="285" t="s">
        <v>377</v>
      </c>
      <c r="RUO121" s="285" t="s">
        <v>376</v>
      </c>
      <c r="RUP121" s="285" t="s">
        <v>377</v>
      </c>
      <c r="RUQ121" s="285" t="s">
        <v>376</v>
      </c>
      <c r="RUR121" s="285" t="s">
        <v>377</v>
      </c>
      <c r="RUS121" s="285" t="s">
        <v>376</v>
      </c>
      <c r="RUT121" s="285" t="s">
        <v>377</v>
      </c>
      <c r="RUU121" s="285" t="s">
        <v>376</v>
      </c>
      <c r="RUV121" s="285" t="s">
        <v>377</v>
      </c>
      <c r="RUW121" s="285" t="s">
        <v>376</v>
      </c>
      <c r="RUX121" s="285" t="s">
        <v>377</v>
      </c>
      <c r="RUY121" s="285" t="s">
        <v>376</v>
      </c>
      <c r="RUZ121" s="285" t="s">
        <v>377</v>
      </c>
      <c r="RVA121" s="285" t="s">
        <v>376</v>
      </c>
      <c r="RVB121" s="285" t="s">
        <v>377</v>
      </c>
      <c r="RVC121" s="285" t="s">
        <v>376</v>
      </c>
      <c r="RVD121" s="285" t="s">
        <v>377</v>
      </c>
      <c r="RVE121" s="285" t="s">
        <v>376</v>
      </c>
      <c r="RVF121" s="285" t="s">
        <v>377</v>
      </c>
      <c r="RVG121" s="285" t="s">
        <v>376</v>
      </c>
      <c r="RVH121" s="285" t="s">
        <v>377</v>
      </c>
      <c r="RVI121" s="285" t="s">
        <v>376</v>
      </c>
      <c r="RVJ121" s="285" t="s">
        <v>377</v>
      </c>
      <c r="RVK121" s="285" t="s">
        <v>376</v>
      </c>
      <c r="RVL121" s="285" t="s">
        <v>377</v>
      </c>
      <c r="RVM121" s="285" t="s">
        <v>376</v>
      </c>
      <c r="RVN121" s="285" t="s">
        <v>377</v>
      </c>
      <c r="RVO121" s="285" t="s">
        <v>376</v>
      </c>
      <c r="RVP121" s="285" t="s">
        <v>377</v>
      </c>
      <c r="RVQ121" s="285" t="s">
        <v>376</v>
      </c>
      <c r="RVR121" s="285" t="s">
        <v>377</v>
      </c>
      <c r="RVS121" s="285" t="s">
        <v>376</v>
      </c>
      <c r="RVT121" s="285" t="s">
        <v>377</v>
      </c>
      <c r="RVU121" s="285" t="s">
        <v>376</v>
      </c>
      <c r="RVV121" s="285" t="s">
        <v>377</v>
      </c>
      <c r="RVW121" s="285" t="s">
        <v>376</v>
      </c>
      <c r="RVX121" s="285" t="s">
        <v>377</v>
      </c>
      <c r="RVY121" s="285" t="s">
        <v>376</v>
      </c>
      <c r="RVZ121" s="285" t="s">
        <v>377</v>
      </c>
      <c r="RWA121" s="285" t="s">
        <v>376</v>
      </c>
      <c r="RWB121" s="285" t="s">
        <v>377</v>
      </c>
      <c r="RWC121" s="285" t="s">
        <v>376</v>
      </c>
      <c r="RWD121" s="285" t="s">
        <v>377</v>
      </c>
      <c r="RWE121" s="285" t="s">
        <v>376</v>
      </c>
      <c r="RWF121" s="285" t="s">
        <v>377</v>
      </c>
      <c r="RWG121" s="285" t="s">
        <v>376</v>
      </c>
      <c r="RWH121" s="285" t="s">
        <v>377</v>
      </c>
      <c r="RWI121" s="285" t="s">
        <v>376</v>
      </c>
      <c r="RWJ121" s="285" t="s">
        <v>377</v>
      </c>
      <c r="RWK121" s="285" t="s">
        <v>376</v>
      </c>
      <c r="RWL121" s="285" t="s">
        <v>377</v>
      </c>
      <c r="RWM121" s="285" t="s">
        <v>376</v>
      </c>
      <c r="RWN121" s="285" t="s">
        <v>377</v>
      </c>
      <c r="RWO121" s="285" t="s">
        <v>376</v>
      </c>
      <c r="RWP121" s="285" t="s">
        <v>377</v>
      </c>
      <c r="RWQ121" s="285" t="s">
        <v>376</v>
      </c>
      <c r="RWR121" s="285" t="s">
        <v>377</v>
      </c>
      <c r="RWS121" s="285" t="s">
        <v>376</v>
      </c>
      <c r="RWT121" s="285" t="s">
        <v>377</v>
      </c>
      <c r="RWU121" s="285" t="s">
        <v>376</v>
      </c>
      <c r="RWV121" s="285" t="s">
        <v>377</v>
      </c>
      <c r="RWW121" s="285" t="s">
        <v>376</v>
      </c>
      <c r="RWX121" s="285" t="s">
        <v>377</v>
      </c>
      <c r="RWY121" s="285" t="s">
        <v>376</v>
      </c>
      <c r="RWZ121" s="285" t="s">
        <v>377</v>
      </c>
      <c r="RXA121" s="285" t="s">
        <v>376</v>
      </c>
      <c r="RXB121" s="285" t="s">
        <v>377</v>
      </c>
      <c r="RXC121" s="285" t="s">
        <v>376</v>
      </c>
      <c r="RXD121" s="285" t="s">
        <v>377</v>
      </c>
      <c r="RXE121" s="285" t="s">
        <v>376</v>
      </c>
      <c r="RXF121" s="285" t="s">
        <v>377</v>
      </c>
      <c r="RXG121" s="285" t="s">
        <v>376</v>
      </c>
      <c r="RXH121" s="285" t="s">
        <v>377</v>
      </c>
      <c r="RXI121" s="285" t="s">
        <v>376</v>
      </c>
      <c r="RXJ121" s="285" t="s">
        <v>377</v>
      </c>
      <c r="RXK121" s="285" t="s">
        <v>376</v>
      </c>
      <c r="RXL121" s="285" t="s">
        <v>377</v>
      </c>
      <c r="RXM121" s="285" t="s">
        <v>376</v>
      </c>
      <c r="RXN121" s="285" t="s">
        <v>377</v>
      </c>
      <c r="RXO121" s="285" t="s">
        <v>376</v>
      </c>
      <c r="RXP121" s="285" t="s">
        <v>377</v>
      </c>
      <c r="RXQ121" s="285" t="s">
        <v>376</v>
      </c>
      <c r="RXR121" s="285" t="s">
        <v>377</v>
      </c>
      <c r="RXS121" s="285" t="s">
        <v>376</v>
      </c>
      <c r="RXT121" s="285" t="s">
        <v>377</v>
      </c>
      <c r="RXU121" s="285" t="s">
        <v>376</v>
      </c>
      <c r="RXV121" s="285" t="s">
        <v>377</v>
      </c>
      <c r="RXW121" s="285" t="s">
        <v>376</v>
      </c>
      <c r="RXX121" s="285" t="s">
        <v>377</v>
      </c>
      <c r="RXY121" s="285" t="s">
        <v>376</v>
      </c>
      <c r="RXZ121" s="285" t="s">
        <v>377</v>
      </c>
      <c r="RYA121" s="285" t="s">
        <v>376</v>
      </c>
      <c r="RYB121" s="285" t="s">
        <v>377</v>
      </c>
      <c r="RYC121" s="285" t="s">
        <v>376</v>
      </c>
      <c r="RYD121" s="285" t="s">
        <v>377</v>
      </c>
      <c r="RYE121" s="285" t="s">
        <v>376</v>
      </c>
      <c r="RYF121" s="285" t="s">
        <v>377</v>
      </c>
      <c r="RYG121" s="285" t="s">
        <v>376</v>
      </c>
      <c r="RYH121" s="285" t="s">
        <v>377</v>
      </c>
      <c r="RYI121" s="285" t="s">
        <v>376</v>
      </c>
      <c r="RYJ121" s="285" t="s">
        <v>377</v>
      </c>
      <c r="RYK121" s="285" t="s">
        <v>376</v>
      </c>
      <c r="RYL121" s="285" t="s">
        <v>377</v>
      </c>
      <c r="RYM121" s="285" t="s">
        <v>376</v>
      </c>
      <c r="RYN121" s="285" t="s">
        <v>377</v>
      </c>
      <c r="RYO121" s="285" t="s">
        <v>376</v>
      </c>
      <c r="RYP121" s="285" t="s">
        <v>377</v>
      </c>
      <c r="RYQ121" s="285" t="s">
        <v>376</v>
      </c>
      <c r="RYR121" s="285" t="s">
        <v>377</v>
      </c>
      <c r="RYS121" s="285" t="s">
        <v>376</v>
      </c>
      <c r="RYT121" s="285" t="s">
        <v>377</v>
      </c>
      <c r="RYU121" s="285" t="s">
        <v>376</v>
      </c>
      <c r="RYV121" s="285" t="s">
        <v>377</v>
      </c>
      <c r="RYW121" s="285" t="s">
        <v>376</v>
      </c>
      <c r="RYX121" s="285" t="s">
        <v>377</v>
      </c>
      <c r="RYY121" s="285" t="s">
        <v>376</v>
      </c>
      <c r="RYZ121" s="285" t="s">
        <v>377</v>
      </c>
      <c r="RZA121" s="285" t="s">
        <v>376</v>
      </c>
      <c r="RZB121" s="285" t="s">
        <v>377</v>
      </c>
      <c r="RZC121" s="285" t="s">
        <v>376</v>
      </c>
      <c r="RZD121" s="285" t="s">
        <v>377</v>
      </c>
      <c r="RZE121" s="285" t="s">
        <v>376</v>
      </c>
      <c r="RZF121" s="285" t="s">
        <v>377</v>
      </c>
      <c r="RZG121" s="285" t="s">
        <v>376</v>
      </c>
      <c r="RZH121" s="285" t="s">
        <v>377</v>
      </c>
      <c r="RZI121" s="285" t="s">
        <v>376</v>
      </c>
      <c r="RZJ121" s="285" t="s">
        <v>377</v>
      </c>
      <c r="RZK121" s="285" t="s">
        <v>376</v>
      </c>
      <c r="RZL121" s="285" t="s">
        <v>377</v>
      </c>
      <c r="RZM121" s="285" t="s">
        <v>376</v>
      </c>
      <c r="RZN121" s="285" t="s">
        <v>377</v>
      </c>
      <c r="RZO121" s="285" t="s">
        <v>376</v>
      </c>
      <c r="RZP121" s="285" t="s">
        <v>377</v>
      </c>
      <c r="RZQ121" s="285" t="s">
        <v>376</v>
      </c>
      <c r="RZR121" s="285" t="s">
        <v>377</v>
      </c>
      <c r="RZS121" s="285" t="s">
        <v>376</v>
      </c>
      <c r="RZT121" s="285" t="s">
        <v>377</v>
      </c>
      <c r="RZU121" s="285" t="s">
        <v>376</v>
      </c>
      <c r="RZV121" s="285" t="s">
        <v>377</v>
      </c>
      <c r="RZW121" s="285" t="s">
        <v>376</v>
      </c>
      <c r="RZX121" s="285" t="s">
        <v>377</v>
      </c>
      <c r="RZY121" s="285" t="s">
        <v>376</v>
      </c>
      <c r="RZZ121" s="285" t="s">
        <v>377</v>
      </c>
      <c r="SAA121" s="285" t="s">
        <v>376</v>
      </c>
      <c r="SAB121" s="285" t="s">
        <v>377</v>
      </c>
      <c r="SAC121" s="285" t="s">
        <v>376</v>
      </c>
      <c r="SAD121" s="285" t="s">
        <v>377</v>
      </c>
      <c r="SAE121" s="285" t="s">
        <v>376</v>
      </c>
      <c r="SAF121" s="285" t="s">
        <v>377</v>
      </c>
      <c r="SAG121" s="285" t="s">
        <v>376</v>
      </c>
      <c r="SAH121" s="285" t="s">
        <v>377</v>
      </c>
      <c r="SAI121" s="285" t="s">
        <v>376</v>
      </c>
      <c r="SAJ121" s="285" t="s">
        <v>377</v>
      </c>
      <c r="SAK121" s="285" t="s">
        <v>376</v>
      </c>
      <c r="SAL121" s="285" t="s">
        <v>377</v>
      </c>
      <c r="SAM121" s="285" t="s">
        <v>376</v>
      </c>
      <c r="SAN121" s="285" t="s">
        <v>377</v>
      </c>
      <c r="SAO121" s="285" t="s">
        <v>376</v>
      </c>
      <c r="SAP121" s="285" t="s">
        <v>377</v>
      </c>
      <c r="SAQ121" s="285" t="s">
        <v>376</v>
      </c>
      <c r="SAR121" s="285" t="s">
        <v>377</v>
      </c>
      <c r="SAS121" s="285" t="s">
        <v>376</v>
      </c>
      <c r="SAT121" s="285" t="s">
        <v>377</v>
      </c>
      <c r="SAU121" s="285" t="s">
        <v>376</v>
      </c>
      <c r="SAV121" s="285" t="s">
        <v>377</v>
      </c>
      <c r="SAW121" s="285" t="s">
        <v>376</v>
      </c>
      <c r="SAX121" s="285" t="s">
        <v>377</v>
      </c>
      <c r="SAY121" s="285" t="s">
        <v>376</v>
      </c>
      <c r="SAZ121" s="285" t="s">
        <v>377</v>
      </c>
      <c r="SBA121" s="285" t="s">
        <v>376</v>
      </c>
      <c r="SBB121" s="285" t="s">
        <v>377</v>
      </c>
      <c r="SBC121" s="285" t="s">
        <v>376</v>
      </c>
      <c r="SBD121" s="285" t="s">
        <v>377</v>
      </c>
      <c r="SBE121" s="285" t="s">
        <v>376</v>
      </c>
      <c r="SBF121" s="285" t="s">
        <v>377</v>
      </c>
      <c r="SBG121" s="285" t="s">
        <v>376</v>
      </c>
      <c r="SBH121" s="285" t="s">
        <v>377</v>
      </c>
      <c r="SBI121" s="285" t="s">
        <v>376</v>
      </c>
      <c r="SBJ121" s="285" t="s">
        <v>377</v>
      </c>
      <c r="SBK121" s="285" t="s">
        <v>376</v>
      </c>
      <c r="SBL121" s="285" t="s">
        <v>377</v>
      </c>
      <c r="SBM121" s="285" t="s">
        <v>376</v>
      </c>
      <c r="SBN121" s="285" t="s">
        <v>377</v>
      </c>
      <c r="SBO121" s="285" t="s">
        <v>376</v>
      </c>
      <c r="SBP121" s="285" t="s">
        <v>377</v>
      </c>
      <c r="SBQ121" s="285" t="s">
        <v>376</v>
      </c>
      <c r="SBR121" s="285" t="s">
        <v>377</v>
      </c>
      <c r="SBS121" s="285" t="s">
        <v>376</v>
      </c>
      <c r="SBT121" s="285" t="s">
        <v>377</v>
      </c>
      <c r="SBU121" s="285" t="s">
        <v>376</v>
      </c>
      <c r="SBV121" s="285" t="s">
        <v>377</v>
      </c>
      <c r="SBW121" s="285" t="s">
        <v>376</v>
      </c>
      <c r="SBX121" s="285" t="s">
        <v>377</v>
      </c>
      <c r="SBY121" s="285" t="s">
        <v>376</v>
      </c>
      <c r="SBZ121" s="285" t="s">
        <v>377</v>
      </c>
      <c r="SCA121" s="285" t="s">
        <v>376</v>
      </c>
      <c r="SCB121" s="285" t="s">
        <v>377</v>
      </c>
      <c r="SCC121" s="285" t="s">
        <v>376</v>
      </c>
      <c r="SCD121" s="285" t="s">
        <v>377</v>
      </c>
      <c r="SCE121" s="285" t="s">
        <v>376</v>
      </c>
      <c r="SCF121" s="285" t="s">
        <v>377</v>
      </c>
      <c r="SCG121" s="285" t="s">
        <v>376</v>
      </c>
      <c r="SCH121" s="285" t="s">
        <v>377</v>
      </c>
      <c r="SCI121" s="285" t="s">
        <v>376</v>
      </c>
      <c r="SCJ121" s="285" t="s">
        <v>377</v>
      </c>
      <c r="SCK121" s="285" t="s">
        <v>376</v>
      </c>
      <c r="SCL121" s="285" t="s">
        <v>377</v>
      </c>
      <c r="SCM121" s="285" t="s">
        <v>376</v>
      </c>
      <c r="SCN121" s="285" t="s">
        <v>377</v>
      </c>
      <c r="SCO121" s="285" t="s">
        <v>376</v>
      </c>
      <c r="SCP121" s="285" t="s">
        <v>377</v>
      </c>
      <c r="SCQ121" s="285" t="s">
        <v>376</v>
      </c>
      <c r="SCR121" s="285" t="s">
        <v>377</v>
      </c>
      <c r="SCS121" s="285" t="s">
        <v>376</v>
      </c>
      <c r="SCT121" s="285" t="s">
        <v>377</v>
      </c>
      <c r="SCU121" s="285" t="s">
        <v>376</v>
      </c>
      <c r="SCV121" s="285" t="s">
        <v>377</v>
      </c>
      <c r="SCW121" s="285" t="s">
        <v>376</v>
      </c>
      <c r="SCX121" s="285" t="s">
        <v>377</v>
      </c>
      <c r="SCY121" s="285" t="s">
        <v>376</v>
      </c>
      <c r="SCZ121" s="285" t="s">
        <v>377</v>
      </c>
      <c r="SDA121" s="285" t="s">
        <v>376</v>
      </c>
      <c r="SDB121" s="285" t="s">
        <v>377</v>
      </c>
      <c r="SDC121" s="285" t="s">
        <v>376</v>
      </c>
      <c r="SDD121" s="285" t="s">
        <v>377</v>
      </c>
      <c r="SDE121" s="285" t="s">
        <v>376</v>
      </c>
      <c r="SDF121" s="285" t="s">
        <v>377</v>
      </c>
      <c r="SDG121" s="285" t="s">
        <v>376</v>
      </c>
      <c r="SDH121" s="285" t="s">
        <v>377</v>
      </c>
      <c r="SDI121" s="285" t="s">
        <v>376</v>
      </c>
      <c r="SDJ121" s="285" t="s">
        <v>377</v>
      </c>
      <c r="SDK121" s="285" t="s">
        <v>376</v>
      </c>
      <c r="SDL121" s="285" t="s">
        <v>377</v>
      </c>
      <c r="SDM121" s="285" t="s">
        <v>376</v>
      </c>
      <c r="SDN121" s="285" t="s">
        <v>377</v>
      </c>
      <c r="SDO121" s="285" t="s">
        <v>376</v>
      </c>
      <c r="SDP121" s="285" t="s">
        <v>377</v>
      </c>
      <c r="SDQ121" s="285" t="s">
        <v>376</v>
      </c>
      <c r="SDR121" s="285" t="s">
        <v>377</v>
      </c>
      <c r="SDS121" s="285" t="s">
        <v>376</v>
      </c>
      <c r="SDT121" s="285" t="s">
        <v>377</v>
      </c>
      <c r="SDU121" s="285" t="s">
        <v>376</v>
      </c>
      <c r="SDV121" s="285" t="s">
        <v>377</v>
      </c>
      <c r="SDW121" s="285" t="s">
        <v>376</v>
      </c>
      <c r="SDX121" s="285" t="s">
        <v>377</v>
      </c>
      <c r="SDY121" s="285" t="s">
        <v>376</v>
      </c>
      <c r="SDZ121" s="285" t="s">
        <v>377</v>
      </c>
      <c r="SEA121" s="285" t="s">
        <v>376</v>
      </c>
      <c r="SEB121" s="285" t="s">
        <v>377</v>
      </c>
      <c r="SEC121" s="285" t="s">
        <v>376</v>
      </c>
      <c r="SED121" s="285" t="s">
        <v>377</v>
      </c>
      <c r="SEE121" s="285" t="s">
        <v>376</v>
      </c>
      <c r="SEF121" s="285" t="s">
        <v>377</v>
      </c>
      <c r="SEG121" s="285" t="s">
        <v>376</v>
      </c>
      <c r="SEH121" s="285" t="s">
        <v>377</v>
      </c>
      <c r="SEI121" s="285" t="s">
        <v>376</v>
      </c>
      <c r="SEJ121" s="285" t="s">
        <v>377</v>
      </c>
      <c r="SEK121" s="285" t="s">
        <v>376</v>
      </c>
      <c r="SEL121" s="285" t="s">
        <v>377</v>
      </c>
      <c r="SEM121" s="285" t="s">
        <v>376</v>
      </c>
      <c r="SEN121" s="285" t="s">
        <v>377</v>
      </c>
      <c r="SEO121" s="285" t="s">
        <v>376</v>
      </c>
      <c r="SEP121" s="285" t="s">
        <v>377</v>
      </c>
      <c r="SEQ121" s="285" t="s">
        <v>376</v>
      </c>
      <c r="SER121" s="285" t="s">
        <v>377</v>
      </c>
      <c r="SES121" s="285" t="s">
        <v>376</v>
      </c>
      <c r="SET121" s="285" t="s">
        <v>377</v>
      </c>
      <c r="SEU121" s="285" t="s">
        <v>376</v>
      </c>
      <c r="SEV121" s="285" t="s">
        <v>377</v>
      </c>
      <c r="SEW121" s="285" t="s">
        <v>376</v>
      </c>
      <c r="SEX121" s="285" t="s">
        <v>377</v>
      </c>
      <c r="SEY121" s="285" t="s">
        <v>376</v>
      </c>
      <c r="SEZ121" s="285" t="s">
        <v>377</v>
      </c>
      <c r="SFA121" s="285" t="s">
        <v>376</v>
      </c>
      <c r="SFB121" s="285" t="s">
        <v>377</v>
      </c>
      <c r="SFC121" s="285" t="s">
        <v>376</v>
      </c>
      <c r="SFD121" s="285" t="s">
        <v>377</v>
      </c>
      <c r="SFE121" s="285" t="s">
        <v>376</v>
      </c>
      <c r="SFF121" s="285" t="s">
        <v>377</v>
      </c>
      <c r="SFG121" s="285" t="s">
        <v>376</v>
      </c>
      <c r="SFH121" s="285" t="s">
        <v>377</v>
      </c>
      <c r="SFI121" s="285" t="s">
        <v>376</v>
      </c>
      <c r="SFJ121" s="285" t="s">
        <v>377</v>
      </c>
      <c r="SFK121" s="285" t="s">
        <v>376</v>
      </c>
      <c r="SFL121" s="285" t="s">
        <v>377</v>
      </c>
      <c r="SFM121" s="285" t="s">
        <v>376</v>
      </c>
      <c r="SFN121" s="285" t="s">
        <v>377</v>
      </c>
      <c r="SFO121" s="285" t="s">
        <v>376</v>
      </c>
      <c r="SFP121" s="285" t="s">
        <v>377</v>
      </c>
      <c r="SFQ121" s="285" t="s">
        <v>376</v>
      </c>
      <c r="SFR121" s="285" t="s">
        <v>377</v>
      </c>
      <c r="SFS121" s="285" t="s">
        <v>376</v>
      </c>
      <c r="SFT121" s="285" t="s">
        <v>377</v>
      </c>
      <c r="SFU121" s="285" t="s">
        <v>376</v>
      </c>
      <c r="SFV121" s="285" t="s">
        <v>377</v>
      </c>
      <c r="SFW121" s="285" t="s">
        <v>376</v>
      </c>
      <c r="SFX121" s="285" t="s">
        <v>377</v>
      </c>
      <c r="SFY121" s="285" t="s">
        <v>376</v>
      </c>
      <c r="SFZ121" s="285" t="s">
        <v>377</v>
      </c>
      <c r="SGA121" s="285" t="s">
        <v>376</v>
      </c>
      <c r="SGB121" s="285" t="s">
        <v>377</v>
      </c>
      <c r="SGC121" s="285" t="s">
        <v>376</v>
      </c>
      <c r="SGD121" s="285" t="s">
        <v>377</v>
      </c>
      <c r="SGE121" s="285" t="s">
        <v>376</v>
      </c>
      <c r="SGF121" s="285" t="s">
        <v>377</v>
      </c>
      <c r="SGG121" s="285" t="s">
        <v>376</v>
      </c>
      <c r="SGH121" s="285" t="s">
        <v>377</v>
      </c>
      <c r="SGI121" s="285" t="s">
        <v>376</v>
      </c>
      <c r="SGJ121" s="285" t="s">
        <v>377</v>
      </c>
      <c r="SGK121" s="285" t="s">
        <v>376</v>
      </c>
      <c r="SGL121" s="285" t="s">
        <v>377</v>
      </c>
      <c r="SGM121" s="285" t="s">
        <v>376</v>
      </c>
      <c r="SGN121" s="285" t="s">
        <v>377</v>
      </c>
      <c r="SGO121" s="285" t="s">
        <v>376</v>
      </c>
      <c r="SGP121" s="285" t="s">
        <v>377</v>
      </c>
      <c r="SGQ121" s="285" t="s">
        <v>376</v>
      </c>
      <c r="SGR121" s="285" t="s">
        <v>377</v>
      </c>
      <c r="SGS121" s="285" t="s">
        <v>376</v>
      </c>
      <c r="SGT121" s="285" t="s">
        <v>377</v>
      </c>
      <c r="SGU121" s="285" t="s">
        <v>376</v>
      </c>
      <c r="SGV121" s="285" t="s">
        <v>377</v>
      </c>
      <c r="SGW121" s="285" t="s">
        <v>376</v>
      </c>
      <c r="SGX121" s="285" t="s">
        <v>377</v>
      </c>
      <c r="SGY121" s="285" t="s">
        <v>376</v>
      </c>
      <c r="SGZ121" s="285" t="s">
        <v>377</v>
      </c>
      <c r="SHA121" s="285" t="s">
        <v>376</v>
      </c>
      <c r="SHB121" s="285" t="s">
        <v>377</v>
      </c>
      <c r="SHC121" s="285" t="s">
        <v>376</v>
      </c>
      <c r="SHD121" s="285" t="s">
        <v>377</v>
      </c>
      <c r="SHE121" s="285" t="s">
        <v>376</v>
      </c>
      <c r="SHF121" s="285" t="s">
        <v>377</v>
      </c>
      <c r="SHG121" s="285" t="s">
        <v>376</v>
      </c>
      <c r="SHH121" s="285" t="s">
        <v>377</v>
      </c>
      <c r="SHI121" s="285" t="s">
        <v>376</v>
      </c>
      <c r="SHJ121" s="285" t="s">
        <v>377</v>
      </c>
      <c r="SHK121" s="285" t="s">
        <v>376</v>
      </c>
      <c r="SHL121" s="285" t="s">
        <v>377</v>
      </c>
      <c r="SHM121" s="285" t="s">
        <v>376</v>
      </c>
      <c r="SHN121" s="285" t="s">
        <v>377</v>
      </c>
      <c r="SHO121" s="285" t="s">
        <v>376</v>
      </c>
      <c r="SHP121" s="285" t="s">
        <v>377</v>
      </c>
      <c r="SHQ121" s="285" t="s">
        <v>376</v>
      </c>
      <c r="SHR121" s="285" t="s">
        <v>377</v>
      </c>
      <c r="SHS121" s="285" t="s">
        <v>376</v>
      </c>
      <c r="SHT121" s="285" t="s">
        <v>377</v>
      </c>
      <c r="SHU121" s="285" t="s">
        <v>376</v>
      </c>
      <c r="SHV121" s="285" t="s">
        <v>377</v>
      </c>
      <c r="SHW121" s="285" t="s">
        <v>376</v>
      </c>
      <c r="SHX121" s="285" t="s">
        <v>377</v>
      </c>
      <c r="SHY121" s="285" t="s">
        <v>376</v>
      </c>
      <c r="SHZ121" s="285" t="s">
        <v>377</v>
      </c>
      <c r="SIA121" s="285" t="s">
        <v>376</v>
      </c>
      <c r="SIB121" s="285" t="s">
        <v>377</v>
      </c>
      <c r="SIC121" s="285" t="s">
        <v>376</v>
      </c>
      <c r="SID121" s="285" t="s">
        <v>377</v>
      </c>
      <c r="SIE121" s="285" t="s">
        <v>376</v>
      </c>
      <c r="SIF121" s="285" t="s">
        <v>377</v>
      </c>
      <c r="SIG121" s="285" t="s">
        <v>376</v>
      </c>
      <c r="SIH121" s="285" t="s">
        <v>377</v>
      </c>
      <c r="SII121" s="285" t="s">
        <v>376</v>
      </c>
      <c r="SIJ121" s="285" t="s">
        <v>377</v>
      </c>
      <c r="SIK121" s="285" t="s">
        <v>376</v>
      </c>
      <c r="SIL121" s="285" t="s">
        <v>377</v>
      </c>
      <c r="SIM121" s="285" t="s">
        <v>376</v>
      </c>
      <c r="SIN121" s="285" t="s">
        <v>377</v>
      </c>
      <c r="SIO121" s="285" t="s">
        <v>376</v>
      </c>
      <c r="SIP121" s="285" t="s">
        <v>377</v>
      </c>
      <c r="SIQ121" s="285" t="s">
        <v>376</v>
      </c>
      <c r="SIR121" s="285" t="s">
        <v>377</v>
      </c>
      <c r="SIS121" s="285" t="s">
        <v>376</v>
      </c>
      <c r="SIT121" s="285" t="s">
        <v>377</v>
      </c>
      <c r="SIU121" s="285" t="s">
        <v>376</v>
      </c>
      <c r="SIV121" s="285" t="s">
        <v>377</v>
      </c>
      <c r="SIW121" s="285" t="s">
        <v>376</v>
      </c>
      <c r="SIX121" s="285" t="s">
        <v>377</v>
      </c>
      <c r="SIY121" s="285" t="s">
        <v>376</v>
      </c>
      <c r="SIZ121" s="285" t="s">
        <v>377</v>
      </c>
      <c r="SJA121" s="285" t="s">
        <v>376</v>
      </c>
      <c r="SJB121" s="285" t="s">
        <v>377</v>
      </c>
      <c r="SJC121" s="285" t="s">
        <v>376</v>
      </c>
      <c r="SJD121" s="285" t="s">
        <v>377</v>
      </c>
      <c r="SJE121" s="285" t="s">
        <v>376</v>
      </c>
      <c r="SJF121" s="285" t="s">
        <v>377</v>
      </c>
      <c r="SJG121" s="285" t="s">
        <v>376</v>
      </c>
      <c r="SJH121" s="285" t="s">
        <v>377</v>
      </c>
      <c r="SJI121" s="285" t="s">
        <v>376</v>
      </c>
      <c r="SJJ121" s="285" t="s">
        <v>377</v>
      </c>
      <c r="SJK121" s="285" t="s">
        <v>376</v>
      </c>
      <c r="SJL121" s="285" t="s">
        <v>377</v>
      </c>
      <c r="SJM121" s="285" t="s">
        <v>376</v>
      </c>
      <c r="SJN121" s="285" t="s">
        <v>377</v>
      </c>
      <c r="SJO121" s="285" t="s">
        <v>376</v>
      </c>
      <c r="SJP121" s="285" t="s">
        <v>377</v>
      </c>
      <c r="SJQ121" s="285" t="s">
        <v>376</v>
      </c>
      <c r="SJR121" s="285" t="s">
        <v>377</v>
      </c>
      <c r="SJS121" s="285" t="s">
        <v>376</v>
      </c>
      <c r="SJT121" s="285" t="s">
        <v>377</v>
      </c>
      <c r="SJU121" s="285" t="s">
        <v>376</v>
      </c>
      <c r="SJV121" s="285" t="s">
        <v>377</v>
      </c>
      <c r="SJW121" s="285" t="s">
        <v>376</v>
      </c>
      <c r="SJX121" s="285" t="s">
        <v>377</v>
      </c>
      <c r="SJY121" s="285" t="s">
        <v>376</v>
      </c>
      <c r="SJZ121" s="285" t="s">
        <v>377</v>
      </c>
      <c r="SKA121" s="285" t="s">
        <v>376</v>
      </c>
      <c r="SKB121" s="285" t="s">
        <v>377</v>
      </c>
      <c r="SKC121" s="285" t="s">
        <v>376</v>
      </c>
      <c r="SKD121" s="285" t="s">
        <v>377</v>
      </c>
      <c r="SKE121" s="285" t="s">
        <v>376</v>
      </c>
      <c r="SKF121" s="285" t="s">
        <v>377</v>
      </c>
      <c r="SKG121" s="285" t="s">
        <v>376</v>
      </c>
      <c r="SKH121" s="285" t="s">
        <v>377</v>
      </c>
      <c r="SKI121" s="285" t="s">
        <v>376</v>
      </c>
      <c r="SKJ121" s="285" t="s">
        <v>377</v>
      </c>
      <c r="SKK121" s="285" t="s">
        <v>376</v>
      </c>
      <c r="SKL121" s="285" t="s">
        <v>377</v>
      </c>
      <c r="SKM121" s="285" t="s">
        <v>376</v>
      </c>
      <c r="SKN121" s="285" t="s">
        <v>377</v>
      </c>
      <c r="SKO121" s="285" t="s">
        <v>376</v>
      </c>
      <c r="SKP121" s="285" t="s">
        <v>377</v>
      </c>
      <c r="SKQ121" s="285" t="s">
        <v>376</v>
      </c>
      <c r="SKR121" s="285" t="s">
        <v>377</v>
      </c>
      <c r="SKS121" s="285" t="s">
        <v>376</v>
      </c>
      <c r="SKT121" s="285" t="s">
        <v>377</v>
      </c>
      <c r="SKU121" s="285" t="s">
        <v>376</v>
      </c>
      <c r="SKV121" s="285" t="s">
        <v>377</v>
      </c>
      <c r="SKW121" s="285" t="s">
        <v>376</v>
      </c>
      <c r="SKX121" s="285" t="s">
        <v>377</v>
      </c>
      <c r="SKY121" s="285" t="s">
        <v>376</v>
      </c>
      <c r="SKZ121" s="285" t="s">
        <v>377</v>
      </c>
      <c r="SLA121" s="285" t="s">
        <v>376</v>
      </c>
      <c r="SLB121" s="285" t="s">
        <v>377</v>
      </c>
      <c r="SLC121" s="285" t="s">
        <v>376</v>
      </c>
      <c r="SLD121" s="285" t="s">
        <v>377</v>
      </c>
      <c r="SLE121" s="285" t="s">
        <v>376</v>
      </c>
      <c r="SLF121" s="285" t="s">
        <v>377</v>
      </c>
      <c r="SLG121" s="285" t="s">
        <v>376</v>
      </c>
      <c r="SLH121" s="285" t="s">
        <v>377</v>
      </c>
      <c r="SLI121" s="285" t="s">
        <v>376</v>
      </c>
      <c r="SLJ121" s="285" t="s">
        <v>377</v>
      </c>
      <c r="SLK121" s="285" t="s">
        <v>376</v>
      </c>
      <c r="SLL121" s="285" t="s">
        <v>377</v>
      </c>
      <c r="SLM121" s="285" t="s">
        <v>376</v>
      </c>
      <c r="SLN121" s="285" t="s">
        <v>377</v>
      </c>
      <c r="SLO121" s="285" t="s">
        <v>376</v>
      </c>
      <c r="SLP121" s="285" t="s">
        <v>377</v>
      </c>
      <c r="SLQ121" s="285" t="s">
        <v>376</v>
      </c>
      <c r="SLR121" s="285" t="s">
        <v>377</v>
      </c>
      <c r="SLS121" s="285" t="s">
        <v>376</v>
      </c>
      <c r="SLT121" s="285" t="s">
        <v>377</v>
      </c>
      <c r="SLU121" s="285" t="s">
        <v>376</v>
      </c>
      <c r="SLV121" s="285" t="s">
        <v>377</v>
      </c>
      <c r="SLW121" s="285" t="s">
        <v>376</v>
      </c>
      <c r="SLX121" s="285" t="s">
        <v>377</v>
      </c>
      <c r="SLY121" s="285" t="s">
        <v>376</v>
      </c>
      <c r="SLZ121" s="285" t="s">
        <v>377</v>
      </c>
      <c r="SMA121" s="285" t="s">
        <v>376</v>
      </c>
      <c r="SMB121" s="285" t="s">
        <v>377</v>
      </c>
      <c r="SMC121" s="285" t="s">
        <v>376</v>
      </c>
      <c r="SMD121" s="285" t="s">
        <v>377</v>
      </c>
      <c r="SME121" s="285" t="s">
        <v>376</v>
      </c>
      <c r="SMF121" s="285" t="s">
        <v>377</v>
      </c>
      <c r="SMG121" s="285" t="s">
        <v>376</v>
      </c>
      <c r="SMH121" s="285" t="s">
        <v>377</v>
      </c>
      <c r="SMI121" s="285" t="s">
        <v>376</v>
      </c>
      <c r="SMJ121" s="285" t="s">
        <v>377</v>
      </c>
      <c r="SMK121" s="285" t="s">
        <v>376</v>
      </c>
      <c r="SML121" s="285" t="s">
        <v>377</v>
      </c>
      <c r="SMM121" s="285" t="s">
        <v>376</v>
      </c>
      <c r="SMN121" s="285" t="s">
        <v>377</v>
      </c>
      <c r="SMO121" s="285" t="s">
        <v>376</v>
      </c>
      <c r="SMP121" s="285" t="s">
        <v>377</v>
      </c>
      <c r="SMQ121" s="285" t="s">
        <v>376</v>
      </c>
      <c r="SMR121" s="285" t="s">
        <v>377</v>
      </c>
      <c r="SMS121" s="285" t="s">
        <v>376</v>
      </c>
      <c r="SMT121" s="285" t="s">
        <v>377</v>
      </c>
      <c r="SMU121" s="285" t="s">
        <v>376</v>
      </c>
      <c r="SMV121" s="285" t="s">
        <v>377</v>
      </c>
      <c r="SMW121" s="285" t="s">
        <v>376</v>
      </c>
      <c r="SMX121" s="285" t="s">
        <v>377</v>
      </c>
      <c r="SMY121" s="285" t="s">
        <v>376</v>
      </c>
      <c r="SMZ121" s="285" t="s">
        <v>377</v>
      </c>
      <c r="SNA121" s="285" t="s">
        <v>376</v>
      </c>
      <c r="SNB121" s="285" t="s">
        <v>377</v>
      </c>
      <c r="SNC121" s="285" t="s">
        <v>376</v>
      </c>
      <c r="SND121" s="285" t="s">
        <v>377</v>
      </c>
      <c r="SNE121" s="285" t="s">
        <v>376</v>
      </c>
      <c r="SNF121" s="285" t="s">
        <v>377</v>
      </c>
      <c r="SNG121" s="285" t="s">
        <v>376</v>
      </c>
      <c r="SNH121" s="285" t="s">
        <v>377</v>
      </c>
      <c r="SNI121" s="285" t="s">
        <v>376</v>
      </c>
      <c r="SNJ121" s="285" t="s">
        <v>377</v>
      </c>
      <c r="SNK121" s="285" t="s">
        <v>376</v>
      </c>
      <c r="SNL121" s="285" t="s">
        <v>377</v>
      </c>
      <c r="SNM121" s="285" t="s">
        <v>376</v>
      </c>
      <c r="SNN121" s="285" t="s">
        <v>377</v>
      </c>
      <c r="SNO121" s="285" t="s">
        <v>376</v>
      </c>
      <c r="SNP121" s="285" t="s">
        <v>377</v>
      </c>
      <c r="SNQ121" s="285" t="s">
        <v>376</v>
      </c>
      <c r="SNR121" s="285" t="s">
        <v>377</v>
      </c>
      <c r="SNS121" s="285" t="s">
        <v>376</v>
      </c>
      <c r="SNT121" s="285" t="s">
        <v>377</v>
      </c>
      <c r="SNU121" s="285" t="s">
        <v>376</v>
      </c>
      <c r="SNV121" s="285" t="s">
        <v>377</v>
      </c>
      <c r="SNW121" s="285" t="s">
        <v>376</v>
      </c>
      <c r="SNX121" s="285" t="s">
        <v>377</v>
      </c>
      <c r="SNY121" s="285" t="s">
        <v>376</v>
      </c>
      <c r="SNZ121" s="285" t="s">
        <v>377</v>
      </c>
      <c r="SOA121" s="285" t="s">
        <v>376</v>
      </c>
      <c r="SOB121" s="285" t="s">
        <v>377</v>
      </c>
      <c r="SOC121" s="285" t="s">
        <v>376</v>
      </c>
      <c r="SOD121" s="285" t="s">
        <v>377</v>
      </c>
      <c r="SOE121" s="285" t="s">
        <v>376</v>
      </c>
      <c r="SOF121" s="285" t="s">
        <v>377</v>
      </c>
      <c r="SOG121" s="285" t="s">
        <v>376</v>
      </c>
      <c r="SOH121" s="285" t="s">
        <v>377</v>
      </c>
      <c r="SOI121" s="285" t="s">
        <v>376</v>
      </c>
      <c r="SOJ121" s="285" t="s">
        <v>377</v>
      </c>
      <c r="SOK121" s="285" t="s">
        <v>376</v>
      </c>
      <c r="SOL121" s="285" t="s">
        <v>377</v>
      </c>
      <c r="SOM121" s="285" t="s">
        <v>376</v>
      </c>
      <c r="SON121" s="285" t="s">
        <v>377</v>
      </c>
      <c r="SOO121" s="285" t="s">
        <v>376</v>
      </c>
      <c r="SOP121" s="285" t="s">
        <v>377</v>
      </c>
      <c r="SOQ121" s="285" t="s">
        <v>376</v>
      </c>
      <c r="SOR121" s="285" t="s">
        <v>377</v>
      </c>
      <c r="SOS121" s="285" t="s">
        <v>376</v>
      </c>
      <c r="SOT121" s="285" t="s">
        <v>377</v>
      </c>
      <c r="SOU121" s="285" t="s">
        <v>376</v>
      </c>
      <c r="SOV121" s="285" t="s">
        <v>377</v>
      </c>
      <c r="SOW121" s="285" t="s">
        <v>376</v>
      </c>
      <c r="SOX121" s="285" t="s">
        <v>377</v>
      </c>
      <c r="SOY121" s="285" t="s">
        <v>376</v>
      </c>
      <c r="SOZ121" s="285" t="s">
        <v>377</v>
      </c>
      <c r="SPA121" s="285" t="s">
        <v>376</v>
      </c>
      <c r="SPB121" s="285" t="s">
        <v>377</v>
      </c>
      <c r="SPC121" s="285" t="s">
        <v>376</v>
      </c>
      <c r="SPD121" s="285" t="s">
        <v>377</v>
      </c>
      <c r="SPE121" s="285" t="s">
        <v>376</v>
      </c>
      <c r="SPF121" s="285" t="s">
        <v>377</v>
      </c>
      <c r="SPG121" s="285" t="s">
        <v>376</v>
      </c>
      <c r="SPH121" s="285" t="s">
        <v>377</v>
      </c>
      <c r="SPI121" s="285" t="s">
        <v>376</v>
      </c>
      <c r="SPJ121" s="285" t="s">
        <v>377</v>
      </c>
      <c r="SPK121" s="285" t="s">
        <v>376</v>
      </c>
      <c r="SPL121" s="285" t="s">
        <v>377</v>
      </c>
      <c r="SPM121" s="285" t="s">
        <v>376</v>
      </c>
      <c r="SPN121" s="285" t="s">
        <v>377</v>
      </c>
      <c r="SPO121" s="285" t="s">
        <v>376</v>
      </c>
      <c r="SPP121" s="285" t="s">
        <v>377</v>
      </c>
      <c r="SPQ121" s="285" t="s">
        <v>376</v>
      </c>
      <c r="SPR121" s="285" t="s">
        <v>377</v>
      </c>
      <c r="SPS121" s="285" t="s">
        <v>376</v>
      </c>
      <c r="SPT121" s="285" t="s">
        <v>377</v>
      </c>
      <c r="SPU121" s="285" t="s">
        <v>376</v>
      </c>
      <c r="SPV121" s="285" t="s">
        <v>377</v>
      </c>
      <c r="SPW121" s="285" t="s">
        <v>376</v>
      </c>
      <c r="SPX121" s="285" t="s">
        <v>377</v>
      </c>
      <c r="SPY121" s="285" t="s">
        <v>376</v>
      </c>
      <c r="SPZ121" s="285" t="s">
        <v>377</v>
      </c>
      <c r="SQA121" s="285" t="s">
        <v>376</v>
      </c>
      <c r="SQB121" s="285" t="s">
        <v>377</v>
      </c>
      <c r="SQC121" s="285" t="s">
        <v>376</v>
      </c>
      <c r="SQD121" s="285" t="s">
        <v>377</v>
      </c>
      <c r="SQE121" s="285" t="s">
        <v>376</v>
      </c>
      <c r="SQF121" s="285" t="s">
        <v>377</v>
      </c>
      <c r="SQG121" s="285" t="s">
        <v>376</v>
      </c>
      <c r="SQH121" s="285" t="s">
        <v>377</v>
      </c>
      <c r="SQI121" s="285" t="s">
        <v>376</v>
      </c>
      <c r="SQJ121" s="285" t="s">
        <v>377</v>
      </c>
      <c r="SQK121" s="285" t="s">
        <v>376</v>
      </c>
      <c r="SQL121" s="285" t="s">
        <v>377</v>
      </c>
      <c r="SQM121" s="285" t="s">
        <v>376</v>
      </c>
      <c r="SQN121" s="285" t="s">
        <v>377</v>
      </c>
      <c r="SQO121" s="285" t="s">
        <v>376</v>
      </c>
      <c r="SQP121" s="285" t="s">
        <v>377</v>
      </c>
      <c r="SQQ121" s="285" t="s">
        <v>376</v>
      </c>
      <c r="SQR121" s="285" t="s">
        <v>377</v>
      </c>
      <c r="SQS121" s="285" t="s">
        <v>376</v>
      </c>
      <c r="SQT121" s="285" t="s">
        <v>377</v>
      </c>
      <c r="SQU121" s="285" t="s">
        <v>376</v>
      </c>
      <c r="SQV121" s="285" t="s">
        <v>377</v>
      </c>
      <c r="SQW121" s="285" t="s">
        <v>376</v>
      </c>
      <c r="SQX121" s="285" t="s">
        <v>377</v>
      </c>
      <c r="SQY121" s="285" t="s">
        <v>376</v>
      </c>
      <c r="SQZ121" s="285" t="s">
        <v>377</v>
      </c>
      <c r="SRA121" s="285" t="s">
        <v>376</v>
      </c>
      <c r="SRB121" s="285" t="s">
        <v>377</v>
      </c>
      <c r="SRC121" s="285" t="s">
        <v>376</v>
      </c>
      <c r="SRD121" s="285" t="s">
        <v>377</v>
      </c>
      <c r="SRE121" s="285" t="s">
        <v>376</v>
      </c>
      <c r="SRF121" s="285" t="s">
        <v>377</v>
      </c>
      <c r="SRG121" s="285" t="s">
        <v>376</v>
      </c>
      <c r="SRH121" s="285" t="s">
        <v>377</v>
      </c>
      <c r="SRI121" s="285" t="s">
        <v>376</v>
      </c>
      <c r="SRJ121" s="285" t="s">
        <v>377</v>
      </c>
      <c r="SRK121" s="285" t="s">
        <v>376</v>
      </c>
      <c r="SRL121" s="285" t="s">
        <v>377</v>
      </c>
      <c r="SRM121" s="285" t="s">
        <v>376</v>
      </c>
      <c r="SRN121" s="285" t="s">
        <v>377</v>
      </c>
      <c r="SRO121" s="285" t="s">
        <v>376</v>
      </c>
      <c r="SRP121" s="285" t="s">
        <v>377</v>
      </c>
      <c r="SRQ121" s="285" t="s">
        <v>376</v>
      </c>
      <c r="SRR121" s="285" t="s">
        <v>377</v>
      </c>
      <c r="SRS121" s="285" t="s">
        <v>376</v>
      </c>
      <c r="SRT121" s="285" t="s">
        <v>377</v>
      </c>
      <c r="SRU121" s="285" t="s">
        <v>376</v>
      </c>
      <c r="SRV121" s="285" t="s">
        <v>377</v>
      </c>
      <c r="SRW121" s="285" t="s">
        <v>376</v>
      </c>
      <c r="SRX121" s="285" t="s">
        <v>377</v>
      </c>
      <c r="SRY121" s="285" t="s">
        <v>376</v>
      </c>
      <c r="SRZ121" s="285" t="s">
        <v>377</v>
      </c>
      <c r="SSA121" s="285" t="s">
        <v>376</v>
      </c>
      <c r="SSB121" s="285" t="s">
        <v>377</v>
      </c>
      <c r="SSC121" s="285" t="s">
        <v>376</v>
      </c>
      <c r="SSD121" s="285" t="s">
        <v>377</v>
      </c>
      <c r="SSE121" s="285" t="s">
        <v>376</v>
      </c>
      <c r="SSF121" s="285" t="s">
        <v>377</v>
      </c>
      <c r="SSG121" s="285" t="s">
        <v>376</v>
      </c>
      <c r="SSH121" s="285" t="s">
        <v>377</v>
      </c>
      <c r="SSI121" s="285" t="s">
        <v>376</v>
      </c>
      <c r="SSJ121" s="285" t="s">
        <v>377</v>
      </c>
      <c r="SSK121" s="285" t="s">
        <v>376</v>
      </c>
      <c r="SSL121" s="285" t="s">
        <v>377</v>
      </c>
      <c r="SSM121" s="285" t="s">
        <v>376</v>
      </c>
      <c r="SSN121" s="285" t="s">
        <v>377</v>
      </c>
      <c r="SSO121" s="285" t="s">
        <v>376</v>
      </c>
      <c r="SSP121" s="285" t="s">
        <v>377</v>
      </c>
      <c r="SSQ121" s="285" t="s">
        <v>376</v>
      </c>
      <c r="SSR121" s="285" t="s">
        <v>377</v>
      </c>
      <c r="SSS121" s="285" t="s">
        <v>376</v>
      </c>
      <c r="SST121" s="285" t="s">
        <v>377</v>
      </c>
      <c r="SSU121" s="285" t="s">
        <v>376</v>
      </c>
      <c r="SSV121" s="285" t="s">
        <v>377</v>
      </c>
      <c r="SSW121" s="285" t="s">
        <v>376</v>
      </c>
      <c r="SSX121" s="285" t="s">
        <v>377</v>
      </c>
      <c r="SSY121" s="285" t="s">
        <v>376</v>
      </c>
      <c r="SSZ121" s="285" t="s">
        <v>377</v>
      </c>
      <c r="STA121" s="285" t="s">
        <v>376</v>
      </c>
      <c r="STB121" s="285" t="s">
        <v>377</v>
      </c>
      <c r="STC121" s="285" t="s">
        <v>376</v>
      </c>
      <c r="STD121" s="285" t="s">
        <v>377</v>
      </c>
      <c r="STE121" s="285" t="s">
        <v>376</v>
      </c>
      <c r="STF121" s="285" t="s">
        <v>377</v>
      </c>
      <c r="STG121" s="285" t="s">
        <v>376</v>
      </c>
      <c r="STH121" s="285" t="s">
        <v>377</v>
      </c>
      <c r="STI121" s="285" t="s">
        <v>376</v>
      </c>
      <c r="STJ121" s="285" t="s">
        <v>377</v>
      </c>
      <c r="STK121" s="285" t="s">
        <v>376</v>
      </c>
      <c r="STL121" s="285" t="s">
        <v>377</v>
      </c>
      <c r="STM121" s="285" t="s">
        <v>376</v>
      </c>
      <c r="STN121" s="285" t="s">
        <v>377</v>
      </c>
      <c r="STO121" s="285" t="s">
        <v>376</v>
      </c>
      <c r="STP121" s="285" t="s">
        <v>377</v>
      </c>
      <c r="STQ121" s="285" t="s">
        <v>376</v>
      </c>
      <c r="STR121" s="285" t="s">
        <v>377</v>
      </c>
      <c r="STS121" s="285" t="s">
        <v>376</v>
      </c>
      <c r="STT121" s="285" t="s">
        <v>377</v>
      </c>
      <c r="STU121" s="285" t="s">
        <v>376</v>
      </c>
      <c r="STV121" s="285" t="s">
        <v>377</v>
      </c>
      <c r="STW121" s="285" t="s">
        <v>376</v>
      </c>
      <c r="STX121" s="285" t="s">
        <v>377</v>
      </c>
      <c r="STY121" s="285" t="s">
        <v>376</v>
      </c>
      <c r="STZ121" s="285" t="s">
        <v>377</v>
      </c>
      <c r="SUA121" s="285" t="s">
        <v>376</v>
      </c>
      <c r="SUB121" s="285" t="s">
        <v>377</v>
      </c>
      <c r="SUC121" s="285" t="s">
        <v>376</v>
      </c>
      <c r="SUD121" s="285" t="s">
        <v>377</v>
      </c>
      <c r="SUE121" s="285" t="s">
        <v>376</v>
      </c>
      <c r="SUF121" s="285" t="s">
        <v>377</v>
      </c>
      <c r="SUG121" s="285" t="s">
        <v>376</v>
      </c>
      <c r="SUH121" s="285" t="s">
        <v>377</v>
      </c>
      <c r="SUI121" s="285" t="s">
        <v>376</v>
      </c>
      <c r="SUJ121" s="285" t="s">
        <v>377</v>
      </c>
      <c r="SUK121" s="285" t="s">
        <v>376</v>
      </c>
      <c r="SUL121" s="285" t="s">
        <v>377</v>
      </c>
      <c r="SUM121" s="285" t="s">
        <v>376</v>
      </c>
      <c r="SUN121" s="285" t="s">
        <v>377</v>
      </c>
      <c r="SUO121" s="285" t="s">
        <v>376</v>
      </c>
      <c r="SUP121" s="285" t="s">
        <v>377</v>
      </c>
      <c r="SUQ121" s="285" t="s">
        <v>376</v>
      </c>
      <c r="SUR121" s="285" t="s">
        <v>377</v>
      </c>
      <c r="SUS121" s="285" t="s">
        <v>376</v>
      </c>
      <c r="SUT121" s="285" t="s">
        <v>377</v>
      </c>
      <c r="SUU121" s="285" t="s">
        <v>376</v>
      </c>
      <c r="SUV121" s="285" t="s">
        <v>377</v>
      </c>
      <c r="SUW121" s="285" t="s">
        <v>376</v>
      </c>
      <c r="SUX121" s="285" t="s">
        <v>377</v>
      </c>
      <c r="SUY121" s="285" t="s">
        <v>376</v>
      </c>
      <c r="SUZ121" s="285" t="s">
        <v>377</v>
      </c>
      <c r="SVA121" s="285" t="s">
        <v>376</v>
      </c>
      <c r="SVB121" s="285" t="s">
        <v>377</v>
      </c>
      <c r="SVC121" s="285" t="s">
        <v>376</v>
      </c>
      <c r="SVD121" s="285" t="s">
        <v>377</v>
      </c>
      <c r="SVE121" s="285" t="s">
        <v>376</v>
      </c>
      <c r="SVF121" s="285" t="s">
        <v>377</v>
      </c>
      <c r="SVG121" s="285" t="s">
        <v>376</v>
      </c>
      <c r="SVH121" s="285" t="s">
        <v>377</v>
      </c>
      <c r="SVI121" s="285" t="s">
        <v>376</v>
      </c>
      <c r="SVJ121" s="285" t="s">
        <v>377</v>
      </c>
      <c r="SVK121" s="285" t="s">
        <v>376</v>
      </c>
      <c r="SVL121" s="285" t="s">
        <v>377</v>
      </c>
      <c r="SVM121" s="285" t="s">
        <v>376</v>
      </c>
      <c r="SVN121" s="285" t="s">
        <v>377</v>
      </c>
      <c r="SVO121" s="285" t="s">
        <v>376</v>
      </c>
      <c r="SVP121" s="285" t="s">
        <v>377</v>
      </c>
      <c r="SVQ121" s="285" t="s">
        <v>376</v>
      </c>
      <c r="SVR121" s="285" t="s">
        <v>377</v>
      </c>
      <c r="SVS121" s="285" t="s">
        <v>376</v>
      </c>
      <c r="SVT121" s="285" t="s">
        <v>377</v>
      </c>
      <c r="SVU121" s="285" t="s">
        <v>376</v>
      </c>
      <c r="SVV121" s="285" t="s">
        <v>377</v>
      </c>
      <c r="SVW121" s="285" t="s">
        <v>376</v>
      </c>
      <c r="SVX121" s="285" t="s">
        <v>377</v>
      </c>
      <c r="SVY121" s="285" t="s">
        <v>376</v>
      </c>
      <c r="SVZ121" s="285" t="s">
        <v>377</v>
      </c>
      <c r="SWA121" s="285" t="s">
        <v>376</v>
      </c>
      <c r="SWB121" s="285" t="s">
        <v>377</v>
      </c>
      <c r="SWC121" s="285" t="s">
        <v>376</v>
      </c>
      <c r="SWD121" s="285" t="s">
        <v>377</v>
      </c>
      <c r="SWE121" s="285" t="s">
        <v>376</v>
      </c>
      <c r="SWF121" s="285" t="s">
        <v>377</v>
      </c>
      <c r="SWG121" s="285" t="s">
        <v>376</v>
      </c>
      <c r="SWH121" s="285" t="s">
        <v>377</v>
      </c>
      <c r="SWI121" s="285" t="s">
        <v>376</v>
      </c>
      <c r="SWJ121" s="285" t="s">
        <v>377</v>
      </c>
      <c r="SWK121" s="285" t="s">
        <v>376</v>
      </c>
      <c r="SWL121" s="285" t="s">
        <v>377</v>
      </c>
      <c r="SWM121" s="285" t="s">
        <v>376</v>
      </c>
      <c r="SWN121" s="285" t="s">
        <v>377</v>
      </c>
      <c r="SWO121" s="285" t="s">
        <v>376</v>
      </c>
      <c r="SWP121" s="285" t="s">
        <v>377</v>
      </c>
      <c r="SWQ121" s="285" t="s">
        <v>376</v>
      </c>
      <c r="SWR121" s="285" t="s">
        <v>377</v>
      </c>
      <c r="SWS121" s="285" t="s">
        <v>376</v>
      </c>
      <c r="SWT121" s="285" t="s">
        <v>377</v>
      </c>
      <c r="SWU121" s="285" t="s">
        <v>376</v>
      </c>
      <c r="SWV121" s="285" t="s">
        <v>377</v>
      </c>
      <c r="SWW121" s="285" t="s">
        <v>376</v>
      </c>
      <c r="SWX121" s="285" t="s">
        <v>377</v>
      </c>
      <c r="SWY121" s="285" t="s">
        <v>376</v>
      </c>
      <c r="SWZ121" s="285" t="s">
        <v>377</v>
      </c>
      <c r="SXA121" s="285" t="s">
        <v>376</v>
      </c>
      <c r="SXB121" s="285" t="s">
        <v>377</v>
      </c>
      <c r="SXC121" s="285" t="s">
        <v>376</v>
      </c>
      <c r="SXD121" s="285" t="s">
        <v>377</v>
      </c>
      <c r="SXE121" s="285" t="s">
        <v>376</v>
      </c>
      <c r="SXF121" s="285" t="s">
        <v>377</v>
      </c>
      <c r="SXG121" s="285" t="s">
        <v>376</v>
      </c>
      <c r="SXH121" s="285" t="s">
        <v>377</v>
      </c>
      <c r="SXI121" s="285" t="s">
        <v>376</v>
      </c>
      <c r="SXJ121" s="285" t="s">
        <v>377</v>
      </c>
      <c r="SXK121" s="285" t="s">
        <v>376</v>
      </c>
      <c r="SXL121" s="285" t="s">
        <v>377</v>
      </c>
      <c r="SXM121" s="285" t="s">
        <v>376</v>
      </c>
      <c r="SXN121" s="285" t="s">
        <v>377</v>
      </c>
      <c r="SXO121" s="285" t="s">
        <v>376</v>
      </c>
      <c r="SXP121" s="285" t="s">
        <v>377</v>
      </c>
      <c r="SXQ121" s="285" t="s">
        <v>376</v>
      </c>
      <c r="SXR121" s="285" t="s">
        <v>377</v>
      </c>
      <c r="SXS121" s="285" t="s">
        <v>376</v>
      </c>
      <c r="SXT121" s="285" t="s">
        <v>377</v>
      </c>
      <c r="SXU121" s="285" t="s">
        <v>376</v>
      </c>
      <c r="SXV121" s="285" t="s">
        <v>377</v>
      </c>
      <c r="SXW121" s="285" t="s">
        <v>376</v>
      </c>
      <c r="SXX121" s="285" t="s">
        <v>377</v>
      </c>
      <c r="SXY121" s="285" t="s">
        <v>376</v>
      </c>
      <c r="SXZ121" s="285" t="s">
        <v>377</v>
      </c>
      <c r="SYA121" s="285" t="s">
        <v>376</v>
      </c>
      <c r="SYB121" s="285" t="s">
        <v>377</v>
      </c>
      <c r="SYC121" s="285" t="s">
        <v>376</v>
      </c>
      <c r="SYD121" s="285" t="s">
        <v>377</v>
      </c>
      <c r="SYE121" s="285" t="s">
        <v>376</v>
      </c>
      <c r="SYF121" s="285" t="s">
        <v>377</v>
      </c>
      <c r="SYG121" s="285" t="s">
        <v>376</v>
      </c>
      <c r="SYH121" s="285" t="s">
        <v>377</v>
      </c>
      <c r="SYI121" s="285" t="s">
        <v>376</v>
      </c>
      <c r="SYJ121" s="285" t="s">
        <v>377</v>
      </c>
      <c r="SYK121" s="285" t="s">
        <v>376</v>
      </c>
      <c r="SYL121" s="285" t="s">
        <v>377</v>
      </c>
      <c r="SYM121" s="285" t="s">
        <v>376</v>
      </c>
      <c r="SYN121" s="285" t="s">
        <v>377</v>
      </c>
      <c r="SYO121" s="285" t="s">
        <v>376</v>
      </c>
      <c r="SYP121" s="285" t="s">
        <v>377</v>
      </c>
      <c r="SYQ121" s="285" t="s">
        <v>376</v>
      </c>
      <c r="SYR121" s="285" t="s">
        <v>377</v>
      </c>
      <c r="SYS121" s="285" t="s">
        <v>376</v>
      </c>
      <c r="SYT121" s="285" t="s">
        <v>377</v>
      </c>
      <c r="SYU121" s="285" t="s">
        <v>376</v>
      </c>
      <c r="SYV121" s="285" t="s">
        <v>377</v>
      </c>
      <c r="SYW121" s="285" t="s">
        <v>376</v>
      </c>
      <c r="SYX121" s="285" t="s">
        <v>377</v>
      </c>
      <c r="SYY121" s="285" t="s">
        <v>376</v>
      </c>
      <c r="SYZ121" s="285" t="s">
        <v>377</v>
      </c>
      <c r="SZA121" s="285" t="s">
        <v>376</v>
      </c>
      <c r="SZB121" s="285" t="s">
        <v>377</v>
      </c>
      <c r="SZC121" s="285" t="s">
        <v>376</v>
      </c>
      <c r="SZD121" s="285" t="s">
        <v>377</v>
      </c>
      <c r="SZE121" s="285" t="s">
        <v>376</v>
      </c>
      <c r="SZF121" s="285" t="s">
        <v>377</v>
      </c>
      <c r="SZG121" s="285" t="s">
        <v>376</v>
      </c>
      <c r="SZH121" s="285" t="s">
        <v>377</v>
      </c>
      <c r="SZI121" s="285" t="s">
        <v>376</v>
      </c>
      <c r="SZJ121" s="285" t="s">
        <v>377</v>
      </c>
      <c r="SZK121" s="285" t="s">
        <v>376</v>
      </c>
      <c r="SZL121" s="285" t="s">
        <v>377</v>
      </c>
      <c r="SZM121" s="285" t="s">
        <v>376</v>
      </c>
      <c r="SZN121" s="285" t="s">
        <v>377</v>
      </c>
      <c r="SZO121" s="285" t="s">
        <v>376</v>
      </c>
      <c r="SZP121" s="285" t="s">
        <v>377</v>
      </c>
      <c r="SZQ121" s="285" t="s">
        <v>376</v>
      </c>
      <c r="SZR121" s="285" t="s">
        <v>377</v>
      </c>
      <c r="SZS121" s="285" t="s">
        <v>376</v>
      </c>
      <c r="SZT121" s="285" t="s">
        <v>377</v>
      </c>
      <c r="SZU121" s="285" t="s">
        <v>376</v>
      </c>
      <c r="SZV121" s="285" t="s">
        <v>377</v>
      </c>
      <c r="SZW121" s="285" t="s">
        <v>376</v>
      </c>
      <c r="SZX121" s="285" t="s">
        <v>377</v>
      </c>
      <c r="SZY121" s="285" t="s">
        <v>376</v>
      </c>
      <c r="SZZ121" s="285" t="s">
        <v>377</v>
      </c>
      <c r="TAA121" s="285" t="s">
        <v>376</v>
      </c>
      <c r="TAB121" s="285" t="s">
        <v>377</v>
      </c>
      <c r="TAC121" s="285" t="s">
        <v>376</v>
      </c>
      <c r="TAD121" s="285" t="s">
        <v>377</v>
      </c>
      <c r="TAE121" s="285" t="s">
        <v>376</v>
      </c>
      <c r="TAF121" s="285" t="s">
        <v>377</v>
      </c>
      <c r="TAG121" s="285" t="s">
        <v>376</v>
      </c>
      <c r="TAH121" s="285" t="s">
        <v>377</v>
      </c>
      <c r="TAI121" s="285" t="s">
        <v>376</v>
      </c>
      <c r="TAJ121" s="285" t="s">
        <v>377</v>
      </c>
      <c r="TAK121" s="285" t="s">
        <v>376</v>
      </c>
      <c r="TAL121" s="285" t="s">
        <v>377</v>
      </c>
      <c r="TAM121" s="285" t="s">
        <v>376</v>
      </c>
      <c r="TAN121" s="285" t="s">
        <v>377</v>
      </c>
      <c r="TAO121" s="285" t="s">
        <v>376</v>
      </c>
      <c r="TAP121" s="285" t="s">
        <v>377</v>
      </c>
      <c r="TAQ121" s="285" t="s">
        <v>376</v>
      </c>
      <c r="TAR121" s="285" t="s">
        <v>377</v>
      </c>
      <c r="TAS121" s="285" t="s">
        <v>376</v>
      </c>
      <c r="TAT121" s="285" t="s">
        <v>377</v>
      </c>
      <c r="TAU121" s="285" t="s">
        <v>376</v>
      </c>
      <c r="TAV121" s="285" t="s">
        <v>377</v>
      </c>
      <c r="TAW121" s="285" t="s">
        <v>376</v>
      </c>
      <c r="TAX121" s="285" t="s">
        <v>377</v>
      </c>
      <c r="TAY121" s="285" t="s">
        <v>376</v>
      </c>
      <c r="TAZ121" s="285" t="s">
        <v>377</v>
      </c>
      <c r="TBA121" s="285" t="s">
        <v>376</v>
      </c>
      <c r="TBB121" s="285" t="s">
        <v>377</v>
      </c>
      <c r="TBC121" s="285" t="s">
        <v>376</v>
      </c>
      <c r="TBD121" s="285" t="s">
        <v>377</v>
      </c>
      <c r="TBE121" s="285" t="s">
        <v>376</v>
      </c>
      <c r="TBF121" s="285" t="s">
        <v>377</v>
      </c>
      <c r="TBG121" s="285" t="s">
        <v>376</v>
      </c>
      <c r="TBH121" s="285" t="s">
        <v>377</v>
      </c>
      <c r="TBI121" s="285" t="s">
        <v>376</v>
      </c>
      <c r="TBJ121" s="285" t="s">
        <v>377</v>
      </c>
      <c r="TBK121" s="285" t="s">
        <v>376</v>
      </c>
      <c r="TBL121" s="285" t="s">
        <v>377</v>
      </c>
      <c r="TBM121" s="285" t="s">
        <v>376</v>
      </c>
      <c r="TBN121" s="285" t="s">
        <v>377</v>
      </c>
      <c r="TBO121" s="285" t="s">
        <v>376</v>
      </c>
      <c r="TBP121" s="285" t="s">
        <v>377</v>
      </c>
      <c r="TBQ121" s="285" t="s">
        <v>376</v>
      </c>
      <c r="TBR121" s="285" t="s">
        <v>377</v>
      </c>
      <c r="TBS121" s="285" t="s">
        <v>376</v>
      </c>
      <c r="TBT121" s="285" t="s">
        <v>377</v>
      </c>
      <c r="TBU121" s="285" t="s">
        <v>376</v>
      </c>
      <c r="TBV121" s="285" t="s">
        <v>377</v>
      </c>
      <c r="TBW121" s="285" t="s">
        <v>376</v>
      </c>
      <c r="TBX121" s="285" t="s">
        <v>377</v>
      </c>
      <c r="TBY121" s="285" t="s">
        <v>376</v>
      </c>
      <c r="TBZ121" s="285" t="s">
        <v>377</v>
      </c>
      <c r="TCA121" s="285" t="s">
        <v>376</v>
      </c>
      <c r="TCB121" s="285" t="s">
        <v>377</v>
      </c>
      <c r="TCC121" s="285" t="s">
        <v>376</v>
      </c>
      <c r="TCD121" s="285" t="s">
        <v>377</v>
      </c>
      <c r="TCE121" s="285" t="s">
        <v>376</v>
      </c>
      <c r="TCF121" s="285" t="s">
        <v>377</v>
      </c>
      <c r="TCG121" s="285" t="s">
        <v>376</v>
      </c>
      <c r="TCH121" s="285" t="s">
        <v>377</v>
      </c>
      <c r="TCI121" s="285" t="s">
        <v>376</v>
      </c>
      <c r="TCJ121" s="285" t="s">
        <v>377</v>
      </c>
      <c r="TCK121" s="285" t="s">
        <v>376</v>
      </c>
      <c r="TCL121" s="285" t="s">
        <v>377</v>
      </c>
      <c r="TCM121" s="285" t="s">
        <v>376</v>
      </c>
      <c r="TCN121" s="285" t="s">
        <v>377</v>
      </c>
      <c r="TCO121" s="285" t="s">
        <v>376</v>
      </c>
      <c r="TCP121" s="285" t="s">
        <v>377</v>
      </c>
      <c r="TCQ121" s="285" t="s">
        <v>376</v>
      </c>
      <c r="TCR121" s="285" t="s">
        <v>377</v>
      </c>
      <c r="TCS121" s="285" t="s">
        <v>376</v>
      </c>
      <c r="TCT121" s="285" t="s">
        <v>377</v>
      </c>
      <c r="TCU121" s="285" t="s">
        <v>376</v>
      </c>
      <c r="TCV121" s="285" t="s">
        <v>377</v>
      </c>
      <c r="TCW121" s="285" t="s">
        <v>376</v>
      </c>
      <c r="TCX121" s="285" t="s">
        <v>377</v>
      </c>
      <c r="TCY121" s="285" t="s">
        <v>376</v>
      </c>
      <c r="TCZ121" s="285" t="s">
        <v>377</v>
      </c>
      <c r="TDA121" s="285" t="s">
        <v>376</v>
      </c>
      <c r="TDB121" s="285" t="s">
        <v>377</v>
      </c>
      <c r="TDC121" s="285" t="s">
        <v>376</v>
      </c>
      <c r="TDD121" s="285" t="s">
        <v>377</v>
      </c>
      <c r="TDE121" s="285" t="s">
        <v>376</v>
      </c>
      <c r="TDF121" s="285" t="s">
        <v>377</v>
      </c>
      <c r="TDG121" s="285" t="s">
        <v>376</v>
      </c>
      <c r="TDH121" s="285" t="s">
        <v>377</v>
      </c>
      <c r="TDI121" s="285" t="s">
        <v>376</v>
      </c>
      <c r="TDJ121" s="285" t="s">
        <v>377</v>
      </c>
      <c r="TDK121" s="285" t="s">
        <v>376</v>
      </c>
      <c r="TDL121" s="285" t="s">
        <v>377</v>
      </c>
      <c r="TDM121" s="285" t="s">
        <v>376</v>
      </c>
      <c r="TDN121" s="285" t="s">
        <v>377</v>
      </c>
      <c r="TDO121" s="285" t="s">
        <v>376</v>
      </c>
      <c r="TDP121" s="285" t="s">
        <v>377</v>
      </c>
      <c r="TDQ121" s="285" t="s">
        <v>376</v>
      </c>
      <c r="TDR121" s="285" t="s">
        <v>377</v>
      </c>
      <c r="TDS121" s="285" t="s">
        <v>376</v>
      </c>
      <c r="TDT121" s="285" t="s">
        <v>377</v>
      </c>
      <c r="TDU121" s="285" t="s">
        <v>376</v>
      </c>
      <c r="TDV121" s="285" t="s">
        <v>377</v>
      </c>
      <c r="TDW121" s="285" t="s">
        <v>376</v>
      </c>
      <c r="TDX121" s="285" t="s">
        <v>377</v>
      </c>
      <c r="TDY121" s="285" t="s">
        <v>376</v>
      </c>
      <c r="TDZ121" s="285" t="s">
        <v>377</v>
      </c>
      <c r="TEA121" s="285" t="s">
        <v>376</v>
      </c>
      <c r="TEB121" s="285" t="s">
        <v>377</v>
      </c>
      <c r="TEC121" s="285" t="s">
        <v>376</v>
      </c>
      <c r="TED121" s="285" t="s">
        <v>377</v>
      </c>
      <c r="TEE121" s="285" t="s">
        <v>376</v>
      </c>
      <c r="TEF121" s="285" t="s">
        <v>377</v>
      </c>
      <c r="TEG121" s="285" t="s">
        <v>376</v>
      </c>
      <c r="TEH121" s="285" t="s">
        <v>377</v>
      </c>
      <c r="TEI121" s="285" t="s">
        <v>376</v>
      </c>
      <c r="TEJ121" s="285" t="s">
        <v>377</v>
      </c>
      <c r="TEK121" s="285" t="s">
        <v>376</v>
      </c>
      <c r="TEL121" s="285" t="s">
        <v>377</v>
      </c>
      <c r="TEM121" s="285" t="s">
        <v>376</v>
      </c>
      <c r="TEN121" s="285" t="s">
        <v>377</v>
      </c>
      <c r="TEO121" s="285" t="s">
        <v>376</v>
      </c>
      <c r="TEP121" s="285" t="s">
        <v>377</v>
      </c>
      <c r="TEQ121" s="285" t="s">
        <v>376</v>
      </c>
      <c r="TER121" s="285" t="s">
        <v>377</v>
      </c>
      <c r="TES121" s="285" t="s">
        <v>376</v>
      </c>
      <c r="TET121" s="285" t="s">
        <v>377</v>
      </c>
      <c r="TEU121" s="285" t="s">
        <v>376</v>
      </c>
      <c r="TEV121" s="285" t="s">
        <v>377</v>
      </c>
      <c r="TEW121" s="285" t="s">
        <v>376</v>
      </c>
      <c r="TEX121" s="285" t="s">
        <v>377</v>
      </c>
      <c r="TEY121" s="285" t="s">
        <v>376</v>
      </c>
      <c r="TEZ121" s="285" t="s">
        <v>377</v>
      </c>
      <c r="TFA121" s="285" t="s">
        <v>376</v>
      </c>
      <c r="TFB121" s="285" t="s">
        <v>377</v>
      </c>
      <c r="TFC121" s="285" t="s">
        <v>376</v>
      </c>
      <c r="TFD121" s="285" t="s">
        <v>377</v>
      </c>
      <c r="TFE121" s="285" t="s">
        <v>376</v>
      </c>
      <c r="TFF121" s="285" t="s">
        <v>377</v>
      </c>
      <c r="TFG121" s="285" t="s">
        <v>376</v>
      </c>
      <c r="TFH121" s="285" t="s">
        <v>377</v>
      </c>
      <c r="TFI121" s="285" t="s">
        <v>376</v>
      </c>
      <c r="TFJ121" s="285" t="s">
        <v>377</v>
      </c>
      <c r="TFK121" s="285" t="s">
        <v>376</v>
      </c>
      <c r="TFL121" s="285" t="s">
        <v>377</v>
      </c>
      <c r="TFM121" s="285" t="s">
        <v>376</v>
      </c>
      <c r="TFN121" s="285" t="s">
        <v>377</v>
      </c>
      <c r="TFO121" s="285" t="s">
        <v>376</v>
      </c>
      <c r="TFP121" s="285" t="s">
        <v>377</v>
      </c>
      <c r="TFQ121" s="285" t="s">
        <v>376</v>
      </c>
      <c r="TFR121" s="285" t="s">
        <v>377</v>
      </c>
      <c r="TFS121" s="285" t="s">
        <v>376</v>
      </c>
      <c r="TFT121" s="285" t="s">
        <v>377</v>
      </c>
      <c r="TFU121" s="285" t="s">
        <v>376</v>
      </c>
      <c r="TFV121" s="285" t="s">
        <v>377</v>
      </c>
      <c r="TFW121" s="285" t="s">
        <v>376</v>
      </c>
      <c r="TFX121" s="285" t="s">
        <v>377</v>
      </c>
      <c r="TFY121" s="285" t="s">
        <v>376</v>
      </c>
      <c r="TFZ121" s="285" t="s">
        <v>377</v>
      </c>
      <c r="TGA121" s="285" t="s">
        <v>376</v>
      </c>
      <c r="TGB121" s="285" t="s">
        <v>377</v>
      </c>
      <c r="TGC121" s="285" t="s">
        <v>376</v>
      </c>
      <c r="TGD121" s="285" t="s">
        <v>377</v>
      </c>
      <c r="TGE121" s="285" t="s">
        <v>376</v>
      </c>
      <c r="TGF121" s="285" t="s">
        <v>377</v>
      </c>
      <c r="TGG121" s="285" t="s">
        <v>376</v>
      </c>
      <c r="TGH121" s="285" t="s">
        <v>377</v>
      </c>
      <c r="TGI121" s="285" t="s">
        <v>376</v>
      </c>
      <c r="TGJ121" s="285" t="s">
        <v>377</v>
      </c>
      <c r="TGK121" s="285" t="s">
        <v>376</v>
      </c>
      <c r="TGL121" s="285" t="s">
        <v>377</v>
      </c>
      <c r="TGM121" s="285" t="s">
        <v>376</v>
      </c>
      <c r="TGN121" s="285" t="s">
        <v>377</v>
      </c>
      <c r="TGO121" s="285" t="s">
        <v>376</v>
      </c>
      <c r="TGP121" s="285" t="s">
        <v>377</v>
      </c>
      <c r="TGQ121" s="285" t="s">
        <v>376</v>
      </c>
      <c r="TGR121" s="285" t="s">
        <v>377</v>
      </c>
      <c r="TGS121" s="285" t="s">
        <v>376</v>
      </c>
      <c r="TGT121" s="285" t="s">
        <v>377</v>
      </c>
      <c r="TGU121" s="285" t="s">
        <v>376</v>
      </c>
      <c r="TGV121" s="285" t="s">
        <v>377</v>
      </c>
      <c r="TGW121" s="285" t="s">
        <v>376</v>
      </c>
      <c r="TGX121" s="285" t="s">
        <v>377</v>
      </c>
      <c r="TGY121" s="285" t="s">
        <v>376</v>
      </c>
      <c r="TGZ121" s="285" t="s">
        <v>377</v>
      </c>
      <c r="THA121" s="285" t="s">
        <v>376</v>
      </c>
      <c r="THB121" s="285" t="s">
        <v>377</v>
      </c>
      <c r="THC121" s="285" t="s">
        <v>376</v>
      </c>
      <c r="THD121" s="285" t="s">
        <v>377</v>
      </c>
      <c r="THE121" s="285" t="s">
        <v>376</v>
      </c>
      <c r="THF121" s="285" t="s">
        <v>377</v>
      </c>
      <c r="THG121" s="285" t="s">
        <v>376</v>
      </c>
      <c r="THH121" s="285" t="s">
        <v>377</v>
      </c>
      <c r="THI121" s="285" t="s">
        <v>376</v>
      </c>
      <c r="THJ121" s="285" t="s">
        <v>377</v>
      </c>
      <c r="THK121" s="285" t="s">
        <v>376</v>
      </c>
      <c r="THL121" s="285" t="s">
        <v>377</v>
      </c>
      <c r="THM121" s="285" t="s">
        <v>376</v>
      </c>
      <c r="THN121" s="285" t="s">
        <v>377</v>
      </c>
      <c r="THO121" s="285" t="s">
        <v>376</v>
      </c>
      <c r="THP121" s="285" t="s">
        <v>377</v>
      </c>
      <c r="THQ121" s="285" t="s">
        <v>376</v>
      </c>
      <c r="THR121" s="285" t="s">
        <v>377</v>
      </c>
      <c r="THS121" s="285" t="s">
        <v>376</v>
      </c>
      <c r="THT121" s="285" t="s">
        <v>377</v>
      </c>
      <c r="THU121" s="285" t="s">
        <v>376</v>
      </c>
      <c r="THV121" s="285" t="s">
        <v>377</v>
      </c>
      <c r="THW121" s="285" t="s">
        <v>376</v>
      </c>
      <c r="THX121" s="285" t="s">
        <v>377</v>
      </c>
      <c r="THY121" s="285" t="s">
        <v>376</v>
      </c>
      <c r="THZ121" s="285" t="s">
        <v>377</v>
      </c>
      <c r="TIA121" s="285" t="s">
        <v>376</v>
      </c>
      <c r="TIB121" s="285" t="s">
        <v>377</v>
      </c>
      <c r="TIC121" s="285" t="s">
        <v>376</v>
      </c>
      <c r="TID121" s="285" t="s">
        <v>377</v>
      </c>
      <c r="TIE121" s="285" t="s">
        <v>376</v>
      </c>
      <c r="TIF121" s="285" t="s">
        <v>377</v>
      </c>
      <c r="TIG121" s="285" t="s">
        <v>376</v>
      </c>
      <c r="TIH121" s="285" t="s">
        <v>377</v>
      </c>
      <c r="TII121" s="285" t="s">
        <v>376</v>
      </c>
      <c r="TIJ121" s="285" t="s">
        <v>377</v>
      </c>
      <c r="TIK121" s="285" t="s">
        <v>376</v>
      </c>
      <c r="TIL121" s="285" t="s">
        <v>377</v>
      </c>
      <c r="TIM121" s="285" t="s">
        <v>376</v>
      </c>
      <c r="TIN121" s="285" t="s">
        <v>377</v>
      </c>
      <c r="TIO121" s="285" t="s">
        <v>376</v>
      </c>
      <c r="TIP121" s="285" t="s">
        <v>377</v>
      </c>
      <c r="TIQ121" s="285" t="s">
        <v>376</v>
      </c>
      <c r="TIR121" s="285" t="s">
        <v>377</v>
      </c>
      <c r="TIS121" s="285" t="s">
        <v>376</v>
      </c>
      <c r="TIT121" s="285" t="s">
        <v>377</v>
      </c>
      <c r="TIU121" s="285" t="s">
        <v>376</v>
      </c>
      <c r="TIV121" s="285" t="s">
        <v>377</v>
      </c>
      <c r="TIW121" s="285" t="s">
        <v>376</v>
      </c>
      <c r="TIX121" s="285" t="s">
        <v>377</v>
      </c>
      <c r="TIY121" s="285" t="s">
        <v>376</v>
      </c>
      <c r="TIZ121" s="285" t="s">
        <v>377</v>
      </c>
      <c r="TJA121" s="285" t="s">
        <v>376</v>
      </c>
      <c r="TJB121" s="285" t="s">
        <v>377</v>
      </c>
      <c r="TJC121" s="285" t="s">
        <v>376</v>
      </c>
      <c r="TJD121" s="285" t="s">
        <v>377</v>
      </c>
      <c r="TJE121" s="285" t="s">
        <v>376</v>
      </c>
      <c r="TJF121" s="285" t="s">
        <v>377</v>
      </c>
      <c r="TJG121" s="285" t="s">
        <v>376</v>
      </c>
      <c r="TJH121" s="285" t="s">
        <v>377</v>
      </c>
      <c r="TJI121" s="285" t="s">
        <v>376</v>
      </c>
      <c r="TJJ121" s="285" t="s">
        <v>377</v>
      </c>
      <c r="TJK121" s="285" t="s">
        <v>376</v>
      </c>
      <c r="TJL121" s="285" t="s">
        <v>377</v>
      </c>
      <c r="TJM121" s="285" t="s">
        <v>376</v>
      </c>
      <c r="TJN121" s="285" t="s">
        <v>377</v>
      </c>
      <c r="TJO121" s="285" t="s">
        <v>376</v>
      </c>
      <c r="TJP121" s="285" t="s">
        <v>377</v>
      </c>
      <c r="TJQ121" s="285" t="s">
        <v>376</v>
      </c>
      <c r="TJR121" s="285" t="s">
        <v>377</v>
      </c>
      <c r="TJS121" s="285" t="s">
        <v>376</v>
      </c>
      <c r="TJT121" s="285" t="s">
        <v>377</v>
      </c>
      <c r="TJU121" s="285" t="s">
        <v>376</v>
      </c>
      <c r="TJV121" s="285" t="s">
        <v>377</v>
      </c>
      <c r="TJW121" s="285" t="s">
        <v>376</v>
      </c>
      <c r="TJX121" s="285" t="s">
        <v>377</v>
      </c>
      <c r="TJY121" s="285" t="s">
        <v>376</v>
      </c>
      <c r="TJZ121" s="285" t="s">
        <v>377</v>
      </c>
      <c r="TKA121" s="285" t="s">
        <v>376</v>
      </c>
      <c r="TKB121" s="285" t="s">
        <v>377</v>
      </c>
      <c r="TKC121" s="285" t="s">
        <v>376</v>
      </c>
      <c r="TKD121" s="285" t="s">
        <v>377</v>
      </c>
      <c r="TKE121" s="285" t="s">
        <v>376</v>
      </c>
      <c r="TKF121" s="285" t="s">
        <v>377</v>
      </c>
      <c r="TKG121" s="285" t="s">
        <v>376</v>
      </c>
      <c r="TKH121" s="285" t="s">
        <v>377</v>
      </c>
      <c r="TKI121" s="285" t="s">
        <v>376</v>
      </c>
      <c r="TKJ121" s="285" t="s">
        <v>377</v>
      </c>
      <c r="TKK121" s="285" t="s">
        <v>376</v>
      </c>
      <c r="TKL121" s="285" t="s">
        <v>377</v>
      </c>
      <c r="TKM121" s="285" t="s">
        <v>376</v>
      </c>
      <c r="TKN121" s="285" t="s">
        <v>377</v>
      </c>
      <c r="TKO121" s="285" t="s">
        <v>376</v>
      </c>
      <c r="TKP121" s="285" t="s">
        <v>377</v>
      </c>
      <c r="TKQ121" s="285" t="s">
        <v>376</v>
      </c>
      <c r="TKR121" s="285" t="s">
        <v>377</v>
      </c>
      <c r="TKS121" s="285" t="s">
        <v>376</v>
      </c>
      <c r="TKT121" s="285" t="s">
        <v>377</v>
      </c>
      <c r="TKU121" s="285" t="s">
        <v>376</v>
      </c>
      <c r="TKV121" s="285" t="s">
        <v>377</v>
      </c>
      <c r="TKW121" s="285" t="s">
        <v>376</v>
      </c>
      <c r="TKX121" s="285" t="s">
        <v>377</v>
      </c>
      <c r="TKY121" s="285" t="s">
        <v>376</v>
      </c>
      <c r="TKZ121" s="285" t="s">
        <v>377</v>
      </c>
      <c r="TLA121" s="285" t="s">
        <v>376</v>
      </c>
      <c r="TLB121" s="285" t="s">
        <v>377</v>
      </c>
      <c r="TLC121" s="285" t="s">
        <v>376</v>
      </c>
      <c r="TLD121" s="285" t="s">
        <v>377</v>
      </c>
      <c r="TLE121" s="285" t="s">
        <v>376</v>
      </c>
      <c r="TLF121" s="285" t="s">
        <v>377</v>
      </c>
      <c r="TLG121" s="285" t="s">
        <v>376</v>
      </c>
      <c r="TLH121" s="285" t="s">
        <v>377</v>
      </c>
      <c r="TLI121" s="285" t="s">
        <v>376</v>
      </c>
      <c r="TLJ121" s="285" t="s">
        <v>377</v>
      </c>
      <c r="TLK121" s="285" t="s">
        <v>376</v>
      </c>
      <c r="TLL121" s="285" t="s">
        <v>377</v>
      </c>
      <c r="TLM121" s="285" t="s">
        <v>376</v>
      </c>
      <c r="TLN121" s="285" t="s">
        <v>377</v>
      </c>
      <c r="TLO121" s="285" t="s">
        <v>376</v>
      </c>
      <c r="TLP121" s="285" t="s">
        <v>377</v>
      </c>
      <c r="TLQ121" s="285" t="s">
        <v>376</v>
      </c>
      <c r="TLR121" s="285" t="s">
        <v>377</v>
      </c>
      <c r="TLS121" s="285" t="s">
        <v>376</v>
      </c>
      <c r="TLT121" s="285" t="s">
        <v>377</v>
      </c>
      <c r="TLU121" s="285" t="s">
        <v>376</v>
      </c>
      <c r="TLV121" s="285" t="s">
        <v>377</v>
      </c>
      <c r="TLW121" s="285" t="s">
        <v>376</v>
      </c>
      <c r="TLX121" s="285" t="s">
        <v>377</v>
      </c>
      <c r="TLY121" s="285" t="s">
        <v>376</v>
      </c>
      <c r="TLZ121" s="285" t="s">
        <v>377</v>
      </c>
      <c r="TMA121" s="285" t="s">
        <v>376</v>
      </c>
      <c r="TMB121" s="285" t="s">
        <v>377</v>
      </c>
      <c r="TMC121" s="285" t="s">
        <v>376</v>
      </c>
      <c r="TMD121" s="285" t="s">
        <v>377</v>
      </c>
      <c r="TME121" s="285" t="s">
        <v>376</v>
      </c>
      <c r="TMF121" s="285" t="s">
        <v>377</v>
      </c>
      <c r="TMG121" s="285" t="s">
        <v>376</v>
      </c>
      <c r="TMH121" s="285" t="s">
        <v>377</v>
      </c>
      <c r="TMI121" s="285" t="s">
        <v>376</v>
      </c>
      <c r="TMJ121" s="285" t="s">
        <v>377</v>
      </c>
      <c r="TMK121" s="285" t="s">
        <v>376</v>
      </c>
      <c r="TML121" s="285" t="s">
        <v>377</v>
      </c>
      <c r="TMM121" s="285" t="s">
        <v>376</v>
      </c>
      <c r="TMN121" s="285" t="s">
        <v>377</v>
      </c>
      <c r="TMO121" s="285" t="s">
        <v>376</v>
      </c>
      <c r="TMP121" s="285" t="s">
        <v>377</v>
      </c>
      <c r="TMQ121" s="285" t="s">
        <v>376</v>
      </c>
      <c r="TMR121" s="285" t="s">
        <v>377</v>
      </c>
      <c r="TMS121" s="285" t="s">
        <v>376</v>
      </c>
      <c r="TMT121" s="285" t="s">
        <v>377</v>
      </c>
      <c r="TMU121" s="285" t="s">
        <v>376</v>
      </c>
      <c r="TMV121" s="285" t="s">
        <v>377</v>
      </c>
      <c r="TMW121" s="285" t="s">
        <v>376</v>
      </c>
      <c r="TMX121" s="285" t="s">
        <v>377</v>
      </c>
      <c r="TMY121" s="285" t="s">
        <v>376</v>
      </c>
      <c r="TMZ121" s="285" t="s">
        <v>377</v>
      </c>
      <c r="TNA121" s="285" t="s">
        <v>376</v>
      </c>
      <c r="TNB121" s="285" t="s">
        <v>377</v>
      </c>
      <c r="TNC121" s="285" t="s">
        <v>376</v>
      </c>
      <c r="TND121" s="285" t="s">
        <v>377</v>
      </c>
      <c r="TNE121" s="285" t="s">
        <v>376</v>
      </c>
      <c r="TNF121" s="285" t="s">
        <v>377</v>
      </c>
      <c r="TNG121" s="285" t="s">
        <v>376</v>
      </c>
      <c r="TNH121" s="285" t="s">
        <v>377</v>
      </c>
      <c r="TNI121" s="285" t="s">
        <v>376</v>
      </c>
      <c r="TNJ121" s="285" t="s">
        <v>377</v>
      </c>
      <c r="TNK121" s="285" t="s">
        <v>376</v>
      </c>
      <c r="TNL121" s="285" t="s">
        <v>377</v>
      </c>
      <c r="TNM121" s="285" t="s">
        <v>376</v>
      </c>
      <c r="TNN121" s="285" t="s">
        <v>377</v>
      </c>
      <c r="TNO121" s="285" t="s">
        <v>376</v>
      </c>
      <c r="TNP121" s="285" t="s">
        <v>377</v>
      </c>
      <c r="TNQ121" s="285" t="s">
        <v>376</v>
      </c>
      <c r="TNR121" s="285" t="s">
        <v>377</v>
      </c>
      <c r="TNS121" s="285" t="s">
        <v>376</v>
      </c>
      <c r="TNT121" s="285" t="s">
        <v>377</v>
      </c>
      <c r="TNU121" s="285" t="s">
        <v>376</v>
      </c>
      <c r="TNV121" s="285" t="s">
        <v>377</v>
      </c>
      <c r="TNW121" s="285" t="s">
        <v>376</v>
      </c>
      <c r="TNX121" s="285" t="s">
        <v>377</v>
      </c>
      <c r="TNY121" s="285" t="s">
        <v>376</v>
      </c>
      <c r="TNZ121" s="285" t="s">
        <v>377</v>
      </c>
      <c r="TOA121" s="285" t="s">
        <v>376</v>
      </c>
      <c r="TOB121" s="285" t="s">
        <v>377</v>
      </c>
      <c r="TOC121" s="285" t="s">
        <v>376</v>
      </c>
      <c r="TOD121" s="285" t="s">
        <v>377</v>
      </c>
      <c r="TOE121" s="285" t="s">
        <v>376</v>
      </c>
      <c r="TOF121" s="285" t="s">
        <v>377</v>
      </c>
      <c r="TOG121" s="285" t="s">
        <v>376</v>
      </c>
      <c r="TOH121" s="285" t="s">
        <v>377</v>
      </c>
      <c r="TOI121" s="285" t="s">
        <v>376</v>
      </c>
      <c r="TOJ121" s="285" t="s">
        <v>377</v>
      </c>
      <c r="TOK121" s="285" t="s">
        <v>376</v>
      </c>
      <c r="TOL121" s="285" t="s">
        <v>377</v>
      </c>
      <c r="TOM121" s="285" t="s">
        <v>376</v>
      </c>
      <c r="TON121" s="285" t="s">
        <v>377</v>
      </c>
      <c r="TOO121" s="285" t="s">
        <v>376</v>
      </c>
      <c r="TOP121" s="285" t="s">
        <v>377</v>
      </c>
      <c r="TOQ121" s="285" t="s">
        <v>376</v>
      </c>
      <c r="TOR121" s="285" t="s">
        <v>377</v>
      </c>
      <c r="TOS121" s="285" t="s">
        <v>376</v>
      </c>
      <c r="TOT121" s="285" t="s">
        <v>377</v>
      </c>
      <c r="TOU121" s="285" t="s">
        <v>376</v>
      </c>
      <c r="TOV121" s="285" t="s">
        <v>377</v>
      </c>
      <c r="TOW121" s="285" t="s">
        <v>376</v>
      </c>
      <c r="TOX121" s="285" t="s">
        <v>377</v>
      </c>
      <c r="TOY121" s="285" t="s">
        <v>376</v>
      </c>
      <c r="TOZ121" s="285" t="s">
        <v>377</v>
      </c>
      <c r="TPA121" s="285" t="s">
        <v>376</v>
      </c>
      <c r="TPB121" s="285" t="s">
        <v>377</v>
      </c>
      <c r="TPC121" s="285" t="s">
        <v>376</v>
      </c>
      <c r="TPD121" s="285" t="s">
        <v>377</v>
      </c>
      <c r="TPE121" s="285" t="s">
        <v>376</v>
      </c>
      <c r="TPF121" s="285" t="s">
        <v>377</v>
      </c>
      <c r="TPG121" s="285" t="s">
        <v>376</v>
      </c>
      <c r="TPH121" s="285" t="s">
        <v>377</v>
      </c>
      <c r="TPI121" s="285" t="s">
        <v>376</v>
      </c>
      <c r="TPJ121" s="285" t="s">
        <v>377</v>
      </c>
      <c r="TPK121" s="285" t="s">
        <v>376</v>
      </c>
      <c r="TPL121" s="285" t="s">
        <v>377</v>
      </c>
      <c r="TPM121" s="285" t="s">
        <v>376</v>
      </c>
      <c r="TPN121" s="285" t="s">
        <v>377</v>
      </c>
      <c r="TPO121" s="285" t="s">
        <v>376</v>
      </c>
      <c r="TPP121" s="285" t="s">
        <v>377</v>
      </c>
      <c r="TPQ121" s="285" t="s">
        <v>376</v>
      </c>
      <c r="TPR121" s="285" t="s">
        <v>377</v>
      </c>
      <c r="TPS121" s="285" t="s">
        <v>376</v>
      </c>
      <c r="TPT121" s="285" t="s">
        <v>377</v>
      </c>
      <c r="TPU121" s="285" t="s">
        <v>376</v>
      </c>
      <c r="TPV121" s="285" t="s">
        <v>377</v>
      </c>
      <c r="TPW121" s="285" t="s">
        <v>376</v>
      </c>
      <c r="TPX121" s="285" t="s">
        <v>377</v>
      </c>
      <c r="TPY121" s="285" t="s">
        <v>376</v>
      </c>
      <c r="TPZ121" s="285" t="s">
        <v>377</v>
      </c>
      <c r="TQA121" s="285" t="s">
        <v>376</v>
      </c>
      <c r="TQB121" s="285" t="s">
        <v>377</v>
      </c>
      <c r="TQC121" s="285" t="s">
        <v>376</v>
      </c>
      <c r="TQD121" s="285" t="s">
        <v>377</v>
      </c>
      <c r="TQE121" s="285" t="s">
        <v>376</v>
      </c>
      <c r="TQF121" s="285" t="s">
        <v>377</v>
      </c>
      <c r="TQG121" s="285" t="s">
        <v>376</v>
      </c>
      <c r="TQH121" s="285" t="s">
        <v>377</v>
      </c>
      <c r="TQI121" s="285" t="s">
        <v>376</v>
      </c>
      <c r="TQJ121" s="285" t="s">
        <v>377</v>
      </c>
      <c r="TQK121" s="285" t="s">
        <v>376</v>
      </c>
      <c r="TQL121" s="285" t="s">
        <v>377</v>
      </c>
      <c r="TQM121" s="285" t="s">
        <v>376</v>
      </c>
      <c r="TQN121" s="285" t="s">
        <v>377</v>
      </c>
      <c r="TQO121" s="285" t="s">
        <v>376</v>
      </c>
      <c r="TQP121" s="285" t="s">
        <v>377</v>
      </c>
      <c r="TQQ121" s="285" t="s">
        <v>376</v>
      </c>
      <c r="TQR121" s="285" t="s">
        <v>377</v>
      </c>
      <c r="TQS121" s="285" t="s">
        <v>376</v>
      </c>
      <c r="TQT121" s="285" t="s">
        <v>377</v>
      </c>
      <c r="TQU121" s="285" t="s">
        <v>376</v>
      </c>
      <c r="TQV121" s="285" t="s">
        <v>377</v>
      </c>
      <c r="TQW121" s="285" t="s">
        <v>376</v>
      </c>
      <c r="TQX121" s="285" t="s">
        <v>377</v>
      </c>
      <c r="TQY121" s="285" t="s">
        <v>376</v>
      </c>
      <c r="TQZ121" s="285" t="s">
        <v>377</v>
      </c>
      <c r="TRA121" s="285" t="s">
        <v>376</v>
      </c>
      <c r="TRB121" s="285" t="s">
        <v>377</v>
      </c>
      <c r="TRC121" s="285" t="s">
        <v>376</v>
      </c>
      <c r="TRD121" s="285" t="s">
        <v>377</v>
      </c>
      <c r="TRE121" s="285" t="s">
        <v>376</v>
      </c>
      <c r="TRF121" s="285" t="s">
        <v>377</v>
      </c>
      <c r="TRG121" s="285" t="s">
        <v>376</v>
      </c>
      <c r="TRH121" s="285" t="s">
        <v>377</v>
      </c>
      <c r="TRI121" s="285" t="s">
        <v>376</v>
      </c>
      <c r="TRJ121" s="285" t="s">
        <v>377</v>
      </c>
      <c r="TRK121" s="285" t="s">
        <v>376</v>
      </c>
      <c r="TRL121" s="285" t="s">
        <v>377</v>
      </c>
      <c r="TRM121" s="285" t="s">
        <v>376</v>
      </c>
      <c r="TRN121" s="285" t="s">
        <v>377</v>
      </c>
      <c r="TRO121" s="285" t="s">
        <v>376</v>
      </c>
      <c r="TRP121" s="285" t="s">
        <v>377</v>
      </c>
      <c r="TRQ121" s="285" t="s">
        <v>376</v>
      </c>
      <c r="TRR121" s="285" t="s">
        <v>377</v>
      </c>
      <c r="TRS121" s="285" t="s">
        <v>376</v>
      </c>
      <c r="TRT121" s="285" t="s">
        <v>377</v>
      </c>
      <c r="TRU121" s="285" t="s">
        <v>376</v>
      </c>
      <c r="TRV121" s="285" t="s">
        <v>377</v>
      </c>
      <c r="TRW121" s="285" t="s">
        <v>376</v>
      </c>
      <c r="TRX121" s="285" t="s">
        <v>377</v>
      </c>
      <c r="TRY121" s="285" t="s">
        <v>376</v>
      </c>
      <c r="TRZ121" s="285" t="s">
        <v>377</v>
      </c>
      <c r="TSA121" s="285" t="s">
        <v>376</v>
      </c>
      <c r="TSB121" s="285" t="s">
        <v>377</v>
      </c>
      <c r="TSC121" s="285" t="s">
        <v>376</v>
      </c>
      <c r="TSD121" s="285" t="s">
        <v>377</v>
      </c>
      <c r="TSE121" s="285" t="s">
        <v>376</v>
      </c>
      <c r="TSF121" s="285" t="s">
        <v>377</v>
      </c>
      <c r="TSG121" s="285" t="s">
        <v>376</v>
      </c>
      <c r="TSH121" s="285" t="s">
        <v>377</v>
      </c>
      <c r="TSI121" s="285" t="s">
        <v>376</v>
      </c>
      <c r="TSJ121" s="285" t="s">
        <v>377</v>
      </c>
      <c r="TSK121" s="285" t="s">
        <v>376</v>
      </c>
      <c r="TSL121" s="285" t="s">
        <v>377</v>
      </c>
      <c r="TSM121" s="285" t="s">
        <v>376</v>
      </c>
      <c r="TSN121" s="285" t="s">
        <v>377</v>
      </c>
      <c r="TSO121" s="285" t="s">
        <v>376</v>
      </c>
      <c r="TSP121" s="285" t="s">
        <v>377</v>
      </c>
      <c r="TSQ121" s="285" t="s">
        <v>376</v>
      </c>
      <c r="TSR121" s="285" t="s">
        <v>377</v>
      </c>
      <c r="TSS121" s="285" t="s">
        <v>376</v>
      </c>
      <c r="TST121" s="285" t="s">
        <v>377</v>
      </c>
      <c r="TSU121" s="285" t="s">
        <v>376</v>
      </c>
      <c r="TSV121" s="285" t="s">
        <v>377</v>
      </c>
      <c r="TSW121" s="285" t="s">
        <v>376</v>
      </c>
      <c r="TSX121" s="285" t="s">
        <v>377</v>
      </c>
      <c r="TSY121" s="285" t="s">
        <v>376</v>
      </c>
      <c r="TSZ121" s="285" t="s">
        <v>377</v>
      </c>
      <c r="TTA121" s="285" t="s">
        <v>376</v>
      </c>
      <c r="TTB121" s="285" t="s">
        <v>377</v>
      </c>
      <c r="TTC121" s="285" t="s">
        <v>376</v>
      </c>
      <c r="TTD121" s="285" t="s">
        <v>377</v>
      </c>
      <c r="TTE121" s="285" t="s">
        <v>376</v>
      </c>
      <c r="TTF121" s="285" t="s">
        <v>377</v>
      </c>
      <c r="TTG121" s="285" t="s">
        <v>376</v>
      </c>
      <c r="TTH121" s="285" t="s">
        <v>377</v>
      </c>
      <c r="TTI121" s="285" t="s">
        <v>376</v>
      </c>
      <c r="TTJ121" s="285" t="s">
        <v>377</v>
      </c>
      <c r="TTK121" s="285" t="s">
        <v>376</v>
      </c>
      <c r="TTL121" s="285" t="s">
        <v>377</v>
      </c>
      <c r="TTM121" s="285" t="s">
        <v>376</v>
      </c>
      <c r="TTN121" s="285" t="s">
        <v>377</v>
      </c>
      <c r="TTO121" s="285" t="s">
        <v>376</v>
      </c>
      <c r="TTP121" s="285" t="s">
        <v>377</v>
      </c>
      <c r="TTQ121" s="285" t="s">
        <v>376</v>
      </c>
      <c r="TTR121" s="285" t="s">
        <v>377</v>
      </c>
      <c r="TTS121" s="285" t="s">
        <v>376</v>
      </c>
      <c r="TTT121" s="285" t="s">
        <v>377</v>
      </c>
      <c r="TTU121" s="285" t="s">
        <v>376</v>
      </c>
      <c r="TTV121" s="285" t="s">
        <v>377</v>
      </c>
      <c r="TTW121" s="285" t="s">
        <v>376</v>
      </c>
      <c r="TTX121" s="285" t="s">
        <v>377</v>
      </c>
      <c r="TTY121" s="285" t="s">
        <v>376</v>
      </c>
      <c r="TTZ121" s="285" t="s">
        <v>377</v>
      </c>
      <c r="TUA121" s="285" t="s">
        <v>376</v>
      </c>
      <c r="TUB121" s="285" t="s">
        <v>377</v>
      </c>
      <c r="TUC121" s="285" t="s">
        <v>376</v>
      </c>
      <c r="TUD121" s="285" t="s">
        <v>377</v>
      </c>
      <c r="TUE121" s="285" t="s">
        <v>376</v>
      </c>
      <c r="TUF121" s="285" t="s">
        <v>377</v>
      </c>
      <c r="TUG121" s="285" t="s">
        <v>376</v>
      </c>
      <c r="TUH121" s="285" t="s">
        <v>377</v>
      </c>
      <c r="TUI121" s="285" t="s">
        <v>376</v>
      </c>
      <c r="TUJ121" s="285" t="s">
        <v>377</v>
      </c>
      <c r="TUK121" s="285" t="s">
        <v>376</v>
      </c>
      <c r="TUL121" s="285" t="s">
        <v>377</v>
      </c>
      <c r="TUM121" s="285" t="s">
        <v>376</v>
      </c>
      <c r="TUN121" s="285" t="s">
        <v>377</v>
      </c>
      <c r="TUO121" s="285" t="s">
        <v>376</v>
      </c>
      <c r="TUP121" s="285" t="s">
        <v>377</v>
      </c>
      <c r="TUQ121" s="285" t="s">
        <v>376</v>
      </c>
      <c r="TUR121" s="285" t="s">
        <v>377</v>
      </c>
      <c r="TUS121" s="285" t="s">
        <v>376</v>
      </c>
      <c r="TUT121" s="285" t="s">
        <v>377</v>
      </c>
      <c r="TUU121" s="285" t="s">
        <v>376</v>
      </c>
      <c r="TUV121" s="285" t="s">
        <v>377</v>
      </c>
      <c r="TUW121" s="285" t="s">
        <v>376</v>
      </c>
      <c r="TUX121" s="285" t="s">
        <v>377</v>
      </c>
      <c r="TUY121" s="285" t="s">
        <v>376</v>
      </c>
      <c r="TUZ121" s="285" t="s">
        <v>377</v>
      </c>
      <c r="TVA121" s="285" t="s">
        <v>376</v>
      </c>
      <c r="TVB121" s="285" t="s">
        <v>377</v>
      </c>
      <c r="TVC121" s="285" t="s">
        <v>376</v>
      </c>
      <c r="TVD121" s="285" t="s">
        <v>377</v>
      </c>
      <c r="TVE121" s="285" t="s">
        <v>376</v>
      </c>
      <c r="TVF121" s="285" t="s">
        <v>377</v>
      </c>
      <c r="TVG121" s="285" t="s">
        <v>376</v>
      </c>
      <c r="TVH121" s="285" t="s">
        <v>377</v>
      </c>
      <c r="TVI121" s="285" t="s">
        <v>376</v>
      </c>
      <c r="TVJ121" s="285" t="s">
        <v>377</v>
      </c>
      <c r="TVK121" s="285" t="s">
        <v>376</v>
      </c>
      <c r="TVL121" s="285" t="s">
        <v>377</v>
      </c>
      <c r="TVM121" s="285" t="s">
        <v>376</v>
      </c>
      <c r="TVN121" s="285" t="s">
        <v>377</v>
      </c>
      <c r="TVO121" s="285" t="s">
        <v>376</v>
      </c>
      <c r="TVP121" s="285" t="s">
        <v>377</v>
      </c>
      <c r="TVQ121" s="285" t="s">
        <v>376</v>
      </c>
      <c r="TVR121" s="285" t="s">
        <v>377</v>
      </c>
      <c r="TVS121" s="285" t="s">
        <v>376</v>
      </c>
      <c r="TVT121" s="285" t="s">
        <v>377</v>
      </c>
      <c r="TVU121" s="285" t="s">
        <v>376</v>
      </c>
      <c r="TVV121" s="285" t="s">
        <v>377</v>
      </c>
      <c r="TVW121" s="285" t="s">
        <v>376</v>
      </c>
      <c r="TVX121" s="285" t="s">
        <v>377</v>
      </c>
      <c r="TVY121" s="285" t="s">
        <v>376</v>
      </c>
      <c r="TVZ121" s="285" t="s">
        <v>377</v>
      </c>
      <c r="TWA121" s="285" t="s">
        <v>376</v>
      </c>
      <c r="TWB121" s="285" t="s">
        <v>377</v>
      </c>
      <c r="TWC121" s="285" t="s">
        <v>376</v>
      </c>
      <c r="TWD121" s="285" t="s">
        <v>377</v>
      </c>
      <c r="TWE121" s="285" t="s">
        <v>376</v>
      </c>
      <c r="TWF121" s="285" t="s">
        <v>377</v>
      </c>
      <c r="TWG121" s="285" t="s">
        <v>376</v>
      </c>
      <c r="TWH121" s="285" t="s">
        <v>377</v>
      </c>
      <c r="TWI121" s="285" t="s">
        <v>376</v>
      </c>
      <c r="TWJ121" s="285" t="s">
        <v>377</v>
      </c>
      <c r="TWK121" s="285" t="s">
        <v>376</v>
      </c>
      <c r="TWL121" s="285" t="s">
        <v>377</v>
      </c>
      <c r="TWM121" s="285" t="s">
        <v>376</v>
      </c>
      <c r="TWN121" s="285" t="s">
        <v>377</v>
      </c>
      <c r="TWO121" s="285" t="s">
        <v>376</v>
      </c>
      <c r="TWP121" s="285" t="s">
        <v>377</v>
      </c>
      <c r="TWQ121" s="285" t="s">
        <v>376</v>
      </c>
      <c r="TWR121" s="285" t="s">
        <v>377</v>
      </c>
      <c r="TWS121" s="285" t="s">
        <v>376</v>
      </c>
      <c r="TWT121" s="285" t="s">
        <v>377</v>
      </c>
      <c r="TWU121" s="285" t="s">
        <v>376</v>
      </c>
      <c r="TWV121" s="285" t="s">
        <v>377</v>
      </c>
      <c r="TWW121" s="285" t="s">
        <v>376</v>
      </c>
      <c r="TWX121" s="285" t="s">
        <v>377</v>
      </c>
      <c r="TWY121" s="285" t="s">
        <v>376</v>
      </c>
      <c r="TWZ121" s="285" t="s">
        <v>377</v>
      </c>
      <c r="TXA121" s="285" t="s">
        <v>376</v>
      </c>
      <c r="TXB121" s="285" t="s">
        <v>377</v>
      </c>
      <c r="TXC121" s="285" t="s">
        <v>376</v>
      </c>
      <c r="TXD121" s="285" t="s">
        <v>377</v>
      </c>
      <c r="TXE121" s="285" t="s">
        <v>376</v>
      </c>
      <c r="TXF121" s="285" t="s">
        <v>377</v>
      </c>
      <c r="TXG121" s="285" t="s">
        <v>376</v>
      </c>
      <c r="TXH121" s="285" t="s">
        <v>377</v>
      </c>
      <c r="TXI121" s="285" t="s">
        <v>376</v>
      </c>
      <c r="TXJ121" s="285" t="s">
        <v>377</v>
      </c>
      <c r="TXK121" s="285" t="s">
        <v>376</v>
      </c>
      <c r="TXL121" s="285" t="s">
        <v>377</v>
      </c>
      <c r="TXM121" s="285" t="s">
        <v>376</v>
      </c>
      <c r="TXN121" s="285" t="s">
        <v>377</v>
      </c>
      <c r="TXO121" s="285" t="s">
        <v>376</v>
      </c>
      <c r="TXP121" s="285" t="s">
        <v>377</v>
      </c>
      <c r="TXQ121" s="285" t="s">
        <v>376</v>
      </c>
      <c r="TXR121" s="285" t="s">
        <v>377</v>
      </c>
      <c r="TXS121" s="285" t="s">
        <v>376</v>
      </c>
      <c r="TXT121" s="285" t="s">
        <v>377</v>
      </c>
      <c r="TXU121" s="285" t="s">
        <v>376</v>
      </c>
      <c r="TXV121" s="285" t="s">
        <v>377</v>
      </c>
      <c r="TXW121" s="285" t="s">
        <v>376</v>
      </c>
      <c r="TXX121" s="285" t="s">
        <v>377</v>
      </c>
      <c r="TXY121" s="285" t="s">
        <v>376</v>
      </c>
      <c r="TXZ121" s="285" t="s">
        <v>377</v>
      </c>
      <c r="TYA121" s="285" t="s">
        <v>376</v>
      </c>
      <c r="TYB121" s="285" t="s">
        <v>377</v>
      </c>
      <c r="TYC121" s="285" t="s">
        <v>376</v>
      </c>
      <c r="TYD121" s="285" t="s">
        <v>377</v>
      </c>
      <c r="TYE121" s="285" t="s">
        <v>376</v>
      </c>
      <c r="TYF121" s="285" t="s">
        <v>377</v>
      </c>
      <c r="TYG121" s="285" t="s">
        <v>376</v>
      </c>
      <c r="TYH121" s="285" t="s">
        <v>377</v>
      </c>
      <c r="TYI121" s="285" t="s">
        <v>376</v>
      </c>
      <c r="TYJ121" s="285" t="s">
        <v>377</v>
      </c>
      <c r="TYK121" s="285" t="s">
        <v>376</v>
      </c>
      <c r="TYL121" s="285" t="s">
        <v>377</v>
      </c>
      <c r="TYM121" s="285" t="s">
        <v>376</v>
      </c>
      <c r="TYN121" s="285" t="s">
        <v>377</v>
      </c>
      <c r="TYO121" s="285" t="s">
        <v>376</v>
      </c>
      <c r="TYP121" s="285" t="s">
        <v>377</v>
      </c>
      <c r="TYQ121" s="285" t="s">
        <v>376</v>
      </c>
      <c r="TYR121" s="285" t="s">
        <v>377</v>
      </c>
      <c r="TYS121" s="285" t="s">
        <v>376</v>
      </c>
      <c r="TYT121" s="285" t="s">
        <v>377</v>
      </c>
      <c r="TYU121" s="285" t="s">
        <v>376</v>
      </c>
      <c r="TYV121" s="285" t="s">
        <v>377</v>
      </c>
      <c r="TYW121" s="285" t="s">
        <v>376</v>
      </c>
      <c r="TYX121" s="285" t="s">
        <v>377</v>
      </c>
      <c r="TYY121" s="285" t="s">
        <v>376</v>
      </c>
      <c r="TYZ121" s="285" t="s">
        <v>377</v>
      </c>
      <c r="TZA121" s="285" t="s">
        <v>376</v>
      </c>
      <c r="TZB121" s="285" t="s">
        <v>377</v>
      </c>
      <c r="TZC121" s="285" t="s">
        <v>376</v>
      </c>
      <c r="TZD121" s="285" t="s">
        <v>377</v>
      </c>
      <c r="TZE121" s="285" t="s">
        <v>376</v>
      </c>
      <c r="TZF121" s="285" t="s">
        <v>377</v>
      </c>
      <c r="TZG121" s="285" t="s">
        <v>376</v>
      </c>
      <c r="TZH121" s="285" t="s">
        <v>377</v>
      </c>
      <c r="TZI121" s="285" t="s">
        <v>376</v>
      </c>
      <c r="TZJ121" s="285" t="s">
        <v>377</v>
      </c>
      <c r="TZK121" s="285" t="s">
        <v>376</v>
      </c>
      <c r="TZL121" s="285" t="s">
        <v>377</v>
      </c>
      <c r="TZM121" s="285" t="s">
        <v>376</v>
      </c>
      <c r="TZN121" s="285" t="s">
        <v>377</v>
      </c>
      <c r="TZO121" s="285" t="s">
        <v>376</v>
      </c>
      <c r="TZP121" s="285" t="s">
        <v>377</v>
      </c>
      <c r="TZQ121" s="285" t="s">
        <v>376</v>
      </c>
      <c r="TZR121" s="285" t="s">
        <v>377</v>
      </c>
      <c r="TZS121" s="285" t="s">
        <v>376</v>
      </c>
      <c r="TZT121" s="285" t="s">
        <v>377</v>
      </c>
      <c r="TZU121" s="285" t="s">
        <v>376</v>
      </c>
      <c r="TZV121" s="285" t="s">
        <v>377</v>
      </c>
      <c r="TZW121" s="285" t="s">
        <v>376</v>
      </c>
      <c r="TZX121" s="285" t="s">
        <v>377</v>
      </c>
      <c r="TZY121" s="285" t="s">
        <v>376</v>
      </c>
      <c r="TZZ121" s="285" t="s">
        <v>377</v>
      </c>
      <c r="UAA121" s="285" t="s">
        <v>376</v>
      </c>
      <c r="UAB121" s="285" t="s">
        <v>377</v>
      </c>
      <c r="UAC121" s="285" t="s">
        <v>376</v>
      </c>
      <c r="UAD121" s="285" t="s">
        <v>377</v>
      </c>
      <c r="UAE121" s="285" t="s">
        <v>376</v>
      </c>
      <c r="UAF121" s="285" t="s">
        <v>377</v>
      </c>
      <c r="UAG121" s="285" t="s">
        <v>376</v>
      </c>
      <c r="UAH121" s="285" t="s">
        <v>377</v>
      </c>
      <c r="UAI121" s="285" t="s">
        <v>376</v>
      </c>
      <c r="UAJ121" s="285" t="s">
        <v>377</v>
      </c>
      <c r="UAK121" s="285" t="s">
        <v>376</v>
      </c>
      <c r="UAL121" s="285" t="s">
        <v>377</v>
      </c>
      <c r="UAM121" s="285" t="s">
        <v>376</v>
      </c>
      <c r="UAN121" s="285" t="s">
        <v>377</v>
      </c>
      <c r="UAO121" s="285" t="s">
        <v>376</v>
      </c>
      <c r="UAP121" s="285" t="s">
        <v>377</v>
      </c>
      <c r="UAQ121" s="285" t="s">
        <v>376</v>
      </c>
      <c r="UAR121" s="285" t="s">
        <v>377</v>
      </c>
      <c r="UAS121" s="285" t="s">
        <v>376</v>
      </c>
      <c r="UAT121" s="285" t="s">
        <v>377</v>
      </c>
      <c r="UAU121" s="285" t="s">
        <v>376</v>
      </c>
      <c r="UAV121" s="285" t="s">
        <v>377</v>
      </c>
      <c r="UAW121" s="285" t="s">
        <v>376</v>
      </c>
      <c r="UAX121" s="285" t="s">
        <v>377</v>
      </c>
      <c r="UAY121" s="285" t="s">
        <v>376</v>
      </c>
      <c r="UAZ121" s="285" t="s">
        <v>377</v>
      </c>
      <c r="UBA121" s="285" t="s">
        <v>376</v>
      </c>
      <c r="UBB121" s="285" t="s">
        <v>377</v>
      </c>
      <c r="UBC121" s="285" t="s">
        <v>376</v>
      </c>
      <c r="UBD121" s="285" t="s">
        <v>377</v>
      </c>
      <c r="UBE121" s="285" t="s">
        <v>376</v>
      </c>
      <c r="UBF121" s="285" t="s">
        <v>377</v>
      </c>
      <c r="UBG121" s="285" t="s">
        <v>376</v>
      </c>
      <c r="UBH121" s="285" t="s">
        <v>377</v>
      </c>
      <c r="UBI121" s="285" t="s">
        <v>376</v>
      </c>
      <c r="UBJ121" s="285" t="s">
        <v>377</v>
      </c>
      <c r="UBK121" s="285" t="s">
        <v>376</v>
      </c>
      <c r="UBL121" s="285" t="s">
        <v>377</v>
      </c>
      <c r="UBM121" s="285" t="s">
        <v>376</v>
      </c>
      <c r="UBN121" s="285" t="s">
        <v>377</v>
      </c>
      <c r="UBO121" s="285" t="s">
        <v>376</v>
      </c>
      <c r="UBP121" s="285" t="s">
        <v>377</v>
      </c>
      <c r="UBQ121" s="285" t="s">
        <v>376</v>
      </c>
      <c r="UBR121" s="285" t="s">
        <v>377</v>
      </c>
      <c r="UBS121" s="285" t="s">
        <v>376</v>
      </c>
      <c r="UBT121" s="285" t="s">
        <v>377</v>
      </c>
      <c r="UBU121" s="285" t="s">
        <v>376</v>
      </c>
      <c r="UBV121" s="285" t="s">
        <v>377</v>
      </c>
      <c r="UBW121" s="285" t="s">
        <v>376</v>
      </c>
      <c r="UBX121" s="285" t="s">
        <v>377</v>
      </c>
      <c r="UBY121" s="285" t="s">
        <v>376</v>
      </c>
      <c r="UBZ121" s="285" t="s">
        <v>377</v>
      </c>
      <c r="UCA121" s="285" t="s">
        <v>376</v>
      </c>
      <c r="UCB121" s="285" t="s">
        <v>377</v>
      </c>
      <c r="UCC121" s="285" t="s">
        <v>376</v>
      </c>
      <c r="UCD121" s="285" t="s">
        <v>377</v>
      </c>
      <c r="UCE121" s="285" t="s">
        <v>376</v>
      </c>
      <c r="UCF121" s="285" t="s">
        <v>377</v>
      </c>
      <c r="UCG121" s="285" t="s">
        <v>376</v>
      </c>
      <c r="UCH121" s="285" t="s">
        <v>377</v>
      </c>
      <c r="UCI121" s="285" t="s">
        <v>376</v>
      </c>
      <c r="UCJ121" s="285" t="s">
        <v>377</v>
      </c>
      <c r="UCK121" s="285" t="s">
        <v>376</v>
      </c>
      <c r="UCL121" s="285" t="s">
        <v>377</v>
      </c>
      <c r="UCM121" s="285" t="s">
        <v>376</v>
      </c>
      <c r="UCN121" s="285" t="s">
        <v>377</v>
      </c>
      <c r="UCO121" s="285" t="s">
        <v>376</v>
      </c>
      <c r="UCP121" s="285" t="s">
        <v>377</v>
      </c>
      <c r="UCQ121" s="285" t="s">
        <v>376</v>
      </c>
      <c r="UCR121" s="285" t="s">
        <v>377</v>
      </c>
      <c r="UCS121" s="285" t="s">
        <v>376</v>
      </c>
      <c r="UCT121" s="285" t="s">
        <v>377</v>
      </c>
      <c r="UCU121" s="285" t="s">
        <v>376</v>
      </c>
      <c r="UCV121" s="285" t="s">
        <v>377</v>
      </c>
      <c r="UCW121" s="285" t="s">
        <v>376</v>
      </c>
      <c r="UCX121" s="285" t="s">
        <v>377</v>
      </c>
      <c r="UCY121" s="285" t="s">
        <v>376</v>
      </c>
      <c r="UCZ121" s="285" t="s">
        <v>377</v>
      </c>
      <c r="UDA121" s="285" t="s">
        <v>376</v>
      </c>
      <c r="UDB121" s="285" t="s">
        <v>377</v>
      </c>
      <c r="UDC121" s="285" t="s">
        <v>376</v>
      </c>
      <c r="UDD121" s="285" t="s">
        <v>377</v>
      </c>
      <c r="UDE121" s="285" t="s">
        <v>376</v>
      </c>
      <c r="UDF121" s="285" t="s">
        <v>377</v>
      </c>
      <c r="UDG121" s="285" t="s">
        <v>376</v>
      </c>
      <c r="UDH121" s="285" t="s">
        <v>377</v>
      </c>
      <c r="UDI121" s="285" t="s">
        <v>376</v>
      </c>
      <c r="UDJ121" s="285" t="s">
        <v>377</v>
      </c>
      <c r="UDK121" s="285" t="s">
        <v>376</v>
      </c>
      <c r="UDL121" s="285" t="s">
        <v>377</v>
      </c>
      <c r="UDM121" s="285" t="s">
        <v>376</v>
      </c>
      <c r="UDN121" s="285" t="s">
        <v>377</v>
      </c>
      <c r="UDO121" s="285" t="s">
        <v>376</v>
      </c>
      <c r="UDP121" s="285" t="s">
        <v>377</v>
      </c>
      <c r="UDQ121" s="285" t="s">
        <v>376</v>
      </c>
      <c r="UDR121" s="285" t="s">
        <v>377</v>
      </c>
      <c r="UDS121" s="285" t="s">
        <v>376</v>
      </c>
      <c r="UDT121" s="285" t="s">
        <v>377</v>
      </c>
      <c r="UDU121" s="285" t="s">
        <v>376</v>
      </c>
      <c r="UDV121" s="285" t="s">
        <v>377</v>
      </c>
      <c r="UDW121" s="285" t="s">
        <v>376</v>
      </c>
      <c r="UDX121" s="285" t="s">
        <v>377</v>
      </c>
      <c r="UDY121" s="285" t="s">
        <v>376</v>
      </c>
      <c r="UDZ121" s="285" t="s">
        <v>377</v>
      </c>
      <c r="UEA121" s="285" t="s">
        <v>376</v>
      </c>
      <c r="UEB121" s="285" t="s">
        <v>377</v>
      </c>
      <c r="UEC121" s="285" t="s">
        <v>376</v>
      </c>
      <c r="UED121" s="285" t="s">
        <v>377</v>
      </c>
      <c r="UEE121" s="285" t="s">
        <v>376</v>
      </c>
      <c r="UEF121" s="285" t="s">
        <v>377</v>
      </c>
      <c r="UEG121" s="285" t="s">
        <v>376</v>
      </c>
      <c r="UEH121" s="285" t="s">
        <v>377</v>
      </c>
      <c r="UEI121" s="285" t="s">
        <v>376</v>
      </c>
      <c r="UEJ121" s="285" t="s">
        <v>377</v>
      </c>
      <c r="UEK121" s="285" t="s">
        <v>376</v>
      </c>
      <c r="UEL121" s="285" t="s">
        <v>377</v>
      </c>
      <c r="UEM121" s="285" t="s">
        <v>376</v>
      </c>
      <c r="UEN121" s="285" t="s">
        <v>377</v>
      </c>
      <c r="UEO121" s="285" t="s">
        <v>376</v>
      </c>
      <c r="UEP121" s="285" t="s">
        <v>377</v>
      </c>
      <c r="UEQ121" s="285" t="s">
        <v>376</v>
      </c>
      <c r="UER121" s="285" t="s">
        <v>377</v>
      </c>
      <c r="UES121" s="285" t="s">
        <v>376</v>
      </c>
      <c r="UET121" s="285" t="s">
        <v>377</v>
      </c>
      <c r="UEU121" s="285" t="s">
        <v>376</v>
      </c>
      <c r="UEV121" s="285" t="s">
        <v>377</v>
      </c>
      <c r="UEW121" s="285" t="s">
        <v>376</v>
      </c>
      <c r="UEX121" s="285" t="s">
        <v>377</v>
      </c>
      <c r="UEY121" s="285" t="s">
        <v>376</v>
      </c>
      <c r="UEZ121" s="285" t="s">
        <v>377</v>
      </c>
      <c r="UFA121" s="285" t="s">
        <v>376</v>
      </c>
      <c r="UFB121" s="285" t="s">
        <v>377</v>
      </c>
      <c r="UFC121" s="285" t="s">
        <v>376</v>
      </c>
      <c r="UFD121" s="285" t="s">
        <v>377</v>
      </c>
      <c r="UFE121" s="285" t="s">
        <v>376</v>
      </c>
      <c r="UFF121" s="285" t="s">
        <v>377</v>
      </c>
      <c r="UFG121" s="285" t="s">
        <v>376</v>
      </c>
      <c r="UFH121" s="285" t="s">
        <v>377</v>
      </c>
      <c r="UFI121" s="285" t="s">
        <v>376</v>
      </c>
      <c r="UFJ121" s="285" t="s">
        <v>377</v>
      </c>
      <c r="UFK121" s="285" t="s">
        <v>376</v>
      </c>
      <c r="UFL121" s="285" t="s">
        <v>377</v>
      </c>
      <c r="UFM121" s="285" t="s">
        <v>376</v>
      </c>
      <c r="UFN121" s="285" t="s">
        <v>377</v>
      </c>
      <c r="UFO121" s="285" t="s">
        <v>376</v>
      </c>
      <c r="UFP121" s="285" t="s">
        <v>377</v>
      </c>
      <c r="UFQ121" s="285" t="s">
        <v>376</v>
      </c>
      <c r="UFR121" s="285" t="s">
        <v>377</v>
      </c>
      <c r="UFS121" s="285" t="s">
        <v>376</v>
      </c>
      <c r="UFT121" s="285" t="s">
        <v>377</v>
      </c>
      <c r="UFU121" s="285" t="s">
        <v>376</v>
      </c>
      <c r="UFV121" s="285" t="s">
        <v>377</v>
      </c>
      <c r="UFW121" s="285" t="s">
        <v>376</v>
      </c>
      <c r="UFX121" s="285" t="s">
        <v>377</v>
      </c>
      <c r="UFY121" s="285" t="s">
        <v>376</v>
      </c>
      <c r="UFZ121" s="285" t="s">
        <v>377</v>
      </c>
      <c r="UGA121" s="285" t="s">
        <v>376</v>
      </c>
      <c r="UGB121" s="285" t="s">
        <v>377</v>
      </c>
      <c r="UGC121" s="285" t="s">
        <v>376</v>
      </c>
      <c r="UGD121" s="285" t="s">
        <v>377</v>
      </c>
      <c r="UGE121" s="285" t="s">
        <v>376</v>
      </c>
      <c r="UGF121" s="285" t="s">
        <v>377</v>
      </c>
      <c r="UGG121" s="285" t="s">
        <v>376</v>
      </c>
      <c r="UGH121" s="285" t="s">
        <v>377</v>
      </c>
      <c r="UGI121" s="285" t="s">
        <v>376</v>
      </c>
      <c r="UGJ121" s="285" t="s">
        <v>377</v>
      </c>
      <c r="UGK121" s="285" t="s">
        <v>376</v>
      </c>
      <c r="UGL121" s="285" t="s">
        <v>377</v>
      </c>
      <c r="UGM121" s="285" t="s">
        <v>376</v>
      </c>
      <c r="UGN121" s="285" t="s">
        <v>377</v>
      </c>
      <c r="UGO121" s="285" t="s">
        <v>376</v>
      </c>
      <c r="UGP121" s="285" t="s">
        <v>377</v>
      </c>
      <c r="UGQ121" s="285" t="s">
        <v>376</v>
      </c>
      <c r="UGR121" s="285" t="s">
        <v>377</v>
      </c>
      <c r="UGS121" s="285" t="s">
        <v>376</v>
      </c>
      <c r="UGT121" s="285" t="s">
        <v>377</v>
      </c>
      <c r="UGU121" s="285" t="s">
        <v>376</v>
      </c>
      <c r="UGV121" s="285" t="s">
        <v>377</v>
      </c>
      <c r="UGW121" s="285" t="s">
        <v>376</v>
      </c>
      <c r="UGX121" s="285" t="s">
        <v>377</v>
      </c>
      <c r="UGY121" s="285" t="s">
        <v>376</v>
      </c>
      <c r="UGZ121" s="285" t="s">
        <v>377</v>
      </c>
      <c r="UHA121" s="285" t="s">
        <v>376</v>
      </c>
      <c r="UHB121" s="285" t="s">
        <v>377</v>
      </c>
      <c r="UHC121" s="285" t="s">
        <v>376</v>
      </c>
      <c r="UHD121" s="285" t="s">
        <v>377</v>
      </c>
      <c r="UHE121" s="285" t="s">
        <v>376</v>
      </c>
      <c r="UHF121" s="285" t="s">
        <v>377</v>
      </c>
      <c r="UHG121" s="285" t="s">
        <v>376</v>
      </c>
      <c r="UHH121" s="285" t="s">
        <v>377</v>
      </c>
      <c r="UHI121" s="285" t="s">
        <v>376</v>
      </c>
      <c r="UHJ121" s="285" t="s">
        <v>377</v>
      </c>
      <c r="UHK121" s="285" t="s">
        <v>376</v>
      </c>
      <c r="UHL121" s="285" t="s">
        <v>377</v>
      </c>
      <c r="UHM121" s="285" t="s">
        <v>376</v>
      </c>
      <c r="UHN121" s="285" t="s">
        <v>377</v>
      </c>
      <c r="UHO121" s="285" t="s">
        <v>376</v>
      </c>
      <c r="UHP121" s="285" t="s">
        <v>377</v>
      </c>
      <c r="UHQ121" s="285" t="s">
        <v>376</v>
      </c>
      <c r="UHR121" s="285" t="s">
        <v>377</v>
      </c>
      <c r="UHS121" s="285" t="s">
        <v>376</v>
      </c>
      <c r="UHT121" s="285" t="s">
        <v>377</v>
      </c>
      <c r="UHU121" s="285" t="s">
        <v>376</v>
      </c>
      <c r="UHV121" s="285" t="s">
        <v>377</v>
      </c>
      <c r="UHW121" s="285" t="s">
        <v>376</v>
      </c>
      <c r="UHX121" s="285" t="s">
        <v>377</v>
      </c>
      <c r="UHY121" s="285" t="s">
        <v>376</v>
      </c>
      <c r="UHZ121" s="285" t="s">
        <v>377</v>
      </c>
      <c r="UIA121" s="285" t="s">
        <v>376</v>
      </c>
      <c r="UIB121" s="285" t="s">
        <v>377</v>
      </c>
      <c r="UIC121" s="285" t="s">
        <v>376</v>
      </c>
      <c r="UID121" s="285" t="s">
        <v>377</v>
      </c>
      <c r="UIE121" s="285" t="s">
        <v>376</v>
      </c>
      <c r="UIF121" s="285" t="s">
        <v>377</v>
      </c>
      <c r="UIG121" s="285" t="s">
        <v>376</v>
      </c>
      <c r="UIH121" s="285" t="s">
        <v>377</v>
      </c>
      <c r="UII121" s="285" t="s">
        <v>376</v>
      </c>
      <c r="UIJ121" s="285" t="s">
        <v>377</v>
      </c>
      <c r="UIK121" s="285" t="s">
        <v>376</v>
      </c>
      <c r="UIL121" s="285" t="s">
        <v>377</v>
      </c>
      <c r="UIM121" s="285" t="s">
        <v>376</v>
      </c>
      <c r="UIN121" s="285" t="s">
        <v>377</v>
      </c>
      <c r="UIO121" s="285" t="s">
        <v>376</v>
      </c>
      <c r="UIP121" s="285" t="s">
        <v>377</v>
      </c>
      <c r="UIQ121" s="285" t="s">
        <v>376</v>
      </c>
      <c r="UIR121" s="285" t="s">
        <v>377</v>
      </c>
      <c r="UIS121" s="285" t="s">
        <v>376</v>
      </c>
      <c r="UIT121" s="285" t="s">
        <v>377</v>
      </c>
      <c r="UIU121" s="285" t="s">
        <v>376</v>
      </c>
      <c r="UIV121" s="285" t="s">
        <v>377</v>
      </c>
      <c r="UIW121" s="285" t="s">
        <v>376</v>
      </c>
      <c r="UIX121" s="285" t="s">
        <v>377</v>
      </c>
      <c r="UIY121" s="285" t="s">
        <v>376</v>
      </c>
      <c r="UIZ121" s="285" t="s">
        <v>377</v>
      </c>
      <c r="UJA121" s="285" t="s">
        <v>376</v>
      </c>
      <c r="UJB121" s="285" t="s">
        <v>377</v>
      </c>
      <c r="UJC121" s="285" t="s">
        <v>376</v>
      </c>
      <c r="UJD121" s="285" t="s">
        <v>377</v>
      </c>
      <c r="UJE121" s="285" t="s">
        <v>376</v>
      </c>
      <c r="UJF121" s="285" t="s">
        <v>377</v>
      </c>
      <c r="UJG121" s="285" t="s">
        <v>376</v>
      </c>
      <c r="UJH121" s="285" t="s">
        <v>377</v>
      </c>
      <c r="UJI121" s="285" t="s">
        <v>376</v>
      </c>
      <c r="UJJ121" s="285" t="s">
        <v>377</v>
      </c>
      <c r="UJK121" s="285" t="s">
        <v>376</v>
      </c>
      <c r="UJL121" s="285" t="s">
        <v>377</v>
      </c>
      <c r="UJM121" s="285" t="s">
        <v>376</v>
      </c>
      <c r="UJN121" s="285" t="s">
        <v>377</v>
      </c>
      <c r="UJO121" s="285" t="s">
        <v>376</v>
      </c>
      <c r="UJP121" s="285" t="s">
        <v>377</v>
      </c>
      <c r="UJQ121" s="285" t="s">
        <v>376</v>
      </c>
      <c r="UJR121" s="285" t="s">
        <v>377</v>
      </c>
      <c r="UJS121" s="285" t="s">
        <v>376</v>
      </c>
      <c r="UJT121" s="285" t="s">
        <v>377</v>
      </c>
      <c r="UJU121" s="285" t="s">
        <v>376</v>
      </c>
      <c r="UJV121" s="285" t="s">
        <v>377</v>
      </c>
      <c r="UJW121" s="285" t="s">
        <v>376</v>
      </c>
      <c r="UJX121" s="285" t="s">
        <v>377</v>
      </c>
      <c r="UJY121" s="285" t="s">
        <v>376</v>
      </c>
      <c r="UJZ121" s="285" t="s">
        <v>377</v>
      </c>
      <c r="UKA121" s="285" t="s">
        <v>376</v>
      </c>
      <c r="UKB121" s="285" t="s">
        <v>377</v>
      </c>
      <c r="UKC121" s="285" t="s">
        <v>376</v>
      </c>
      <c r="UKD121" s="285" t="s">
        <v>377</v>
      </c>
      <c r="UKE121" s="285" t="s">
        <v>376</v>
      </c>
      <c r="UKF121" s="285" t="s">
        <v>377</v>
      </c>
      <c r="UKG121" s="285" t="s">
        <v>376</v>
      </c>
      <c r="UKH121" s="285" t="s">
        <v>377</v>
      </c>
      <c r="UKI121" s="285" t="s">
        <v>376</v>
      </c>
      <c r="UKJ121" s="285" t="s">
        <v>377</v>
      </c>
      <c r="UKK121" s="285" t="s">
        <v>376</v>
      </c>
      <c r="UKL121" s="285" t="s">
        <v>377</v>
      </c>
      <c r="UKM121" s="285" t="s">
        <v>376</v>
      </c>
      <c r="UKN121" s="285" t="s">
        <v>377</v>
      </c>
      <c r="UKO121" s="285" t="s">
        <v>376</v>
      </c>
      <c r="UKP121" s="285" t="s">
        <v>377</v>
      </c>
      <c r="UKQ121" s="285" t="s">
        <v>376</v>
      </c>
      <c r="UKR121" s="285" t="s">
        <v>377</v>
      </c>
      <c r="UKS121" s="285" t="s">
        <v>376</v>
      </c>
      <c r="UKT121" s="285" t="s">
        <v>377</v>
      </c>
      <c r="UKU121" s="285" t="s">
        <v>376</v>
      </c>
      <c r="UKV121" s="285" t="s">
        <v>377</v>
      </c>
      <c r="UKW121" s="285" t="s">
        <v>376</v>
      </c>
      <c r="UKX121" s="285" t="s">
        <v>377</v>
      </c>
      <c r="UKY121" s="285" t="s">
        <v>376</v>
      </c>
      <c r="UKZ121" s="285" t="s">
        <v>377</v>
      </c>
      <c r="ULA121" s="285" t="s">
        <v>376</v>
      </c>
      <c r="ULB121" s="285" t="s">
        <v>377</v>
      </c>
      <c r="ULC121" s="285" t="s">
        <v>376</v>
      </c>
      <c r="ULD121" s="285" t="s">
        <v>377</v>
      </c>
      <c r="ULE121" s="285" t="s">
        <v>376</v>
      </c>
      <c r="ULF121" s="285" t="s">
        <v>377</v>
      </c>
      <c r="ULG121" s="285" t="s">
        <v>376</v>
      </c>
      <c r="ULH121" s="285" t="s">
        <v>377</v>
      </c>
      <c r="ULI121" s="285" t="s">
        <v>376</v>
      </c>
      <c r="ULJ121" s="285" t="s">
        <v>377</v>
      </c>
      <c r="ULK121" s="285" t="s">
        <v>376</v>
      </c>
      <c r="ULL121" s="285" t="s">
        <v>377</v>
      </c>
      <c r="ULM121" s="285" t="s">
        <v>376</v>
      </c>
      <c r="ULN121" s="285" t="s">
        <v>377</v>
      </c>
      <c r="ULO121" s="285" t="s">
        <v>376</v>
      </c>
      <c r="ULP121" s="285" t="s">
        <v>377</v>
      </c>
      <c r="ULQ121" s="285" t="s">
        <v>376</v>
      </c>
      <c r="ULR121" s="285" t="s">
        <v>377</v>
      </c>
      <c r="ULS121" s="285" t="s">
        <v>376</v>
      </c>
      <c r="ULT121" s="285" t="s">
        <v>377</v>
      </c>
      <c r="ULU121" s="285" t="s">
        <v>376</v>
      </c>
      <c r="ULV121" s="285" t="s">
        <v>377</v>
      </c>
      <c r="ULW121" s="285" t="s">
        <v>376</v>
      </c>
      <c r="ULX121" s="285" t="s">
        <v>377</v>
      </c>
      <c r="ULY121" s="285" t="s">
        <v>376</v>
      </c>
      <c r="ULZ121" s="285" t="s">
        <v>377</v>
      </c>
      <c r="UMA121" s="285" t="s">
        <v>376</v>
      </c>
      <c r="UMB121" s="285" t="s">
        <v>377</v>
      </c>
      <c r="UMC121" s="285" t="s">
        <v>376</v>
      </c>
      <c r="UMD121" s="285" t="s">
        <v>377</v>
      </c>
      <c r="UME121" s="285" t="s">
        <v>376</v>
      </c>
      <c r="UMF121" s="285" t="s">
        <v>377</v>
      </c>
      <c r="UMG121" s="285" t="s">
        <v>376</v>
      </c>
      <c r="UMH121" s="285" t="s">
        <v>377</v>
      </c>
      <c r="UMI121" s="285" t="s">
        <v>376</v>
      </c>
      <c r="UMJ121" s="285" t="s">
        <v>377</v>
      </c>
      <c r="UMK121" s="285" t="s">
        <v>376</v>
      </c>
      <c r="UML121" s="285" t="s">
        <v>377</v>
      </c>
      <c r="UMM121" s="285" t="s">
        <v>376</v>
      </c>
      <c r="UMN121" s="285" t="s">
        <v>377</v>
      </c>
      <c r="UMO121" s="285" t="s">
        <v>376</v>
      </c>
      <c r="UMP121" s="285" t="s">
        <v>377</v>
      </c>
      <c r="UMQ121" s="285" t="s">
        <v>376</v>
      </c>
      <c r="UMR121" s="285" t="s">
        <v>377</v>
      </c>
      <c r="UMS121" s="285" t="s">
        <v>376</v>
      </c>
      <c r="UMT121" s="285" t="s">
        <v>377</v>
      </c>
      <c r="UMU121" s="285" t="s">
        <v>376</v>
      </c>
      <c r="UMV121" s="285" t="s">
        <v>377</v>
      </c>
      <c r="UMW121" s="285" t="s">
        <v>376</v>
      </c>
      <c r="UMX121" s="285" t="s">
        <v>377</v>
      </c>
      <c r="UMY121" s="285" t="s">
        <v>376</v>
      </c>
      <c r="UMZ121" s="285" t="s">
        <v>377</v>
      </c>
      <c r="UNA121" s="285" t="s">
        <v>376</v>
      </c>
      <c r="UNB121" s="285" t="s">
        <v>377</v>
      </c>
      <c r="UNC121" s="285" t="s">
        <v>376</v>
      </c>
      <c r="UND121" s="285" t="s">
        <v>377</v>
      </c>
      <c r="UNE121" s="285" t="s">
        <v>376</v>
      </c>
      <c r="UNF121" s="285" t="s">
        <v>377</v>
      </c>
      <c r="UNG121" s="285" t="s">
        <v>376</v>
      </c>
      <c r="UNH121" s="285" t="s">
        <v>377</v>
      </c>
      <c r="UNI121" s="285" t="s">
        <v>376</v>
      </c>
      <c r="UNJ121" s="285" t="s">
        <v>377</v>
      </c>
      <c r="UNK121" s="285" t="s">
        <v>376</v>
      </c>
      <c r="UNL121" s="285" t="s">
        <v>377</v>
      </c>
      <c r="UNM121" s="285" t="s">
        <v>376</v>
      </c>
      <c r="UNN121" s="285" t="s">
        <v>377</v>
      </c>
      <c r="UNO121" s="285" t="s">
        <v>376</v>
      </c>
      <c r="UNP121" s="285" t="s">
        <v>377</v>
      </c>
      <c r="UNQ121" s="285" t="s">
        <v>376</v>
      </c>
      <c r="UNR121" s="285" t="s">
        <v>377</v>
      </c>
      <c r="UNS121" s="285" t="s">
        <v>376</v>
      </c>
      <c r="UNT121" s="285" t="s">
        <v>377</v>
      </c>
      <c r="UNU121" s="285" t="s">
        <v>376</v>
      </c>
      <c r="UNV121" s="285" t="s">
        <v>377</v>
      </c>
      <c r="UNW121" s="285" t="s">
        <v>376</v>
      </c>
      <c r="UNX121" s="285" t="s">
        <v>377</v>
      </c>
      <c r="UNY121" s="285" t="s">
        <v>376</v>
      </c>
      <c r="UNZ121" s="285" t="s">
        <v>377</v>
      </c>
      <c r="UOA121" s="285" t="s">
        <v>376</v>
      </c>
      <c r="UOB121" s="285" t="s">
        <v>377</v>
      </c>
      <c r="UOC121" s="285" t="s">
        <v>376</v>
      </c>
      <c r="UOD121" s="285" t="s">
        <v>377</v>
      </c>
      <c r="UOE121" s="285" t="s">
        <v>376</v>
      </c>
      <c r="UOF121" s="285" t="s">
        <v>377</v>
      </c>
      <c r="UOG121" s="285" t="s">
        <v>376</v>
      </c>
      <c r="UOH121" s="285" t="s">
        <v>377</v>
      </c>
      <c r="UOI121" s="285" t="s">
        <v>376</v>
      </c>
      <c r="UOJ121" s="285" t="s">
        <v>377</v>
      </c>
      <c r="UOK121" s="285" t="s">
        <v>376</v>
      </c>
      <c r="UOL121" s="285" t="s">
        <v>377</v>
      </c>
      <c r="UOM121" s="285" t="s">
        <v>376</v>
      </c>
      <c r="UON121" s="285" t="s">
        <v>377</v>
      </c>
      <c r="UOO121" s="285" t="s">
        <v>376</v>
      </c>
      <c r="UOP121" s="285" t="s">
        <v>377</v>
      </c>
      <c r="UOQ121" s="285" t="s">
        <v>376</v>
      </c>
      <c r="UOR121" s="285" t="s">
        <v>377</v>
      </c>
      <c r="UOS121" s="285" t="s">
        <v>376</v>
      </c>
      <c r="UOT121" s="285" t="s">
        <v>377</v>
      </c>
      <c r="UOU121" s="285" t="s">
        <v>376</v>
      </c>
      <c r="UOV121" s="285" t="s">
        <v>377</v>
      </c>
      <c r="UOW121" s="285" t="s">
        <v>376</v>
      </c>
      <c r="UOX121" s="285" t="s">
        <v>377</v>
      </c>
      <c r="UOY121" s="285" t="s">
        <v>376</v>
      </c>
      <c r="UOZ121" s="285" t="s">
        <v>377</v>
      </c>
      <c r="UPA121" s="285" t="s">
        <v>376</v>
      </c>
      <c r="UPB121" s="285" t="s">
        <v>377</v>
      </c>
      <c r="UPC121" s="285" t="s">
        <v>376</v>
      </c>
      <c r="UPD121" s="285" t="s">
        <v>377</v>
      </c>
      <c r="UPE121" s="285" t="s">
        <v>376</v>
      </c>
      <c r="UPF121" s="285" t="s">
        <v>377</v>
      </c>
      <c r="UPG121" s="285" t="s">
        <v>376</v>
      </c>
      <c r="UPH121" s="285" t="s">
        <v>377</v>
      </c>
      <c r="UPI121" s="285" t="s">
        <v>376</v>
      </c>
      <c r="UPJ121" s="285" t="s">
        <v>377</v>
      </c>
      <c r="UPK121" s="285" t="s">
        <v>376</v>
      </c>
      <c r="UPL121" s="285" t="s">
        <v>377</v>
      </c>
      <c r="UPM121" s="285" t="s">
        <v>376</v>
      </c>
      <c r="UPN121" s="285" t="s">
        <v>377</v>
      </c>
      <c r="UPO121" s="285" t="s">
        <v>376</v>
      </c>
      <c r="UPP121" s="285" t="s">
        <v>377</v>
      </c>
      <c r="UPQ121" s="285" t="s">
        <v>376</v>
      </c>
      <c r="UPR121" s="285" t="s">
        <v>377</v>
      </c>
      <c r="UPS121" s="285" t="s">
        <v>376</v>
      </c>
      <c r="UPT121" s="285" t="s">
        <v>377</v>
      </c>
      <c r="UPU121" s="285" t="s">
        <v>376</v>
      </c>
      <c r="UPV121" s="285" t="s">
        <v>377</v>
      </c>
      <c r="UPW121" s="285" t="s">
        <v>376</v>
      </c>
      <c r="UPX121" s="285" t="s">
        <v>377</v>
      </c>
      <c r="UPY121" s="285" t="s">
        <v>376</v>
      </c>
      <c r="UPZ121" s="285" t="s">
        <v>377</v>
      </c>
      <c r="UQA121" s="285" t="s">
        <v>376</v>
      </c>
      <c r="UQB121" s="285" t="s">
        <v>377</v>
      </c>
      <c r="UQC121" s="285" t="s">
        <v>376</v>
      </c>
      <c r="UQD121" s="285" t="s">
        <v>377</v>
      </c>
      <c r="UQE121" s="285" t="s">
        <v>376</v>
      </c>
      <c r="UQF121" s="285" t="s">
        <v>377</v>
      </c>
      <c r="UQG121" s="285" t="s">
        <v>376</v>
      </c>
      <c r="UQH121" s="285" t="s">
        <v>377</v>
      </c>
      <c r="UQI121" s="285" t="s">
        <v>376</v>
      </c>
      <c r="UQJ121" s="285" t="s">
        <v>377</v>
      </c>
      <c r="UQK121" s="285" t="s">
        <v>376</v>
      </c>
      <c r="UQL121" s="285" t="s">
        <v>377</v>
      </c>
      <c r="UQM121" s="285" t="s">
        <v>376</v>
      </c>
      <c r="UQN121" s="285" t="s">
        <v>377</v>
      </c>
      <c r="UQO121" s="285" t="s">
        <v>376</v>
      </c>
      <c r="UQP121" s="285" t="s">
        <v>377</v>
      </c>
      <c r="UQQ121" s="285" t="s">
        <v>376</v>
      </c>
      <c r="UQR121" s="285" t="s">
        <v>377</v>
      </c>
      <c r="UQS121" s="285" t="s">
        <v>376</v>
      </c>
      <c r="UQT121" s="285" t="s">
        <v>377</v>
      </c>
      <c r="UQU121" s="285" t="s">
        <v>376</v>
      </c>
      <c r="UQV121" s="285" t="s">
        <v>377</v>
      </c>
      <c r="UQW121" s="285" t="s">
        <v>376</v>
      </c>
      <c r="UQX121" s="285" t="s">
        <v>377</v>
      </c>
      <c r="UQY121" s="285" t="s">
        <v>376</v>
      </c>
      <c r="UQZ121" s="285" t="s">
        <v>377</v>
      </c>
      <c r="URA121" s="285" t="s">
        <v>376</v>
      </c>
      <c r="URB121" s="285" t="s">
        <v>377</v>
      </c>
      <c r="URC121" s="285" t="s">
        <v>376</v>
      </c>
      <c r="URD121" s="285" t="s">
        <v>377</v>
      </c>
      <c r="URE121" s="285" t="s">
        <v>376</v>
      </c>
      <c r="URF121" s="285" t="s">
        <v>377</v>
      </c>
      <c r="URG121" s="285" t="s">
        <v>376</v>
      </c>
      <c r="URH121" s="285" t="s">
        <v>377</v>
      </c>
      <c r="URI121" s="285" t="s">
        <v>376</v>
      </c>
      <c r="URJ121" s="285" t="s">
        <v>377</v>
      </c>
      <c r="URK121" s="285" t="s">
        <v>376</v>
      </c>
      <c r="URL121" s="285" t="s">
        <v>377</v>
      </c>
      <c r="URM121" s="285" t="s">
        <v>376</v>
      </c>
      <c r="URN121" s="285" t="s">
        <v>377</v>
      </c>
      <c r="URO121" s="285" t="s">
        <v>376</v>
      </c>
      <c r="URP121" s="285" t="s">
        <v>377</v>
      </c>
      <c r="URQ121" s="285" t="s">
        <v>376</v>
      </c>
      <c r="URR121" s="285" t="s">
        <v>377</v>
      </c>
      <c r="URS121" s="285" t="s">
        <v>376</v>
      </c>
      <c r="URT121" s="285" t="s">
        <v>377</v>
      </c>
      <c r="URU121" s="285" t="s">
        <v>376</v>
      </c>
      <c r="URV121" s="285" t="s">
        <v>377</v>
      </c>
      <c r="URW121" s="285" t="s">
        <v>376</v>
      </c>
      <c r="URX121" s="285" t="s">
        <v>377</v>
      </c>
      <c r="URY121" s="285" t="s">
        <v>376</v>
      </c>
      <c r="URZ121" s="285" t="s">
        <v>377</v>
      </c>
      <c r="USA121" s="285" t="s">
        <v>376</v>
      </c>
      <c r="USB121" s="285" t="s">
        <v>377</v>
      </c>
      <c r="USC121" s="285" t="s">
        <v>376</v>
      </c>
      <c r="USD121" s="285" t="s">
        <v>377</v>
      </c>
      <c r="USE121" s="285" t="s">
        <v>376</v>
      </c>
      <c r="USF121" s="285" t="s">
        <v>377</v>
      </c>
      <c r="USG121" s="285" t="s">
        <v>376</v>
      </c>
      <c r="USH121" s="285" t="s">
        <v>377</v>
      </c>
      <c r="USI121" s="285" t="s">
        <v>376</v>
      </c>
      <c r="USJ121" s="285" t="s">
        <v>377</v>
      </c>
      <c r="USK121" s="285" t="s">
        <v>376</v>
      </c>
      <c r="USL121" s="285" t="s">
        <v>377</v>
      </c>
      <c r="USM121" s="285" t="s">
        <v>376</v>
      </c>
      <c r="USN121" s="285" t="s">
        <v>377</v>
      </c>
      <c r="USO121" s="285" t="s">
        <v>376</v>
      </c>
      <c r="USP121" s="285" t="s">
        <v>377</v>
      </c>
      <c r="USQ121" s="285" t="s">
        <v>376</v>
      </c>
      <c r="USR121" s="285" t="s">
        <v>377</v>
      </c>
      <c r="USS121" s="285" t="s">
        <v>376</v>
      </c>
      <c r="UST121" s="285" t="s">
        <v>377</v>
      </c>
      <c r="USU121" s="285" t="s">
        <v>376</v>
      </c>
      <c r="USV121" s="285" t="s">
        <v>377</v>
      </c>
      <c r="USW121" s="285" t="s">
        <v>376</v>
      </c>
      <c r="USX121" s="285" t="s">
        <v>377</v>
      </c>
      <c r="USY121" s="285" t="s">
        <v>376</v>
      </c>
      <c r="USZ121" s="285" t="s">
        <v>377</v>
      </c>
      <c r="UTA121" s="285" t="s">
        <v>376</v>
      </c>
      <c r="UTB121" s="285" t="s">
        <v>377</v>
      </c>
      <c r="UTC121" s="285" t="s">
        <v>376</v>
      </c>
      <c r="UTD121" s="285" t="s">
        <v>377</v>
      </c>
      <c r="UTE121" s="285" t="s">
        <v>376</v>
      </c>
      <c r="UTF121" s="285" t="s">
        <v>377</v>
      </c>
      <c r="UTG121" s="285" t="s">
        <v>376</v>
      </c>
      <c r="UTH121" s="285" t="s">
        <v>377</v>
      </c>
      <c r="UTI121" s="285" t="s">
        <v>376</v>
      </c>
      <c r="UTJ121" s="285" t="s">
        <v>377</v>
      </c>
      <c r="UTK121" s="285" t="s">
        <v>376</v>
      </c>
      <c r="UTL121" s="285" t="s">
        <v>377</v>
      </c>
      <c r="UTM121" s="285" t="s">
        <v>376</v>
      </c>
      <c r="UTN121" s="285" t="s">
        <v>377</v>
      </c>
      <c r="UTO121" s="285" t="s">
        <v>376</v>
      </c>
      <c r="UTP121" s="285" t="s">
        <v>377</v>
      </c>
      <c r="UTQ121" s="285" t="s">
        <v>376</v>
      </c>
      <c r="UTR121" s="285" t="s">
        <v>377</v>
      </c>
      <c r="UTS121" s="285" t="s">
        <v>376</v>
      </c>
      <c r="UTT121" s="285" t="s">
        <v>377</v>
      </c>
      <c r="UTU121" s="285" t="s">
        <v>376</v>
      </c>
      <c r="UTV121" s="285" t="s">
        <v>377</v>
      </c>
      <c r="UTW121" s="285" t="s">
        <v>376</v>
      </c>
      <c r="UTX121" s="285" t="s">
        <v>377</v>
      </c>
      <c r="UTY121" s="285" t="s">
        <v>376</v>
      </c>
      <c r="UTZ121" s="285" t="s">
        <v>377</v>
      </c>
      <c r="UUA121" s="285" t="s">
        <v>376</v>
      </c>
      <c r="UUB121" s="285" t="s">
        <v>377</v>
      </c>
      <c r="UUC121" s="285" t="s">
        <v>376</v>
      </c>
      <c r="UUD121" s="285" t="s">
        <v>377</v>
      </c>
      <c r="UUE121" s="285" t="s">
        <v>376</v>
      </c>
      <c r="UUF121" s="285" t="s">
        <v>377</v>
      </c>
      <c r="UUG121" s="285" t="s">
        <v>376</v>
      </c>
      <c r="UUH121" s="285" t="s">
        <v>377</v>
      </c>
      <c r="UUI121" s="285" t="s">
        <v>376</v>
      </c>
      <c r="UUJ121" s="285" t="s">
        <v>377</v>
      </c>
      <c r="UUK121" s="285" t="s">
        <v>376</v>
      </c>
      <c r="UUL121" s="285" t="s">
        <v>377</v>
      </c>
      <c r="UUM121" s="285" t="s">
        <v>376</v>
      </c>
      <c r="UUN121" s="285" t="s">
        <v>377</v>
      </c>
      <c r="UUO121" s="285" t="s">
        <v>376</v>
      </c>
      <c r="UUP121" s="285" t="s">
        <v>377</v>
      </c>
      <c r="UUQ121" s="285" t="s">
        <v>376</v>
      </c>
      <c r="UUR121" s="285" t="s">
        <v>377</v>
      </c>
      <c r="UUS121" s="285" t="s">
        <v>376</v>
      </c>
      <c r="UUT121" s="285" t="s">
        <v>377</v>
      </c>
      <c r="UUU121" s="285" t="s">
        <v>376</v>
      </c>
      <c r="UUV121" s="285" t="s">
        <v>377</v>
      </c>
      <c r="UUW121" s="285" t="s">
        <v>376</v>
      </c>
      <c r="UUX121" s="285" t="s">
        <v>377</v>
      </c>
      <c r="UUY121" s="285" t="s">
        <v>376</v>
      </c>
      <c r="UUZ121" s="285" t="s">
        <v>377</v>
      </c>
      <c r="UVA121" s="285" t="s">
        <v>376</v>
      </c>
      <c r="UVB121" s="285" t="s">
        <v>377</v>
      </c>
      <c r="UVC121" s="285" t="s">
        <v>376</v>
      </c>
      <c r="UVD121" s="285" t="s">
        <v>377</v>
      </c>
      <c r="UVE121" s="285" t="s">
        <v>376</v>
      </c>
      <c r="UVF121" s="285" t="s">
        <v>377</v>
      </c>
      <c r="UVG121" s="285" t="s">
        <v>376</v>
      </c>
      <c r="UVH121" s="285" t="s">
        <v>377</v>
      </c>
      <c r="UVI121" s="285" t="s">
        <v>376</v>
      </c>
      <c r="UVJ121" s="285" t="s">
        <v>377</v>
      </c>
      <c r="UVK121" s="285" t="s">
        <v>376</v>
      </c>
      <c r="UVL121" s="285" t="s">
        <v>377</v>
      </c>
      <c r="UVM121" s="285" t="s">
        <v>376</v>
      </c>
      <c r="UVN121" s="285" t="s">
        <v>377</v>
      </c>
      <c r="UVO121" s="285" t="s">
        <v>376</v>
      </c>
      <c r="UVP121" s="285" t="s">
        <v>377</v>
      </c>
      <c r="UVQ121" s="285" t="s">
        <v>376</v>
      </c>
      <c r="UVR121" s="285" t="s">
        <v>377</v>
      </c>
      <c r="UVS121" s="285" t="s">
        <v>376</v>
      </c>
      <c r="UVT121" s="285" t="s">
        <v>377</v>
      </c>
      <c r="UVU121" s="285" t="s">
        <v>376</v>
      </c>
      <c r="UVV121" s="285" t="s">
        <v>377</v>
      </c>
      <c r="UVW121" s="285" t="s">
        <v>376</v>
      </c>
      <c r="UVX121" s="285" t="s">
        <v>377</v>
      </c>
      <c r="UVY121" s="285" t="s">
        <v>376</v>
      </c>
      <c r="UVZ121" s="285" t="s">
        <v>377</v>
      </c>
      <c r="UWA121" s="285" t="s">
        <v>376</v>
      </c>
      <c r="UWB121" s="285" t="s">
        <v>377</v>
      </c>
      <c r="UWC121" s="285" t="s">
        <v>376</v>
      </c>
      <c r="UWD121" s="285" t="s">
        <v>377</v>
      </c>
      <c r="UWE121" s="285" t="s">
        <v>376</v>
      </c>
      <c r="UWF121" s="285" t="s">
        <v>377</v>
      </c>
      <c r="UWG121" s="285" t="s">
        <v>376</v>
      </c>
      <c r="UWH121" s="285" t="s">
        <v>377</v>
      </c>
      <c r="UWI121" s="285" t="s">
        <v>376</v>
      </c>
      <c r="UWJ121" s="285" t="s">
        <v>377</v>
      </c>
      <c r="UWK121" s="285" t="s">
        <v>376</v>
      </c>
      <c r="UWL121" s="285" t="s">
        <v>377</v>
      </c>
      <c r="UWM121" s="285" t="s">
        <v>376</v>
      </c>
      <c r="UWN121" s="285" t="s">
        <v>377</v>
      </c>
      <c r="UWO121" s="285" t="s">
        <v>376</v>
      </c>
      <c r="UWP121" s="285" t="s">
        <v>377</v>
      </c>
      <c r="UWQ121" s="285" t="s">
        <v>376</v>
      </c>
      <c r="UWR121" s="285" t="s">
        <v>377</v>
      </c>
      <c r="UWS121" s="285" t="s">
        <v>376</v>
      </c>
      <c r="UWT121" s="285" t="s">
        <v>377</v>
      </c>
      <c r="UWU121" s="285" t="s">
        <v>376</v>
      </c>
      <c r="UWV121" s="285" t="s">
        <v>377</v>
      </c>
      <c r="UWW121" s="285" t="s">
        <v>376</v>
      </c>
      <c r="UWX121" s="285" t="s">
        <v>377</v>
      </c>
      <c r="UWY121" s="285" t="s">
        <v>376</v>
      </c>
      <c r="UWZ121" s="285" t="s">
        <v>377</v>
      </c>
      <c r="UXA121" s="285" t="s">
        <v>376</v>
      </c>
      <c r="UXB121" s="285" t="s">
        <v>377</v>
      </c>
      <c r="UXC121" s="285" t="s">
        <v>376</v>
      </c>
      <c r="UXD121" s="285" t="s">
        <v>377</v>
      </c>
      <c r="UXE121" s="285" t="s">
        <v>376</v>
      </c>
      <c r="UXF121" s="285" t="s">
        <v>377</v>
      </c>
      <c r="UXG121" s="285" t="s">
        <v>376</v>
      </c>
      <c r="UXH121" s="285" t="s">
        <v>377</v>
      </c>
      <c r="UXI121" s="285" t="s">
        <v>376</v>
      </c>
      <c r="UXJ121" s="285" t="s">
        <v>377</v>
      </c>
      <c r="UXK121" s="285" t="s">
        <v>376</v>
      </c>
      <c r="UXL121" s="285" t="s">
        <v>377</v>
      </c>
      <c r="UXM121" s="285" t="s">
        <v>376</v>
      </c>
      <c r="UXN121" s="285" t="s">
        <v>377</v>
      </c>
      <c r="UXO121" s="285" t="s">
        <v>376</v>
      </c>
      <c r="UXP121" s="285" t="s">
        <v>377</v>
      </c>
      <c r="UXQ121" s="285" t="s">
        <v>376</v>
      </c>
      <c r="UXR121" s="285" t="s">
        <v>377</v>
      </c>
      <c r="UXS121" s="285" t="s">
        <v>376</v>
      </c>
      <c r="UXT121" s="285" t="s">
        <v>377</v>
      </c>
      <c r="UXU121" s="285" t="s">
        <v>376</v>
      </c>
      <c r="UXV121" s="285" t="s">
        <v>377</v>
      </c>
      <c r="UXW121" s="285" t="s">
        <v>376</v>
      </c>
      <c r="UXX121" s="285" t="s">
        <v>377</v>
      </c>
      <c r="UXY121" s="285" t="s">
        <v>376</v>
      </c>
      <c r="UXZ121" s="285" t="s">
        <v>377</v>
      </c>
      <c r="UYA121" s="285" t="s">
        <v>376</v>
      </c>
      <c r="UYB121" s="285" t="s">
        <v>377</v>
      </c>
      <c r="UYC121" s="285" t="s">
        <v>376</v>
      </c>
      <c r="UYD121" s="285" t="s">
        <v>377</v>
      </c>
      <c r="UYE121" s="285" t="s">
        <v>376</v>
      </c>
      <c r="UYF121" s="285" t="s">
        <v>377</v>
      </c>
      <c r="UYG121" s="285" t="s">
        <v>376</v>
      </c>
      <c r="UYH121" s="285" t="s">
        <v>377</v>
      </c>
      <c r="UYI121" s="285" t="s">
        <v>376</v>
      </c>
      <c r="UYJ121" s="285" t="s">
        <v>377</v>
      </c>
      <c r="UYK121" s="285" t="s">
        <v>376</v>
      </c>
      <c r="UYL121" s="285" t="s">
        <v>377</v>
      </c>
      <c r="UYM121" s="285" t="s">
        <v>376</v>
      </c>
      <c r="UYN121" s="285" t="s">
        <v>377</v>
      </c>
      <c r="UYO121" s="285" t="s">
        <v>376</v>
      </c>
      <c r="UYP121" s="285" t="s">
        <v>377</v>
      </c>
      <c r="UYQ121" s="285" t="s">
        <v>376</v>
      </c>
      <c r="UYR121" s="285" t="s">
        <v>377</v>
      </c>
      <c r="UYS121" s="285" t="s">
        <v>376</v>
      </c>
      <c r="UYT121" s="285" t="s">
        <v>377</v>
      </c>
      <c r="UYU121" s="285" t="s">
        <v>376</v>
      </c>
      <c r="UYV121" s="285" t="s">
        <v>377</v>
      </c>
      <c r="UYW121" s="285" t="s">
        <v>376</v>
      </c>
      <c r="UYX121" s="285" t="s">
        <v>377</v>
      </c>
      <c r="UYY121" s="285" t="s">
        <v>376</v>
      </c>
      <c r="UYZ121" s="285" t="s">
        <v>377</v>
      </c>
      <c r="UZA121" s="285" t="s">
        <v>376</v>
      </c>
      <c r="UZB121" s="285" t="s">
        <v>377</v>
      </c>
      <c r="UZC121" s="285" t="s">
        <v>376</v>
      </c>
      <c r="UZD121" s="285" t="s">
        <v>377</v>
      </c>
      <c r="UZE121" s="285" t="s">
        <v>376</v>
      </c>
      <c r="UZF121" s="285" t="s">
        <v>377</v>
      </c>
      <c r="UZG121" s="285" t="s">
        <v>376</v>
      </c>
      <c r="UZH121" s="285" t="s">
        <v>377</v>
      </c>
      <c r="UZI121" s="285" t="s">
        <v>376</v>
      </c>
      <c r="UZJ121" s="285" t="s">
        <v>377</v>
      </c>
      <c r="UZK121" s="285" t="s">
        <v>376</v>
      </c>
      <c r="UZL121" s="285" t="s">
        <v>377</v>
      </c>
      <c r="UZM121" s="285" t="s">
        <v>376</v>
      </c>
      <c r="UZN121" s="285" t="s">
        <v>377</v>
      </c>
      <c r="UZO121" s="285" t="s">
        <v>376</v>
      </c>
      <c r="UZP121" s="285" t="s">
        <v>377</v>
      </c>
      <c r="UZQ121" s="285" t="s">
        <v>376</v>
      </c>
      <c r="UZR121" s="285" t="s">
        <v>377</v>
      </c>
      <c r="UZS121" s="285" t="s">
        <v>376</v>
      </c>
      <c r="UZT121" s="285" t="s">
        <v>377</v>
      </c>
      <c r="UZU121" s="285" t="s">
        <v>376</v>
      </c>
      <c r="UZV121" s="285" t="s">
        <v>377</v>
      </c>
      <c r="UZW121" s="285" t="s">
        <v>376</v>
      </c>
      <c r="UZX121" s="285" t="s">
        <v>377</v>
      </c>
      <c r="UZY121" s="285" t="s">
        <v>376</v>
      </c>
      <c r="UZZ121" s="285" t="s">
        <v>377</v>
      </c>
      <c r="VAA121" s="285" t="s">
        <v>376</v>
      </c>
      <c r="VAB121" s="285" t="s">
        <v>377</v>
      </c>
      <c r="VAC121" s="285" t="s">
        <v>376</v>
      </c>
      <c r="VAD121" s="285" t="s">
        <v>377</v>
      </c>
      <c r="VAE121" s="285" t="s">
        <v>376</v>
      </c>
      <c r="VAF121" s="285" t="s">
        <v>377</v>
      </c>
      <c r="VAG121" s="285" t="s">
        <v>376</v>
      </c>
      <c r="VAH121" s="285" t="s">
        <v>377</v>
      </c>
      <c r="VAI121" s="285" t="s">
        <v>376</v>
      </c>
      <c r="VAJ121" s="285" t="s">
        <v>377</v>
      </c>
      <c r="VAK121" s="285" t="s">
        <v>376</v>
      </c>
      <c r="VAL121" s="285" t="s">
        <v>377</v>
      </c>
      <c r="VAM121" s="285" t="s">
        <v>376</v>
      </c>
      <c r="VAN121" s="285" t="s">
        <v>377</v>
      </c>
      <c r="VAO121" s="285" t="s">
        <v>376</v>
      </c>
      <c r="VAP121" s="285" t="s">
        <v>377</v>
      </c>
      <c r="VAQ121" s="285" t="s">
        <v>376</v>
      </c>
      <c r="VAR121" s="285" t="s">
        <v>377</v>
      </c>
      <c r="VAS121" s="285" t="s">
        <v>376</v>
      </c>
      <c r="VAT121" s="285" t="s">
        <v>377</v>
      </c>
      <c r="VAU121" s="285" t="s">
        <v>376</v>
      </c>
      <c r="VAV121" s="285" t="s">
        <v>377</v>
      </c>
      <c r="VAW121" s="285" t="s">
        <v>376</v>
      </c>
      <c r="VAX121" s="285" t="s">
        <v>377</v>
      </c>
      <c r="VAY121" s="285" t="s">
        <v>376</v>
      </c>
      <c r="VAZ121" s="285" t="s">
        <v>377</v>
      </c>
      <c r="VBA121" s="285" t="s">
        <v>376</v>
      </c>
      <c r="VBB121" s="285" t="s">
        <v>377</v>
      </c>
      <c r="VBC121" s="285" t="s">
        <v>376</v>
      </c>
      <c r="VBD121" s="285" t="s">
        <v>377</v>
      </c>
      <c r="VBE121" s="285" t="s">
        <v>376</v>
      </c>
      <c r="VBF121" s="285" t="s">
        <v>377</v>
      </c>
      <c r="VBG121" s="285" t="s">
        <v>376</v>
      </c>
      <c r="VBH121" s="285" t="s">
        <v>377</v>
      </c>
      <c r="VBI121" s="285" t="s">
        <v>376</v>
      </c>
      <c r="VBJ121" s="285" t="s">
        <v>377</v>
      </c>
      <c r="VBK121" s="285" t="s">
        <v>376</v>
      </c>
      <c r="VBL121" s="285" t="s">
        <v>377</v>
      </c>
      <c r="VBM121" s="285" t="s">
        <v>376</v>
      </c>
      <c r="VBN121" s="285" t="s">
        <v>377</v>
      </c>
      <c r="VBO121" s="285" t="s">
        <v>376</v>
      </c>
      <c r="VBP121" s="285" t="s">
        <v>377</v>
      </c>
      <c r="VBQ121" s="285" t="s">
        <v>376</v>
      </c>
      <c r="VBR121" s="285" t="s">
        <v>377</v>
      </c>
      <c r="VBS121" s="285" t="s">
        <v>376</v>
      </c>
      <c r="VBT121" s="285" t="s">
        <v>377</v>
      </c>
      <c r="VBU121" s="285" t="s">
        <v>376</v>
      </c>
      <c r="VBV121" s="285" t="s">
        <v>377</v>
      </c>
      <c r="VBW121" s="285" t="s">
        <v>376</v>
      </c>
      <c r="VBX121" s="285" t="s">
        <v>377</v>
      </c>
      <c r="VBY121" s="285" t="s">
        <v>376</v>
      </c>
      <c r="VBZ121" s="285" t="s">
        <v>377</v>
      </c>
      <c r="VCA121" s="285" t="s">
        <v>376</v>
      </c>
      <c r="VCB121" s="285" t="s">
        <v>377</v>
      </c>
      <c r="VCC121" s="285" t="s">
        <v>376</v>
      </c>
      <c r="VCD121" s="285" t="s">
        <v>377</v>
      </c>
      <c r="VCE121" s="285" t="s">
        <v>376</v>
      </c>
      <c r="VCF121" s="285" t="s">
        <v>377</v>
      </c>
      <c r="VCG121" s="285" t="s">
        <v>376</v>
      </c>
      <c r="VCH121" s="285" t="s">
        <v>377</v>
      </c>
      <c r="VCI121" s="285" t="s">
        <v>376</v>
      </c>
      <c r="VCJ121" s="285" t="s">
        <v>377</v>
      </c>
      <c r="VCK121" s="285" t="s">
        <v>376</v>
      </c>
      <c r="VCL121" s="285" t="s">
        <v>377</v>
      </c>
      <c r="VCM121" s="285" t="s">
        <v>376</v>
      </c>
      <c r="VCN121" s="285" t="s">
        <v>377</v>
      </c>
      <c r="VCO121" s="285" t="s">
        <v>376</v>
      </c>
      <c r="VCP121" s="285" t="s">
        <v>377</v>
      </c>
      <c r="VCQ121" s="285" t="s">
        <v>376</v>
      </c>
      <c r="VCR121" s="285" t="s">
        <v>377</v>
      </c>
      <c r="VCS121" s="285" t="s">
        <v>376</v>
      </c>
      <c r="VCT121" s="285" t="s">
        <v>377</v>
      </c>
      <c r="VCU121" s="285" t="s">
        <v>376</v>
      </c>
      <c r="VCV121" s="285" t="s">
        <v>377</v>
      </c>
      <c r="VCW121" s="285" t="s">
        <v>376</v>
      </c>
      <c r="VCX121" s="285" t="s">
        <v>377</v>
      </c>
      <c r="VCY121" s="285" t="s">
        <v>376</v>
      </c>
      <c r="VCZ121" s="285" t="s">
        <v>377</v>
      </c>
      <c r="VDA121" s="285" t="s">
        <v>376</v>
      </c>
      <c r="VDB121" s="285" t="s">
        <v>377</v>
      </c>
      <c r="VDC121" s="285" t="s">
        <v>376</v>
      </c>
      <c r="VDD121" s="285" t="s">
        <v>377</v>
      </c>
      <c r="VDE121" s="285" t="s">
        <v>376</v>
      </c>
      <c r="VDF121" s="285" t="s">
        <v>377</v>
      </c>
      <c r="VDG121" s="285" t="s">
        <v>376</v>
      </c>
      <c r="VDH121" s="285" t="s">
        <v>377</v>
      </c>
      <c r="VDI121" s="285" t="s">
        <v>376</v>
      </c>
      <c r="VDJ121" s="285" t="s">
        <v>377</v>
      </c>
      <c r="VDK121" s="285" t="s">
        <v>376</v>
      </c>
      <c r="VDL121" s="285" t="s">
        <v>377</v>
      </c>
      <c r="VDM121" s="285" t="s">
        <v>376</v>
      </c>
      <c r="VDN121" s="285" t="s">
        <v>377</v>
      </c>
      <c r="VDO121" s="285" t="s">
        <v>376</v>
      </c>
      <c r="VDP121" s="285" t="s">
        <v>377</v>
      </c>
      <c r="VDQ121" s="285" t="s">
        <v>376</v>
      </c>
      <c r="VDR121" s="285" t="s">
        <v>377</v>
      </c>
      <c r="VDS121" s="285" t="s">
        <v>376</v>
      </c>
      <c r="VDT121" s="285" t="s">
        <v>377</v>
      </c>
      <c r="VDU121" s="285" t="s">
        <v>376</v>
      </c>
      <c r="VDV121" s="285" t="s">
        <v>377</v>
      </c>
      <c r="VDW121" s="285" t="s">
        <v>376</v>
      </c>
      <c r="VDX121" s="285" t="s">
        <v>377</v>
      </c>
      <c r="VDY121" s="285" t="s">
        <v>376</v>
      </c>
      <c r="VDZ121" s="285" t="s">
        <v>377</v>
      </c>
      <c r="VEA121" s="285" t="s">
        <v>376</v>
      </c>
      <c r="VEB121" s="285" t="s">
        <v>377</v>
      </c>
      <c r="VEC121" s="285" t="s">
        <v>376</v>
      </c>
      <c r="VED121" s="285" t="s">
        <v>377</v>
      </c>
      <c r="VEE121" s="285" t="s">
        <v>376</v>
      </c>
      <c r="VEF121" s="285" t="s">
        <v>377</v>
      </c>
      <c r="VEG121" s="285" t="s">
        <v>376</v>
      </c>
      <c r="VEH121" s="285" t="s">
        <v>377</v>
      </c>
      <c r="VEI121" s="285" t="s">
        <v>376</v>
      </c>
      <c r="VEJ121" s="285" t="s">
        <v>377</v>
      </c>
      <c r="VEK121" s="285" t="s">
        <v>376</v>
      </c>
      <c r="VEL121" s="285" t="s">
        <v>377</v>
      </c>
      <c r="VEM121" s="285" t="s">
        <v>376</v>
      </c>
      <c r="VEN121" s="285" t="s">
        <v>377</v>
      </c>
      <c r="VEO121" s="285" t="s">
        <v>376</v>
      </c>
      <c r="VEP121" s="285" t="s">
        <v>377</v>
      </c>
      <c r="VEQ121" s="285" t="s">
        <v>376</v>
      </c>
      <c r="VER121" s="285" t="s">
        <v>377</v>
      </c>
      <c r="VES121" s="285" t="s">
        <v>376</v>
      </c>
      <c r="VET121" s="285" t="s">
        <v>377</v>
      </c>
      <c r="VEU121" s="285" t="s">
        <v>376</v>
      </c>
      <c r="VEV121" s="285" t="s">
        <v>377</v>
      </c>
      <c r="VEW121" s="285" t="s">
        <v>376</v>
      </c>
      <c r="VEX121" s="285" t="s">
        <v>377</v>
      </c>
      <c r="VEY121" s="285" t="s">
        <v>376</v>
      </c>
      <c r="VEZ121" s="285" t="s">
        <v>377</v>
      </c>
      <c r="VFA121" s="285" t="s">
        <v>376</v>
      </c>
      <c r="VFB121" s="285" t="s">
        <v>377</v>
      </c>
      <c r="VFC121" s="285" t="s">
        <v>376</v>
      </c>
      <c r="VFD121" s="285" t="s">
        <v>377</v>
      </c>
      <c r="VFE121" s="285" t="s">
        <v>376</v>
      </c>
      <c r="VFF121" s="285" t="s">
        <v>377</v>
      </c>
      <c r="VFG121" s="285" t="s">
        <v>376</v>
      </c>
      <c r="VFH121" s="285" t="s">
        <v>377</v>
      </c>
      <c r="VFI121" s="285" t="s">
        <v>376</v>
      </c>
      <c r="VFJ121" s="285" t="s">
        <v>377</v>
      </c>
      <c r="VFK121" s="285" t="s">
        <v>376</v>
      </c>
      <c r="VFL121" s="285" t="s">
        <v>377</v>
      </c>
      <c r="VFM121" s="285" t="s">
        <v>376</v>
      </c>
      <c r="VFN121" s="285" t="s">
        <v>377</v>
      </c>
      <c r="VFO121" s="285" t="s">
        <v>376</v>
      </c>
      <c r="VFP121" s="285" t="s">
        <v>377</v>
      </c>
      <c r="VFQ121" s="285" t="s">
        <v>376</v>
      </c>
      <c r="VFR121" s="285" t="s">
        <v>377</v>
      </c>
      <c r="VFS121" s="285" t="s">
        <v>376</v>
      </c>
      <c r="VFT121" s="285" t="s">
        <v>377</v>
      </c>
      <c r="VFU121" s="285" t="s">
        <v>376</v>
      </c>
      <c r="VFV121" s="285" t="s">
        <v>377</v>
      </c>
      <c r="VFW121" s="285" t="s">
        <v>376</v>
      </c>
      <c r="VFX121" s="285" t="s">
        <v>377</v>
      </c>
      <c r="VFY121" s="285" t="s">
        <v>376</v>
      </c>
      <c r="VFZ121" s="285" t="s">
        <v>377</v>
      </c>
      <c r="VGA121" s="285" t="s">
        <v>376</v>
      </c>
      <c r="VGB121" s="285" t="s">
        <v>377</v>
      </c>
      <c r="VGC121" s="285" t="s">
        <v>376</v>
      </c>
      <c r="VGD121" s="285" t="s">
        <v>377</v>
      </c>
      <c r="VGE121" s="285" t="s">
        <v>376</v>
      </c>
      <c r="VGF121" s="285" t="s">
        <v>377</v>
      </c>
      <c r="VGG121" s="285" t="s">
        <v>376</v>
      </c>
      <c r="VGH121" s="285" t="s">
        <v>377</v>
      </c>
      <c r="VGI121" s="285" t="s">
        <v>376</v>
      </c>
      <c r="VGJ121" s="285" t="s">
        <v>377</v>
      </c>
      <c r="VGK121" s="285" t="s">
        <v>376</v>
      </c>
      <c r="VGL121" s="285" t="s">
        <v>377</v>
      </c>
      <c r="VGM121" s="285" t="s">
        <v>376</v>
      </c>
      <c r="VGN121" s="285" t="s">
        <v>377</v>
      </c>
      <c r="VGO121" s="285" t="s">
        <v>376</v>
      </c>
      <c r="VGP121" s="285" t="s">
        <v>377</v>
      </c>
      <c r="VGQ121" s="285" t="s">
        <v>376</v>
      </c>
      <c r="VGR121" s="285" t="s">
        <v>377</v>
      </c>
      <c r="VGS121" s="285" t="s">
        <v>376</v>
      </c>
      <c r="VGT121" s="285" t="s">
        <v>377</v>
      </c>
      <c r="VGU121" s="285" t="s">
        <v>376</v>
      </c>
      <c r="VGV121" s="285" t="s">
        <v>377</v>
      </c>
      <c r="VGW121" s="285" t="s">
        <v>376</v>
      </c>
      <c r="VGX121" s="285" t="s">
        <v>377</v>
      </c>
      <c r="VGY121" s="285" t="s">
        <v>376</v>
      </c>
      <c r="VGZ121" s="285" t="s">
        <v>377</v>
      </c>
      <c r="VHA121" s="285" t="s">
        <v>376</v>
      </c>
      <c r="VHB121" s="285" t="s">
        <v>377</v>
      </c>
      <c r="VHC121" s="285" t="s">
        <v>376</v>
      </c>
      <c r="VHD121" s="285" t="s">
        <v>377</v>
      </c>
      <c r="VHE121" s="285" t="s">
        <v>376</v>
      </c>
      <c r="VHF121" s="285" t="s">
        <v>377</v>
      </c>
      <c r="VHG121" s="285" t="s">
        <v>376</v>
      </c>
      <c r="VHH121" s="285" t="s">
        <v>377</v>
      </c>
      <c r="VHI121" s="285" t="s">
        <v>376</v>
      </c>
      <c r="VHJ121" s="285" t="s">
        <v>377</v>
      </c>
      <c r="VHK121" s="285" t="s">
        <v>376</v>
      </c>
      <c r="VHL121" s="285" t="s">
        <v>377</v>
      </c>
      <c r="VHM121" s="285" t="s">
        <v>376</v>
      </c>
      <c r="VHN121" s="285" t="s">
        <v>377</v>
      </c>
      <c r="VHO121" s="285" t="s">
        <v>376</v>
      </c>
      <c r="VHP121" s="285" t="s">
        <v>377</v>
      </c>
      <c r="VHQ121" s="285" t="s">
        <v>376</v>
      </c>
      <c r="VHR121" s="285" t="s">
        <v>377</v>
      </c>
      <c r="VHS121" s="285" t="s">
        <v>376</v>
      </c>
      <c r="VHT121" s="285" t="s">
        <v>377</v>
      </c>
      <c r="VHU121" s="285" t="s">
        <v>376</v>
      </c>
      <c r="VHV121" s="285" t="s">
        <v>377</v>
      </c>
      <c r="VHW121" s="285" t="s">
        <v>376</v>
      </c>
      <c r="VHX121" s="285" t="s">
        <v>377</v>
      </c>
      <c r="VHY121" s="285" t="s">
        <v>376</v>
      </c>
      <c r="VHZ121" s="285" t="s">
        <v>377</v>
      </c>
      <c r="VIA121" s="285" t="s">
        <v>376</v>
      </c>
      <c r="VIB121" s="285" t="s">
        <v>377</v>
      </c>
      <c r="VIC121" s="285" t="s">
        <v>376</v>
      </c>
      <c r="VID121" s="285" t="s">
        <v>377</v>
      </c>
      <c r="VIE121" s="285" t="s">
        <v>376</v>
      </c>
      <c r="VIF121" s="285" t="s">
        <v>377</v>
      </c>
      <c r="VIG121" s="285" t="s">
        <v>376</v>
      </c>
      <c r="VIH121" s="285" t="s">
        <v>377</v>
      </c>
      <c r="VII121" s="285" t="s">
        <v>376</v>
      </c>
      <c r="VIJ121" s="285" t="s">
        <v>377</v>
      </c>
      <c r="VIK121" s="285" t="s">
        <v>376</v>
      </c>
      <c r="VIL121" s="285" t="s">
        <v>377</v>
      </c>
      <c r="VIM121" s="285" t="s">
        <v>376</v>
      </c>
      <c r="VIN121" s="285" t="s">
        <v>377</v>
      </c>
      <c r="VIO121" s="285" t="s">
        <v>376</v>
      </c>
      <c r="VIP121" s="285" t="s">
        <v>377</v>
      </c>
      <c r="VIQ121" s="285" t="s">
        <v>376</v>
      </c>
      <c r="VIR121" s="285" t="s">
        <v>377</v>
      </c>
      <c r="VIS121" s="285" t="s">
        <v>376</v>
      </c>
      <c r="VIT121" s="285" t="s">
        <v>377</v>
      </c>
      <c r="VIU121" s="285" t="s">
        <v>376</v>
      </c>
      <c r="VIV121" s="285" t="s">
        <v>377</v>
      </c>
      <c r="VIW121" s="285" t="s">
        <v>376</v>
      </c>
      <c r="VIX121" s="285" t="s">
        <v>377</v>
      </c>
      <c r="VIY121" s="285" t="s">
        <v>376</v>
      </c>
      <c r="VIZ121" s="285" t="s">
        <v>377</v>
      </c>
      <c r="VJA121" s="285" t="s">
        <v>376</v>
      </c>
      <c r="VJB121" s="285" t="s">
        <v>377</v>
      </c>
      <c r="VJC121" s="285" t="s">
        <v>376</v>
      </c>
      <c r="VJD121" s="285" t="s">
        <v>377</v>
      </c>
      <c r="VJE121" s="285" t="s">
        <v>376</v>
      </c>
      <c r="VJF121" s="285" t="s">
        <v>377</v>
      </c>
      <c r="VJG121" s="285" t="s">
        <v>376</v>
      </c>
      <c r="VJH121" s="285" t="s">
        <v>377</v>
      </c>
      <c r="VJI121" s="285" t="s">
        <v>376</v>
      </c>
      <c r="VJJ121" s="285" t="s">
        <v>377</v>
      </c>
      <c r="VJK121" s="285" t="s">
        <v>376</v>
      </c>
      <c r="VJL121" s="285" t="s">
        <v>377</v>
      </c>
      <c r="VJM121" s="285" t="s">
        <v>376</v>
      </c>
      <c r="VJN121" s="285" t="s">
        <v>377</v>
      </c>
      <c r="VJO121" s="285" t="s">
        <v>376</v>
      </c>
      <c r="VJP121" s="285" t="s">
        <v>377</v>
      </c>
      <c r="VJQ121" s="285" t="s">
        <v>376</v>
      </c>
      <c r="VJR121" s="285" t="s">
        <v>377</v>
      </c>
      <c r="VJS121" s="285" t="s">
        <v>376</v>
      </c>
      <c r="VJT121" s="285" t="s">
        <v>377</v>
      </c>
      <c r="VJU121" s="285" t="s">
        <v>376</v>
      </c>
      <c r="VJV121" s="285" t="s">
        <v>377</v>
      </c>
      <c r="VJW121" s="285" t="s">
        <v>376</v>
      </c>
      <c r="VJX121" s="285" t="s">
        <v>377</v>
      </c>
      <c r="VJY121" s="285" t="s">
        <v>376</v>
      </c>
      <c r="VJZ121" s="285" t="s">
        <v>377</v>
      </c>
      <c r="VKA121" s="285" t="s">
        <v>376</v>
      </c>
      <c r="VKB121" s="285" t="s">
        <v>377</v>
      </c>
      <c r="VKC121" s="285" t="s">
        <v>376</v>
      </c>
      <c r="VKD121" s="285" t="s">
        <v>377</v>
      </c>
      <c r="VKE121" s="285" t="s">
        <v>376</v>
      </c>
      <c r="VKF121" s="285" t="s">
        <v>377</v>
      </c>
      <c r="VKG121" s="285" t="s">
        <v>376</v>
      </c>
      <c r="VKH121" s="285" t="s">
        <v>377</v>
      </c>
      <c r="VKI121" s="285" t="s">
        <v>376</v>
      </c>
      <c r="VKJ121" s="285" t="s">
        <v>377</v>
      </c>
      <c r="VKK121" s="285" t="s">
        <v>376</v>
      </c>
      <c r="VKL121" s="285" t="s">
        <v>377</v>
      </c>
      <c r="VKM121" s="285" t="s">
        <v>376</v>
      </c>
      <c r="VKN121" s="285" t="s">
        <v>377</v>
      </c>
      <c r="VKO121" s="285" t="s">
        <v>376</v>
      </c>
      <c r="VKP121" s="285" t="s">
        <v>377</v>
      </c>
      <c r="VKQ121" s="285" t="s">
        <v>376</v>
      </c>
      <c r="VKR121" s="285" t="s">
        <v>377</v>
      </c>
      <c r="VKS121" s="285" t="s">
        <v>376</v>
      </c>
      <c r="VKT121" s="285" t="s">
        <v>377</v>
      </c>
      <c r="VKU121" s="285" t="s">
        <v>376</v>
      </c>
      <c r="VKV121" s="285" t="s">
        <v>377</v>
      </c>
      <c r="VKW121" s="285" t="s">
        <v>376</v>
      </c>
      <c r="VKX121" s="285" t="s">
        <v>377</v>
      </c>
      <c r="VKY121" s="285" t="s">
        <v>376</v>
      </c>
      <c r="VKZ121" s="285" t="s">
        <v>377</v>
      </c>
      <c r="VLA121" s="285" t="s">
        <v>376</v>
      </c>
      <c r="VLB121" s="285" t="s">
        <v>377</v>
      </c>
      <c r="VLC121" s="285" t="s">
        <v>376</v>
      </c>
      <c r="VLD121" s="285" t="s">
        <v>377</v>
      </c>
      <c r="VLE121" s="285" t="s">
        <v>376</v>
      </c>
      <c r="VLF121" s="285" t="s">
        <v>377</v>
      </c>
      <c r="VLG121" s="285" t="s">
        <v>376</v>
      </c>
      <c r="VLH121" s="285" t="s">
        <v>377</v>
      </c>
      <c r="VLI121" s="285" t="s">
        <v>376</v>
      </c>
      <c r="VLJ121" s="285" t="s">
        <v>377</v>
      </c>
      <c r="VLK121" s="285" t="s">
        <v>376</v>
      </c>
      <c r="VLL121" s="285" t="s">
        <v>377</v>
      </c>
      <c r="VLM121" s="285" t="s">
        <v>376</v>
      </c>
      <c r="VLN121" s="285" t="s">
        <v>377</v>
      </c>
      <c r="VLO121" s="285" t="s">
        <v>376</v>
      </c>
      <c r="VLP121" s="285" t="s">
        <v>377</v>
      </c>
      <c r="VLQ121" s="285" t="s">
        <v>376</v>
      </c>
      <c r="VLR121" s="285" t="s">
        <v>377</v>
      </c>
      <c r="VLS121" s="285" t="s">
        <v>376</v>
      </c>
      <c r="VLT121" s="285" t="s">
        <v>377</v>
      </c>
      <c r="VLU121" s="285" t="s">
        <v>376</v>
      </c>
      <c r="VLV121" s="285" t="s">
        <v>377</v>
      </c>
      <c r="VLW121" s="285" t="s">
        <v>376</v>
      </c>
      <c r="VLX121" s="285" t="s">
        <v>377</v>
      </c>
      <c r="VLY121" s="285" t="s">
        <v>376</v>
      </c>
      <c r="VLZ121" s="285" t="s">
        <v>377</v>
      </c>
      <c r="VMA121" s="285" t="s">
        <v>376</v>
      </c>
      <c r="VMB121" s="285" t="s">
        <v>377</v>
      </c>
      <c r="VMC121" s="285" t="s">
        <v>376</v>
      </c>
      <c r="VMD121" s="285" t="s">
        <v>377</v>
      </c>
      <c r="VME121" s="285" t="s">
        <v>376</v>
      </c>
      <c r="VMF121" s="285" t="s">
        <v>377</v>
      </c>
      <c r="VMG121" s="285" t="s">
        <v>376</v>
      </c>
      <c r="VMH121" s="285" t="s">
        <v>377</v>
      </c>
      <c r="VMI121" s="285" t="s">
        <v>376</v>
      </c>
      <c r="VMJ121" s="285" t="s">
        <v>377</v>
      </c>
      <c r="VMK121" s="285" t="s">
        <v>376</v>
      </c>
      <c r="VML121" s="285" t="s">
        <v>377</v>
      </c>
      <c r="VMM121" s="285" t="s">
        <v>376</v>
      </c>
      <c r="VMN121" s="285" t="s">
        <v>377</v>
      </c>
      <c r="VMO121" s="285" t="s">
        <v>376</v>
      </c>
      <c r="VMP121" s="285" t="s">
        <v>377</v>
      </c>
      <c r="VMQ121" s="285" t="s">
        <v>376</v>
      </c>
      <c r="VMR121" s="285" t="s">
        <v>377</v>
      </c>
      <c r="VMS121" s="285" t="s">
        <v>376</v>
      </c>
      <c r="VMT121" s="285" t="s">
        <v>377</v>
      </c>
      <c r="VMU121" s="285" t="s">
        <v>376</v>
      </c>
      <c r="VMV121" s="285" t="s">
        <v>377</v>
      </c>
      <c r="VMW121" s="285" t="s">
        <v>376</v>
      </c>
      <c r="VMX121" s="285" t="s">
        <v>377</v>
      </c>
      <c r="VMY121" s="285" t="s">
        <v>376</v>
      </c>
      <c r="VMZ121" s="285" t="s">
        <v>377</v>
      </c>
      <c r="VNA121" s="285" t="s">
        <v>376</v>
      </c>
      <c r="VNB121" s="285" t="s">
        <v>377</v>
      </c>
      <c r="VNC121" s="285" t="s">
        <v>376</v>
      </c>
      <c r="VND121" s="285" t="s">
        <v>377</v>
      </c>
      <c r="VNE121" s="285" t="s">
        <v>376</v>
      </c>
      <c r="VNF121" s="285" t="s">
        <v>377</v>
      </c>
      <c r="VNG121" s="285" t="s">
        <v>376</v>
      </c>
      <c r="VNH121" s="285" t="s">
        <v>377</v>
      </c>
      <c r="VNI121" s="285" t="s">
        <v>376</v>
      </c>
      <c r="VNJ121" s="285" t="s">
        <v>377</v>
      </c>
      <c r="VNK121" s="285" t="s">
        <v>376</v>
      </c>
      <c r="VNL121" s="285" t="s">
        <v>377</v>
      </c>
      <c r="VNM121" s="285" t="s">
        <v>376</v>
      </c>
      <c r="VNN121" s="285" t="s">
        <v>377</v>
      </c>
      <c r="VNO121" s="285" t="s">
        <v>376</v>
      </c>
      <c r="VNP121" s="285" t="s">
        <v>377</v>
      </c>
      <c r="VNQ121" s="285" t="s">
        <v>376</v>
      </c>
      <c r="VNR121" s="285" t="s">
        <v>377</v>
      </c>
      <c r="VNS121" s="285" t="s">
        <v>376</v>
      </c>
      <c r="VNT121" s="285" t="s">
        <v>377</v>
      </c>
      <c r="VNU121" s="285" t="s">
        <v>376</v>
      </c>
      <c r="VNV121" s="285" t="s">
        <v>377</v>
      </c>
      <c r="VNW121" s="285" t="s">
        <v>376</v>
      </c>
      <c r="VNX121" s="285" t="s">
        <v>377</v>
      </c>
      <c r="VNY121" s="285" t="s">
        <v>376</v>
      </c>
      <c r="VNZ121" s="285" t="s">
        <v>377</v>
      </c>
      <c r="VOA121" s="285" t="s">
        <v>376</v>
      </c>
      <c r="VOB121" s="285" t="s">
        <v>377</v>
      </c>
      <c r="VOC121" s="285" t="s">
        <v>376</v>
      </c>
      <c r="VOD121" s="285" t="s">
        <v>377</v>
      </c>
      <c r="VOE121" s="285" t="s">
        <v>376</v>
      </c>
      <c r="VOF121" s="285" t="s">
        <v>377</v>
      </c>
      <c r="VOG121" s="285" t="s">
        <v>376</v>
      </c>
      <c r="VOH121" s="285" t="s">
        <v>377</v>
      </c>
      <c r="VOI121" s="285" t="s">
        <v>376</v>
      </c>
      <c r="VOJ121" s="285" t="s">
        <v>377</v>
      </c>
      <c r="VOK121" s="285" t="s">
        <v>376</v>
      </c>
      <c r="VOL121" s="285" t="s">
        <v>377</v>
      </c>
      <c r="VOM121" s="285" t="s">
        <v>376</v>
      </c>
      <c r="VON121" s="285" t="s">
        <v>377</v>
      </c>
      <c r="VOO121" s="285" t="s">
        <v>376</v>
      </c>
      <c r="VOP121" s="285" t="s">
        <v>377</v>
      </c>
      <c r="VOQ121" s="285" t="s">
        <v>376</v>
      </c>
      <c r="VOR121" s="285" t="s">
        <v>377</v>
      </c>
      <c r="VOS121" s="285" t="s">
        <v>376</v>
      </c>
      <c r="VOT121" s="285" t="s">
        <v>377</v>
      </c>
      <c r="VOU121" s="285" t="s">
        <v>376</v>
      </c>
      <c r="VOV121" s="285" t="s">
        <v>377</v>
      </c>
      <c r="VOW121" s="285" t="s">
        <v>376</v>
      </c>
      <c r="VOX121" s="285" t="s">
        <v>377</v>
      </c>
      <c r="VOY121" s="285" t="s">
        <v>376</v>
      </c>
      <c r="VOZ121" s="285" t="s">
        <v>377</v>
      </c>
      <c r="VPA121" s="285" t="s">
        <v>376</v>
      </c>
      <c r="VPB121" s="285" t="s">
        <v>377</v>
      </c>
      <c r="VPC121" s="285" t="s">
        <v>376</v>
      </c>
      <c r="VPD121" s="285" t="s">
        <v>377</v>
      </c>
      <c r="VPE121" s="285" t="s">
        <v>376</v>
      </c>
      <c r="VPF121" s="285" t="s">
        <v>377</v>
      </c>
      <c r="VPG121" s="285" t="s">
        <v>376</v>
      </c>
      <c r="VPH121" s="285" t="s">
        <v>377</v>
      </c>
      <c r="VPI121" s="285" t="s">
        <v>376</v>
      </c>
      <c r="VPJ121" s="285" t="s">
        <v>377</v>
      </c>
      <c r="VPK121" s="285" t="s">
        <v>376</v>
      </c>
      <c r="VPL121" s="285" t="s">
        <v>377</v>
      </c>
      <c r="VPM121" s="285" t="s">
        <v>376</v>
      </c>
      <c r="VPN121" s="285" t="s">
        <v>377</v>
      </c>
      <c r="VPO121" s="285" t="s">
        <v>376</v>
      </c>
      <c r="VPP121" s="285" t="s">
        <v>377</v>
      </c>
      <c r="VPQ121" s="285" t="s">
        <v>376</v>
      </c>
      <c r="VPR121" s="285" t="s">
        <v>377</v>
      </c>
      <c r="VPS121" s="285" t="s">
        <v>376</v>
      </c>
      <c r="VPT121" s="285" t="s">
        <v>377</v>
      </c>
      <c r="VPU121" s="285" t="s">
        <v>376</v>
      </c>
      <c r="VPV121" s="285" t="s">
        <v>377</v>
      </c>
      <c r="VPW121" s="285" t="s">
        <v>376</v>
      </c>
      <c r="VPX121" s="285" t="s">
        <v>377</v>
      </c>
      <c r="VPY121" s="285" t="s">
        <v>376</v>
      </c>
      <c r="VPZ121" s="285" t="s">
        <v>377</v>
      </c>
      <c r="VQA121" s="285" t="s">
        <v>376</v>
      </c>
      <c r="VQB121" s="285" t="s">
        <v>377</v>
      </c>
      <c r="VQC121" s="285" t="s">
        <v>376</v>
      </c>
      <c r="VQD121" s="285" t="s">
        <v>377</v>
      </c>
      <c r="VQE121" s="285" t="s">
        <v>376</v>
      </c>
      <c r="VQF121" s="285" t="s">
        <v>377</v>
      </c>
      <c r="VQG121" s="285" t="s">
        <v>376</v>
      </c>
      <c r="VQH121" s="285" t="s">
        <v>377</v>
      </c>
      <c r="VQI121" s="285" t="s">
        <v>376</v>
      </c>
      <c r="VQJ121" s="285" t="s">
        <v>377</v>
      </c>
      <c r="VQK121" s="285" t="s">
        <v>376</v>
      </c>
      <c r="VQL121" s="285" t="s">
        <v>377</v>
      </c>
      <c r="VQM121" s="285" t="s">
        <v>376</v>
      </c>
      <c r="VQN121" s="285" t="s">
        <v>377</v>
      </c>
      <c r="VQO121" s="285" t="s">
        <v>376</v>
      </c>
      <c r="VQP121" s="285" t="s">
        <v>377</v>
      </c>
      <c r="VQQ121" s="285" t="s">
        <v>376</v>
      </c>
      <c r="VQR121" s="285" t="s">
        <v>377</v>
      </c>
      <c r="VQS121" s="285" t="s">
        <v>376</v>
      </c>
      <c r="VQT121" s="285" t="s">
        <v>377</v>
      </c>
      <c r="VQU121" s="285" t="s">
        <v>376</v>
      </c>
      <c r="VQV121" s="285" t="s">
        <v>377</v>
      </c>
      <c r="VQW121" s="285" t="s">
        <v>376</v>
      </c>
      <c r="VQX121" s="285" t="s">
        <v>377</v>
      </c>
      <c r="VQY121" s="285" t="s">
        <v>376</v>
      </c>
      <c r="VQZ121" s="285" t="s">
        <v>377</v>
      </c>
      <c r="VRA121" s="285" t="s">
        <v>376</v>
      </c>
      <c r="VRB121" s="285" t="s">
        <v>377</v>
      </c>
      <c r="VRC121" s="285" t="s">
        <v>376</v>
      </c>
      <c r="VRD121" s="285" t="s">
        <v>377</v>
      </c>
      <c r="VRE121" s="285" t="s">
        <v>376</v>
      </c>
      <c r="VRF121" s="285" t="s">
        <v>377</v>
      </c>
      <c r="VRG121" s="285" t="s">
        <v>376</v>
      </c>
      <c r="VRH121" s="285" t="s">
        <v>377</v>
      </c>
      <c r="VRI121" s="285" t="s">
        <v>376</v>
      </c>
      <c r="VRJ121" s="285" t="s">
        <v>377</v>
      </c>
      <c r="VRK121" s="285" t="s">
        <v>376</v>
      </c>
      <c r="VRL121" s="285" t="s">
        <v>377</v>
      </c>
      <c r="VRM121" s="285" t="s">
        <v>376</v>
      </c>
      <c r="VRN121" s="285" t="s">
        <v>377</v>
      </c>
      <c r="VRO121" s="285" t="s">
        <v>376</v>
      </c>
      <c r="VRP121" s="285" t="s">
        <v>377</v>
      </c>
      <c r="VRQ121" s="285" t="s">
        <v>376</v>
      </c>
      <c r="VRR121" s="285" t="s">
        <v>377</v>
      </c>
      <c r="VRS121" s="285" t="s">
        <v>376</v>
      </c>
      <c r="VRT121" s="285" t="s">
        <v>377</v>
      </c>
      <c r="VRU121" s="285" t="s">
        <v>376</v>
      </c>
      <c r="VRV121" s="285" t="s">
        <v>377</v>
      </c>
      <c r="VRW121" s="285" t="s">
        <v>376</v>
      </c>
      <c r="VRX121" s="285" t="s">
        <v>377</v>
      </c>
      <c r="VRY121" s="285" t="s">
        <v>376</v>
      </c>
      <c r="VRZ121" s="285" t="s">
        <v>377</v>
      </c>
      <c r="VSA121" s="285" t="s">
        <v>376</v>
      </c>
      <c r="VSB121" s="285" t="s">
        <v>377</v>
      </c>
      <c r="VSC121" s="285" t="s">
        <v>376</v>
      </c>
      <c r="VSD121" s="285" t="s">
        <v>377</v>
      </c>
      <c r="VSE121" s="285" t="s">
        <v>376</v>
      </c>
      <c r="VSF121" s="285" t="s">
        <v>377</v>
      </c>
      <c r="VSG121" s="285" t="s">
        <v>376</v>
      </c>
      <c r="VSH121" s="285" t="s">
        <v>377</v>
      </c>
      <c r="VSI121" s="285" t="s">
        <v>376</v>
      </c>
      <c r="VSJ121" s="285" t="s">
        <v>377</v>
      </c>
      <c r="VSK121" s="285" t="s">
        <v>376</v>
      </c>
      <c r="VSL121" s="285" t="s">
        <v>377</v>
      </c>
      <c r="VSM121" s="285" t="s">
        <v>376</v>
      </c>
      <c r="VSN121" s="285" t="s">
        <v>377</v>
      </c>
      <c r="VSO121" s="285" t="s">
        <v>376</v>
      </c>
      <c r="VSP121" s="285" t="s">
        <v>377</v>
      </c>
      <c r="VSQ121" s="285" t="s">
        <v>376</v>
      </c>
      <c r="VSR121" s="285" t="s">
        <v>377</v>
      </c>
      <c r="VSS121" s="285" t="s">
        <v>376</v>
      </c>
      <c r="VST121" s="285" t="s">
        <v>377</v>
      </c>
      <c r="VSU121" s="285" t="s">
        <v>376</v>
      </c>
      <c r="VSV121" s="285" t="s">
        <v>377</v>
      </c>
      <c r="VSW121" s="285" t="s">
        <v>376</v>
      </c>
      <c r="VSX121" s="285" t="s">
        <v>377</v>
      </c>
      <c r="VSY121" s="285" t="s">
        <v>376</v>
      </c>
      <c r="VSZ121" s="285" t="s">
        <v>377</v>
      </c>
      <c r="VTA121" s="285" t="s">
        <v>376</v>
      </c>
      <c r="VTB121" s="285" t="s">
        <v>377</v>
      </c>
      <c r="VTC121" s="285" t="s">
        <v>376</v>
      </c>
      <c r="VTD121" s="285" t="s">
        <v>377</v>
      </c>
      <c r="VTE121" s="285" t="s">
        <v>376</v>
      </c>
      <c r="VTF121" s="285" t="s">
        <v>377</v>
      </c>
      <c r="VTG121" s="285" t="s">
        <v>376</v>
      </c>
      <c r="VTH121" s="285" t="s">
        <v>377</v>
      </c>
      <c r="VTI121" s="285" t="s">
        <v>376</v>
      </c>
      <c r="VTJ121" s="285" t="s">
        <v>377</v>
      </c>
      <c r="VTK121" s="285" t="s">
        <v>376</v>
      </c>
      <c r="VTL121" s="285" t="s">
        <v>377</v>
      </c>
      <c r="VTM121" s="285" t="s">
        <v>376</v>
      </c>
      <c r="VTN121" s="285" t="s">
        <v>377</v>
      </c>
      <c r="VTO121" s="285" t="s">
        <v>376</v>
      </c>
      <c r="VTP121" s="285" t="s">
        <v>377</v>
      </c>
      <c r="VTQ121" s="285" t="s">
        <v>376</v>
      </c>
      <c r="VTR121" s="285" t="s">
        <v>377</v>
      </c>
      <c r="VTS121" s="285" t="s">
        <v>376</v>
      </c>
      <c r="VTT121" s="285" t="s">
        <v>377</v>
      </c>
      <c r="VTU121" s="285" t="s">
        <v>376</v>
      </c>
      <c r="VTV121" s="285" t="s">
        <v>377</v>
      </c>
      <c r="VTW121" s="285" t="s">
        <v>376</v>
      </c>
      <c r="VTX121" s="285" t="s">
        <v>377</v>
      </c>
      <c r="VTY121" s="285" t="s">
        <v>376</v>
      </c>
      <c r="VTZ121" s="285" t="s">
        <v>377</v>
      </c>
      <c r="VUA121" s="285" t="s">
        <v>376</v>
      </c>
      <c r="VUB121" s="285" t="s">
        <v>377</v>
      </c>
      <c r="VUC121" s="285" t="s">
        <v>376</v>
      </c>
      <c r="VUD121" s="285" t="s">
        <v>377</v>
      </c>
      <c r="VUE121" s="285" t="s">
        <v>376</v>
      </c>
      <c r="VUF121" s="285" t="s">
        <v>377</v>
      </c>
      <c r="VUG121" s="285" t="s">
        <v>376</v>
      </c>
      <c r="VUH121" s="285" t="s">
        <v>377</v>
      </c>
      <c r="VUI121" s="285" t="s">
        <v>376</v>
      </c>
      <c r="VUJ121" s="285" t="s">
        <v>377</v>
      </c>
      <c r="VUK121" s="285" t="s">
        <v>376</v>
      </c>
      <c r="VUL121" s="285" t="s">
        <v>377</v>
      </c>
      <c r="VUM121" s="285" t="s">
        <v>376</v>
      </c>
      <c r="VUN121" s="285" t="s">
        <v>377</v>
      </c>
      <c r="VUO121" s="285" t="s">
        <v>376</v>
      </c>
      <c r="VUP121" s="285" t="s">
        <v>377</v>
      </c>
      <c r="VUQ121" s="285" t="s">
        <v>376</v>
      </c>
      <c r="VUR121" s="285" t="s">
        <v>377</v>
      </c>
      <c r="VUS121" s="285" t="s">
        <v>376</v>
      </c>
      <c r="VUT121" s="285" t="s">
        <v>377</v>
      </c>
      <c r="VUU121" s="285" t="s">
        <v>376</v>
      </c>
      <c r="VUV121" s="285" t="s">
        <v>377</v>
      </c>
      <c r="VUW121" s="285" t="s">
        <v>376</v>
      </c>
      <c r="VUX121" s="285" t="s">
        <v>377</v>
      </c>
      <c r="VUY121" s="285" t="s">
        <v>376</v>
      </c>
      <c r="VUZ121" s="285" t="s">
        <v>377</v>
      </c>
      <c r="VVA121" s="285" t="s">
        <v>376</v>
      </c>
      <c r="VVB121" s="285" t="s">
        <v>377</v>
      </c>
      <c r="VVC121" s="285" t="s">
        <v>376</v>
      </c>
      <c r="VVD121" s="285" t="s">
        <v>377</v>
      </c>
      <c r="VVE121" s="285" t="s">
        <v>376</v>
      </c>
      <c r="VVF121" s="285" t="s">
        <v>377</v>
      </c>
      <c r="VVG121" s="285" t="s">
        <v>376</v>
      </c>
      <c r="VVH121" s="285" t="s">
        <v>377</v>
      </c>
      <c r="VVI121" s="285" t="s">
        <v>376</v>
      </c>
      <c r="VVJ121" s="285" t="s">
        <v>377</v>
      </c>
      <c r="VVK121" s="285" t="s">
        <v>376</v>
      </c>
      <c r="VVL121" s="285" t="s">
        <v>377</v>
      </c>
      <c r="VVM121" s="285" t="s">
        <v>376</v>
      </c>
      <c r="VVN121" s="285" t="s">
        <v>377</v>
      </c>
      <c r="VVO121" s="285" t="s">
        <v>376</v>
      </c>
      <c r="VVP121" s="285" t="s">
        <v>377</v>
      </c>
      <c r="VVQ121" s="285" t="s">
        <v>376</v>
      </c>
      <c r="VVR121" s="285" t="s">
        <v>377</v>
      </c>
      <c r="VVS121" s="285" t="s">
        <v>376</v>
      </c>
      <c r="VVT121" s="285" t="s">
        <v>377</v>
      </c>
      <c r="VVU121" s="285" t="s">
        <v>376</v>
      </c>
      <c r="VVV121" s="285" t="s">
        <v>377</v>
      </c>
      <c r="VVW121" s="285" t="s">
        <v>376</v>
      </c>
      <c r="VVX121" s="285" t="s">
        <v>377</v>
      </c>
      <c r="VVY121" s="285" t="s">
        <v>376</v>
      </c>
      <c r="VVZ121" s="285" t="s">
        <v>377</v>
      </c>
      <c r="VWA121" s="285" t="s">
        <v>376</v>
      </c>
      <c r="VWB121" s="285" t="s">
        <v>377</v>
      </c>
      <c r="VWC121" s="285" t="s">
        <v>376</v>
      </c>
      <c r="VWD121" s="285" t="s">
        <v>377</v>
      </c>
      <c r="VWE121" s="285" t="s">
        <v>376</v>
      </c>
      <c r="VWF121" s="285" t="s">
        <v>377</v>
      </c>
      <c r="VWG121" s="285" t="s">
        <v>376</v>
      </c>
      <c r="VWH121" s="285" t="s">
        <v>377</v>
      </c>
      <c r="VWI121" s="285" t="s">
        <v>376</v>
      </c>
      <c r="VWJ121" s="285" t="s">
        <v>377</v>
      </c>
      <c r="VWK121" s="285" t="s">
        <v>376</v>
      </c>
      <c r="VWL121" s="285" t="s">
        <v>377</v>
      </c>
      <c r="VWM121" s="285" t="s">
        <v>376</v>
      </c>
      <c r="VWN121" s="285" t="s">
        <v>377</v>
      </c>
      <c r="VWO121" s="285" t="s">
        <v>376</v>
      </c>
      <c r="VWP121" s="285" t="s">
        <v>377</v>
      </c>
      <c r="VWQ121" s="285" t="s">
        <v>376</v>
      </c>
      <c r="VWR121" s="285" t="s">
        <v>377</v>
      </c>
      <c r="VWS121" s="285" t="s">
        <v>376</v>
      </c>
      <c r="VWT121" s="285" t="s">
        <v>377</v>
      </c>
      <c r="VWU121" s="285" t="s">
        <v>376</v>
      </c>
      <c r="VWV121" s="285" t="s">
        <v>377</v>
      </c>
      <c r="VWW121" s="285" t="s">
        <v>376</v>
      </c>
      <c r="VWX121" s="285" t="s">
        <v>377</v>
      </c>
      <c r="VWY121" s="285" t="s">
        <v>376</v>
      </c>
      <c r="VWZ121" s="285" t="s">
        <v>377</v>
      </c>
      <c r="VXA121" s="285" t="s">
        <v>376</v>
      </c>
      <c r="VXB121" s="285" t="s">
        <v>377</v>
      </c>
      <c r="VXC121" s="285" t="s">
        <v>376</v>
      </c>
      <c r="VXD121" s="285" t="s">
        <v>377</v>
      </c>
      <c r="VXE121" s="285" t="s">
        <v>376</v>
      </c>
      <c r="VXF121" s="285" t="s">
        <v>377</v>
      </c>
      <c r="VXG121" s="285" t="s">
        <v>376</v>
      </c>
      <c r="VXH121" s="285" t="s">
        <v>377</v>
      </c>
      <c r="VXI121" s="285" t="s">
        <v>376</v>
      </c>
      <c r="VXJ121" s="285" t="s">
        <v>377</v>
      </c>
      <c r="VXK121" s="285" t="s">
        <v>376</v>
      </c>
      <c r="VXL121" s="285" t="s">
        <v>377</v>
      </c>
      <c r="VXM121" s="285" t="s">
        <v>376</v>
      </c>
      <c r="VXN121" s="285" t="s">
        <v>377</v>
      </c>
      <c r="VXO121" s="285" t="s">
        <v>376</v>
      </c>
      <c r="VXP121" s="285" t="s">
        <v>377</v>
      </c>
      <c r="VXQ121" s="285" t="s">
        <v>376</v>
      </c>
      <c r="VXR121" s="285" t="s">
        <v>377</v>
      </c>
      <c r="VXS121" s="285" t="s">
        <v>376</v>
      </c>
      <c r="VXT121" s="285" t="s">
        <v>377</v>
      </c>
      <c r="VXU121" s="285" t="s">
        <v>376</v>
      </c>
      <c r="VXV121" s="285" t="s">
        <v>377</v>
      </c>
      <c r="VXW121" s="285" t="s">
        <v>376</v>
      </c>
      <c r="VXX121" s="285" t="s">
        <v>377</v>
      </c>
      <c r="VXY121" s="285" t="s">
        <v>376</v>
      </c>
      <c r="VXZ121" s="285" t="s">
        <v>377</v>
      </c>
      <c r="VYA121" s="285" t="s">
        <v>376</v>
      </c>
      <c r="VYB121" s="285" t="s">
        <v>377</v>
      </c>
      <c r="VYC121" s="285" t="s">
        <v>376</v>
      </c>
      <c r="VYD121" s="285" t="s">
        <v>377</v>
      </c>
      <c r="VYE121" s="285" t="s">
        <v>376</v>
      </c>
      <c r="VYF121" s="285" t="s">
        <v>377</v>
      </c>
      <c r="VYG121" s="285" t="s">
        <v>376</v>
      </c>
      <c r="VYH121" s="285" t="s">
        <v>377</v>
      </c>
      <c r="VYI121" s="285" t="s">
        <v>376</v>
      </c>
      <c r="VYJ121" s="285" t="s">
        <v>377</v>
      </c>
      <c r="VYK121" s="285" t="s">
        <v>376</v>
      </c>
      <c r="VYL121" s="285" t="s">
        <v>377</v>
      </c>
      <c r="VYM121" s="285" t="s">
        <v>376</v>
      </c>
      <c r="VYN121" s="285" t="s">
        <v>377</v>
      </c>
      <c r="VYO121" s="285" t="s">
        <v>376</v>
      </c>
      <c r="VYP121" s="285" t="s">
        <v>377</v>
      </c>
      <c r="VYQ121" s="285" t="s">
        <v>376</v>
      </c>
      <c r="VYR121" s="285" t="s">
        <v>377</v>
      </c>
      <c r="VYS121" s="285" t="s">
        <v>376</v>
      </c>
      <c r="VYT121" s="285" t="s">
        <v>377</v>
      </c>
      <c r="VYU121" s="285" t="s">
        <v>376</v>
      </c>
      <c r="VYV121" s="285" t="s">
        <v>377</v>
      </c>
      <c r="VYW121" s="285" t="s">
        <v>376</v>
      </c>
      <c r="VYX121" s="285" t="s">
        <v>377</v>
      </c>
      <c r="VYY121" s="285" t="s">
        <v>376</v>
      </c>
      <c r="VYZ121" s="285" t="s">
        <v>377</v>
      </c>
      <c r="VZA121" s="285" t="s">
        <v>376</v>
      </c>
      <c r="VZB121" s="285" t="s">
        <v>377</v>
      </c>
      <c r="VZC121" s="285" t="s">
        <v>376</v>
      </c>
      <c r="VZD121" s="285" t="s">
        <v>377</v>
      </c>
      <c r="VZE121" s="285" t="s">
        <v>376</v>
      </c>
      <c r="VZF121" s="285" t="s">
        <v>377</v>
      </c>
      <c r="VZG121" s="285" t="s">
        <v>376</v>
      </c>
      <c r="VZH121" s="285" t="s">
        <v>377</v>
      </c>
      <c r="VZI121" s="285" t="s">
        <v>376</v>
      </c>
      <c r="VZJ121" s="285" t="s">
        <v>377</v>
      </c>
      <c r="VZK121" s="285" t="s">
        <v>376</v>
      </c>
      <c r="VZL121" s="285" t="s">
        <v>377</v>
      </c>
      <c r="VZM121" s="285" t="s">
        <v>376</v>
      </c>
      <c r="VZN121" s="285" t="s">
        <v>377</v>
      </c>
      <c r="VZO121" s="285" t="s">
        <v>376</v>
      </c>
      <c r="VZP121" s="285" t="s">
        <v>377</v>
      </c>
      <c r="VZQ121" s="285" t="s">
        <v>376</v>
      </c>
      <c r="VZR121" s="285" t="s">
        <v>377</v>
      </c>
      <c r="VZS121" s="285" t="s">
        <v>376</v>
      </c>
      <c r="VZT121" s="285" t="s">
        <v>377</v>
      </c>
      <c r="VZU121" s="285" t="s">
        <v>376</v>
      </c>
      <c r="VZV121" s="285" t="s">
        <v>377</v>
      </c>
      <c r="VZW121" s="285" t="s">
        <v>376</v>
      </c>
      <c r="VZX121" s="285" t="s">
        <v>377</v>
      </c>
      <c r="VZY121" s="285" t="s">
        <v>376</v>
      </c>
      <c r="VZZ121" s="285" t="s">
        <v>377</v>
      </c>
      <c r="WAA121" s="285" t="s">
        <v>376</v>
      </c>
      <c r="WAB121" s="285" t="s">
        <v>377</v>
      </c>
      <c r="WAC121" s="285" t="s">
        <v>376</v>
      </c>
      <c r="WAD121" s="285" t="s">
        <v>377</v>
      </c>
      <c r="WAE121" s="285" t="s">
        <v>376</v>
      </c>
      <c r="WAF121" s="285" t="s">
        <v>377</v>
      </c>
      <c r="WAG121" s="285" t="s">
        <v>376</v>
      </c>
      <c r="WAH121" s="285" t="s">
        <v>377</v>
      </c>
      <c r="WAI121" s="285" t="s">
        <v>376</v>
      </c>
      <c r="WAJ121" s="285" t="s">
        <v>377</v>
      </c>
      <c r="WAK121" s="285" t="s">
        <v>376</v>
      </c>
      <c r="WAL121" s="285" t="s">
        <v>377</v>
      </c>
      <c r="WAM121" s="285" t="s">
        <v>376</v>
      </c>
      <c r="WAN121" s="285" t="s">
        <v>377</v>
      </c>
      <c r="WAO121" s="285" t="s">
        <v>376</v>
      </c>
      <c r="WAP121" s="285" t="s">
        <v>377</v>
      </c>
      <c r="WAQ121" s="285" t="s">
        <v>376</v>
      </c>
      <c r="WAR121" s="285" t="s">
        <v>377</v>
      </c>
      <c r="WAS121" s="285" t="s">
        <v>376</v>
      </c>
      <c r="WAT121" s="285" t="s">
        <v>377</v>
      </c>
      <c r="WAU121" s="285" t="s">
        <v>376</v>
      </c>
      <c r="WAV121" s="285" t="s">
        <v>377</v>
      </c>
      <c r="WAW121" s="285" t="s">
        <v>376</v>
      </c>
      <c r="WAX121" s="285" t="s">
        <v>377</v>
      </c>
      <c r="WAY121" s="285" t="s">
        <v>376</v>
      </c>
      <c r="WAZ121" s="285" t="s">
        <v>377</v>
      </c>
      <c r="WBA121" s="285" t="s">
        <v>376</v>
      </c>
      <c r="WBB121" s="285" t="s">
        <v>377</v>
      </c>
      <c r="WBC121" s="285" t="s">
        <v>376</v>
      </c>
      <c r="WBD121" s="285" t="s">
        <v>377</v>
      </c>
      <c r="WBE121" s="285" t="s">
        <v>376</v>
      </c>
      <c r="WBF121" s="285" t="s">
        <v>377</v>
      </c>
      <c r="WBG121" s="285" t="s">
        <v>376</v>
      </c>
      <c r="WBH121" s="285" t="s">
        <v>377</v>
      </c>
      <c r="WBI121" s="285" t="s">
        <v>376</v>
      </c>
      <c r="WBJ121" s="285" t="s">
        <v>377</v>
      </c>
      <c r="WBK121" s="285" t="s">
        <v>376</v>
      </c>
      <c r="WBL121" s="285" t="s">
        <v>377</v>
      </c>
      <c r="WBM121" s="285" t="s">
        <v>376</v>
      </c>
      <c r="WBN121" s="285" t="s">
        <v>377</v>
      </c>
      <c r="WBO121" s="285" t="s">
        <v>376</v>
      </c>
      <c r="WBP121" s="285" t="s">
        <v>377</v>
      </c>
      <c r="WBQ121" s="285" t="s">
        <v>376</v>
      </c>
      <c r="WBR121" s="285" t="s">
        <v>377</v>
      </c>
      <c r="WBS121" s="285" t="s">
        <v>376</v>
      </c>
      <c r="WBT121" s="285" t="s">
        <v>377</v>
      </c>
      <c r="WBU121" s="285" t="s">
        <v>376</v>
      </c>
      <c r="WBV121" s="285" t="s">
        <v>377</v>
      </c>
      <c r="WBW121" s="285" t="s">
        <v>376</v>
      </c>
      <c r="WBX121" s="285" t="s">
        <v>377</v>
      </c>
      <c r="WBY121" s="285" t="s">
        <v>376</v>
      </c>
      <c r="WBZ121" s="285" t="s">
        <v>377</v>
      </c>
      <c r="WCA121" s="285" t="s">
        <v>376</v>
      </c>
      <c r="WCB121" s="285" t="s">
        <v>377</v>
      </c>
      <c r="WCC121" s="285" t="s">
        <v>376</v>
      </c>
      <c r="WCD121" s="285" t="s">
        <v>377</v>
      </c>
      <c r="WCE121" s="285" t="s">
        <v>376</v>
      </c>
      <c r="WCF121" s="285" t="s">
        <v>377</v>
      </c>
      <c r="WCG121" s="285" t="s">
        <v>376</v>
      </c>
      <c r="WCH121" s="285" t="s">
        <v>377</v>
      </c>
      <c r="WCI121" s="285" t="s">
        <v>376</v>
      </c>
      <c r="WCJ121" s="285" t="s">
        <v>377</v>
      </c>
      <c r="WCK121" s="285" t="s">
        <v>376</v>
      </c>
      <c r="WCL121" s="285" t="s">
        <v>377</v>
      </c>
      <c r="WCM121" s="285" t="s">
        <v>376</v>
      </c>
      <c r="WCN121" s="285" t="s">
        <v>377</v>
      </c>
      <c r="WCO121" s="285" t="s">
        <v>376</v>
      </c>
      <c r="WCP121" s="285" t="s">
        <v>377</v>
      </c>
      <c r="WCQ121" s="285" t="s">
        <v>376</v>
      </c>
      <c r="WCR121" s="285" t="s">
        <v>377</v>
      </c>
      <c r="WCS121" s="285" t="s">
        <v>376</v>
      </c>
      <c r="WCT121" s="285" t="s">
        <v>377</v>
      </c>
      <c r="WCU121" s="285" t="s">
        <v>376</v>
      </c>
      <c r="WCV121" s="285" t="s">
        <v>377</v>
      </c>
      <c r="WCW121" s="285" t="s">
        <v>376</v>
      </c>
      <c r="WCX121" s="285" t="s">
        <v>377</v>
      </c>
      <c r="WCY121" s="285" t="s">
        <v>376</v>
      </c>
      <c r="WCZ121" s="285" t="s">
        <v>377</v>
      </c>
      <c r="WDA121" s="285" t="s">
        <v>376</v>
      </c>
      <c r="WDB121" s="285" t="s">
        <v>377</v>
      </c>
      <c r="WDC121" s="285" t="s">
        <v>376</v>
      </c>
      <c r="WDD121" s="285" t="s">
        <v>377</v>
      </c>
      <c r="WDE121" s="285" t="s">
        <v>376</v>
      </c>
      <c r="WDF121" s="285" t="s">
        <v>377</v>
      </c>
      <c r="WDG121" s="285" t="s">
        <v>376</v>
      </c>
      <c r="WDH121" s="285" t="s">
        <v>377</v>
      </c>
      <c r="WDI121" s="285" t="s">
        <v>376</v>
      </c>
      <c r="WDJ121" s="285" t="s">
        <v>377</v>
      </c>
      <c r="WDK121" s="285" t="s">
        <v>376</v>
      </c>
      <c r="WDL121" s="285" t="s">
        <v>377</v>
      </c>
      <c r="WDM121" s="285" t="s">
        <v>376</v>
      </c>
      <c r="WDN121" s="285" t="s">
        <v>377</v>
      </c>
      <c r="WDO121" s="285" t="s">
        <v>376</v>
      </c>
      <c r="WDP121" s="285" t="s">
        <v>377</v>
      </c>
      <c r="WDQ121" s="285" t="s">
        <v>376</v>
      </c>
      <c r="WDR121" s="285" t="s">
        <v>377</v>
      </c>
      <c r="WDS121" s="285" t="s">
        <v>376</v>
      </c>
      <c r="WDT121" s="285" t="s">
        <v>377</v>
      </c>
      <c r="WDU121" s="285" t="s">
        <v>376</v>
      </c>
      <c r="WDV121" s="285" t="s">
        <v>377</v>
      </c>
      <c r="WDW121" s="285" t="s">
        <v>376</v>
      </c>
      <c r="WDX121" s="285" t="s">
        <v>377</v>
      </c>
      <c r="WDY121" s="285" t="s">
        <v>376</v>
      </c>
      <c r="WDZ121" s="285" t="s">
        <v>377</v>
      </c>
      <c r="WEA121" s="285" t="s">
        <v>376</v>
      </c>
      <c r="WEB121" s="285" t="s">
        <v>377</v>
      </c>
      <c r="WEC121" s="285" t="s">
        <v>376</v>
      </c>
      <c r="WED121" s="285" t="s">
        <v>377</v>
      </c>
      <c r="WEE121" s="285" t="s">
        <v>376</v>
      </c>
      <c r="WEF121" s="285" t="s">
        <v>377</v>
      </c>
      <c r="WEG121" s="285" t="s">
        <v>376</v>
      </c>
      <c r="WEH121" s="285" t="s">
        <v>377</v>
      </c>
      <c r="WEI121" s="285" t="s">
        <v>376</v>
      </c>
      <c r="WEJ121" s="285" t="s">
        <v>377</v>
      </c>
      <c r="WEK121" s="285" t="s">
        <v>376</v>
      </c>
      <c r="WEL121" s="285" t="s">
        <v>377</v>
      </c>
      <c r="WEM121" s="285" t="s">
        <v>376</v>
      </c>
      <c r="WEN121" s="285" t="s">
        <v>377</v>
      </c>
      <c r="WEO121" s="285" t="s">
        <v>376</v>
      </c>
      <c r="WEP121" s="285" t="s">
        <v>377</v>
      </c>
      <c r="WEQ121" s="285" t="s">
        <v>376</v>
      </c>
      <c r="WER121" s="285" t="s">
        <v>377</v>
      </c>
      <c r="WES121" s="285" t="s">
        <v>376</v>
      </c>
      <c r="WET121" s="285" t="s">
        <v>377</v>
      </c>
      <c r="WEU121" s="285" t="s">
        <v>376</v>
      </c>
      <c r="WEV121" s="285" t="s">
        <v>377</v>
      </c>
      <c r="WEW121" s="285" t="s">
        <v>376</v>
      </c>
      <c r="WEX121" s="285" t="s">
        <v>377</v>
      </c>
      <c r="WEY121" s="285" t="s">
        <v>376</v>
      </c>
      <c r="WEZ121" s="285" t="s">
        <v>377</v>
      </c>
      <c r="WFA121" s="285" t="s">
        <v>376</v>
      </c>
      <c r="WFB121" s="285" t="s">
        <v>377</v>
      </c>
      <c r="WFC121" s="285" t="s">
        <v>376</v>
      </c>
      <c r="WFD121" s="285" t="s">
        <v>377</v>
      </c>
      <c r="WFE121" s="285" t="s">
        <v>376</v>
      </c>
      <c r="WFF121" s="285" t="s">
        <v>377</v>
      </c>
      <c r="WFG121" s="285" t="s">
        <v>376</v>
      </c>
      <c r="WFH121" s="285" t="s">
        <v>377</v>
      </c>
      <c r="WFI121" s="285" t="s">
        <v>376</v>
      </c>
      <c r="WFJ121" s="285" t="s">
        <v>377</v>
      </c>
      <c r="WFK121" s="285" t="s">
        <v>376</v>
      </c>
      <c r="WFL121" s="285" t="s">
        <v>377</v>
      </c>
      <c r="WFM121" s="285" t="s">
        <v>376</v>
      </c>
      <c r="WFN121" s="285" t="s">
        <v>377</v>
      </c>
      <c r="WFO121" s="285" t="s">
        <v>376</v>
      </c>
      <c r="WFP121" s="285" t="s">
        <v>377</v>
      </c>
      <c r="WFQ121" s="285" t="s">
        <v>376</v>
      </c>
      <c r="WFR121" s="285" t="s">
        <v>377</v>
      </c>
      <c r="WFS121" s="285" t="s">
        <v>376</v>
      </c>
      <c r="WFT121" s="285" t="s">
        <v>377</v>
      </c>
      <c r="WFU121" s="285" t="s">
        <v>376</v>
      </c>
      <c r="WFV121" s="285" t="s">
        <v>377</v>
      </c>
      <c r="WFW121" s="285" t="s">
        <v>376</v>
      </c>
      <c r="WFX121" s="285" t="s">
        <v>377</v>
      </c>
      <c r="WFY121" s="285" t="s">
        <v>376</v>
      </c>
      <c r="WFZ121" s="285" t="s">
        <v>377</v>
      </c>
      <c r="WGA121" s="285" t="s">
        <v>376</v>
      </c>
      <c r="WGB121" s="285" t="s">
        <v>377</v>
      </c>
      <c r="WGC121" s="285" t="s">
        <v>376</v>
      </c>
      <c r="WGD121" s="285" t="s">
        <v>377</v>
      </c>
      <c r="WGE121" s="285" t="s">
        <v>376</v>
      </c>
      <c r="WGF121" s="285" t="s">
        <v>377</v>
      </c>
      <c r="WGG121" s="285" t="s">
        <v>376</v>
      </c>
      <c r="WGH121" s="285" t="s">
        <v>377</v>
      </c>
      <c r="WGI121" s="285" t="s">
        <v>376</v>
      </c>
      <c r="WGJ121" s="285" t="s">
        <v>377</v>
      </c>
      <c r="WGK121" s="285" t="s">
        <v>376</v>
      </c>
      <c r="WGL121" s="285" t="s">
        <v>377</v>
      </c>
      <c r="WGM121" s="285" t="s">
        <v>376</v>
      </c>
      <c r="WGN121" s="285" t="s">
        <v>377</v>
      </c>
      <c r="WGO121" s="285" t="s">
        <v>376</v>
      </c>
      <c r="WGP121" s="285" t="s">
        <v>377</v>
      </c>
      <c r="WGQ121" s="285" t="s">
        <v>376</v>
      </c>
      <c r="WGR121" s="285" t="s">
        <v>377</v>
      </c>
      <c r="WGS121" s="285" t="s">
        <v>376</v>
      </c>
      <c r="WGT121" s="285" t="s">
        <v>377</v>
      </c>
      <c r="WGU121" s="285" t="s">
        <v>376</v>
      </c>
      <c r="WGV121" s="285" t="s">
        <v>377</v>
      </c>
      <c r="WGW121" s="285" t="s">
        <v>376</v>
      </c>
      <c r="WGX121" s="285" t="s">
        <v>377</v>
      </c>
      <c r="WGY121" s="285" t="s">
        <v>376</v>
      </c>
      <c r="WGZ121" s="285" t="s">
        <v>377</v>
      </c>
      <c r="WHA121" s="285" t="s">
        <v>376</v>
      </c>
      <c r="WHB121" s="285" t="s">
        <v>377</v>
      </c>
      <c r="WHC121" s="285" t="s">
        <v>376</v>
      </c>
      <c r="WHD121" s="285" t="s">
        <v>377</v>
      </c>
      <c r="WHE121" s="285" t="s">
        <v>376</v>
      </c>
      <c r="WHF121" s="285" t="s">
        <v>377</v>
      </c>
      <c r="WHG121" s="285" t="s">
        <v>376</v>
      </c>
      <c r="WHH121" s="285" t="s">
        <v>377</v>
      </c>
      <c r="WHI121" s="285" t="s">
        <v>376</v>
      </c>
      <c r="WHJ121" s="285" t="s">
        <v>377</v>
      </c>
      <c r="WHK121" s="285" t="s">
        <v>376</v>
      </c>
      <c r="WHL121" s="285" t="s">
        <v>377</v>
      </c>
      <c r="WHM121" s="285" t="s">
        <v>376</v>
      </c>
      <c r="WHN121" s="285" t="s">
        <v>377</v>
      </c>
      <c r="WHO121" s="285" t="s">
        <v>376</v>
      </c>
      <c r="WHP121" s="285" t="s">
        <v>377</v>
      </c>
      <c r="WHQ121" s="285" t="s">
        <v>376</v>
      </c>
      <c r="WHR121" s="285" t="s">
        <v>377</v>
      </c>
      <c r="WHS121" s="285" t="s">
        <v>376</v>
      </c>
      <c r="WHT121" s="285" t="s">
        <v>377</v>
      </c>
      <c r="WHU121" s="285" t="s">
        <v>376</v>
      </c>
      <c r="WHV121" s="285" t="s">
        <v>377</v>
      </c>
      <c r="WHW121" s="285" t="s">
        <v>376</v>
      </c>
      <c r="WHX121" s="285" t="s">
        <v>377</v>
      </c>
      <c r="WHY121" s="285" t="s">
        <v>376</v>
      </c>
      <c r="WHZ121" s="285" t="s">
        <v>377</v>
      </c>
      <c r="WIA121" s="285" t="s">
        <v>376</v>
      </c>
      <c r="WIB121" s="285" t="s">
        <v>377</v>
      </c>
      <c r="WIC121" s="285" t="s">
        <v>376</v>
      </c>
      <c r="WID121" s="285" t="s">
        <v>377</v>
      </c>
      <c r="WIE121" s="285" t="s">
        <v>376</v>
      </c>
      <c r="WIF121" s="285" t="s">
        <v>377</v>
      </c>
      <c r="WIG121" s="285" t="s">
        <v>376</v>
      </c>
      <c r="WIH121" s="285" t="s">
        <v>377</v>
      </c>
      <c r="WII121" s="285" t="s">
        <v>376</v>
      </c>
      <c r="WIJ121" s="285" t="s">
        <v>377</v>
      </c>
      <c r="WIK121" s="285" t="s">
        <v>376</v>
      </c>
      <c r="WIL121" s="285" t="s">
        <v>377</v>
      </c>
      <c r="WIM121" s="285" t="s">
        <v>376</v>
      </c>
      <c r="WIN121" s="285" t="s">
        <v>377</v>
      </c>
      <c r="WIO121" s="285" t="s">
        <v>376</v>
      </c>
      <c r="WIP121" s="285" t="s">
        <v>377</v>
      </c>
      <c r="WIQ121" s="285" t="s">
        <v>376</v>
      </c>
      <c r="WIR121" s="285" t="s">
        <v>377</v>
      </c>
      <c r="WIS121" s="285" t="s">
        <v>376</v>
      </c>
      <c r="WIT121" s="285" t="s">
        <v>377</v>
      </c>
      <c r="WIU121" s="285" t="s">
        <v>376</v>
      </c>
      <c r="WIV121" s="285" t="s">
        <v>377</v>
      </c>
      <c r="WIW121" s="285" t="s">
        <v>376</v>
      </c>
      <c r="WIX121" s="285" t="s">
        <v>377</v>
      </c>
      <c r="WIY121" s="285" t="s">
        <v>376</v>
      </c>
      <c r="WIZ121" s="285" t="s">
        <v>377</v>
      </c>
      <c r="WJA121" s="285" t="s">
        <v>376</v>
      </c>
      <c r="WJB121" s="285" t="s">
        <v>377</v>
      </c>
      <c r="WJC121" s="285" t="s">
        <v>376</v>
      </c>
      <c r="WJD121" s="285" t="s">
        <v>377</v>
      </c>
      <c r="WJE121" s="285" t="s">
        <v>376</v>
      </c>
      <c r="WJF121" s="285" t="s">
        <v>377</v>
      </c>
      <c r="WJG121" s="285" t="s">
        <v>376</v>
      </c>
      <c r="WJH121" s="285" t="s">
        <v>377</v>
      </c>
      <c r="WJI121" s="285" t="s">
        <v>376</v>
      </c>
      <c r="WJJ121" s="285" t="s">
        <v>377</v>
      </c>
      <c r="WJK121" s="285" t="s">
        <v>376</v>
      </c>
      <c r="WJL121" s="285" t="s">
        <v>377</v>
      </c>
      <c r="WJM121" s="285" t="s">
        <v>376</v>
      </c>
      <c r="WJN121" s="285" t="s">
        <v>377</v>
      </c>
      <c r="WJO121" s="285" t="s">
        <v>376</v>
      </c>
      <c r="WJP121" s="285" t="s">
        <v>377</v>
      </c>
      <c r="WJQ121" s="285" t="s">
        <v>376</v>
      </c>
      <c r="WJR121" s="285" t="s">
        <v>377</v>
      </c>
      <c r="WJS121" s="285" t="s">
        <v>376</v>
      </c>
      <c r="WJT121" s="285" t="s">
        <v>377</v>
      </c>
      <c r="WJU121" s="285" t="s">
        <v>376</v>
      </c>
      <c r="WJV121" s="285" t="s">
        <v>377</v>
      </c>
      <c r="WJW121" s="285" t="s">
        <v>376</v>
      </c>
      <c r="WJX121" s="285" t="s">
        <v>377</v>
      </c>
      <c r="WJY121" s="285" t="s">
        <v>376</v>
      </c>
      <c r="WJZ121" s="285" t="s">
        <v>377</v>
      </c>
      <c r="WKA121" s="285" t="s">
        <v>376</v>
      </c>
      <c r="WKB121" s="285" t="s">
        <v>377</v>
      </c>
      <c r="WKC121" s="285" t="s">
        <v>376</v>
      </c>
      <c r="WKD121" s="285" t="s">
        <v>377</v>
      </c>
      <c r="WKE121" s="285" t="s">
        <v>376</v>
      </c>
      <c r="WKF121" s="285" t="s">
        <v>377</v>
      </c>
      <c r="WKG121" s="285" t="s">
        <v>376</v>
      </c>
      <c r="WKH121" s="285" t="s">
        <v>377</v>
      </c>
      <c r="WKI121" s="285" t="s">
        <v>376</v>
      </c>
      <c r="WKJ121" s="285" t="s">
        <v>377</v>
      </c>
      <c r="WKK121" s="285" t="s">
        <v>376</v>
      </c>
      <c r="WKL121" s="285" t="s">
        <v>377</v>
      </c>
      <c r="WKM121" s="285" t="s">
        <v>376</v>
      </c>
      <c r="WKN121" s="285" t="s">
        <v>377</v>
      </c>
      <c r="WKO121" s="285" t="s">
        <v>376</v>
      </c>
      <c r="WKP121" s="285" t="s">
        <v>377</v>
      </c>
      <c r="WKQ121" s="285" t="s">
        <v>376</v>
      </c>
      <c r="WKR121" s="285" t="s">
        <v>377</v>
      </c>
      <c r="WKS121" s="285" t="s">
        <v>376</v>
      </c>
      <c r="WKT121" s="285" t="s">
        <v>377</v>
      </c>
      <c r="WKU121" s="285" t="s">
        <v>376</v>
      </c>
      <c r="WKV121" s="285" t="s">
        <v>377</v>
      </c>
      <c r="WKW121" s="285" t="s">
        <v>376</v>
      </c>
      <c r="WKX121" s="285" t="s">
        <v>377</v>
      </c>
      <c r="WKY121" s="285" t="s">
        <v>376</v>
      </c>
      <c r="WKZ121" s="285" t="s">
        <v>377</v>
      </c>
      <c r="WLA121" s="285" t="s">
        <v>376</v>
      </c>
      <c r="WLB121" s="285" t="s">
        <v>377</v>
      </c>
      <c r="WLC121" s="285" t="s">
        <v>376</v>
      </c>
      <c r="WLD121" s="285" t="s">
        <v>377</v>
      </c>
      <c r="WLE121" s="285" t="s">
        <v>376</v>
      </c>
      <c r="WLF121" s="285" t="s">
        <v>377</v>
      </c>
      <c r="WLG121" s="285" t="s">
        <v>376</v>
      </c>
      <c r="WLH121" s="285" t="s">
        <v>377</v>
      </c>
      <c r="WLI121" s="285" t="s">
        <v>376</v>
      </c>
      <c r="WLJ121" s="285" t="s">
        <v>377</v>
      </c>
      <c r="WLK121" s="285" t="s">
        <v>376</v>
      </c>
      <c r="WLL121" s="285" t="s">
        <v>377</v>
      </c>
      <c r="WLM121" s="285" t="s">
        <v>376</v>
      </c>
      <c r="WLN121" s="285" t="s">
        <v>377</v>
      </c>
      <c r="WLO121" s="285" t="s">
        <v>376</v>
      </c>
      <c r="WLP121" s="285" t="s">
        <v>377</v>
      </c>
      <c r="WLQ121" s="285" t="s">
        <v>376</v>
      </c>
      <c r="WLR121" s="285" t="s">
        <v>377</v>
      </c>
      <c r="WLS121" s="285" t="s">
        <v>376</v>
      </c>
      <c r="WLT121" s="285" t="s">
        <v>377</v>
      </c>
      <c r="WLU121" s="285" t="s">
        <v>376</v>
      </c>
      <c r="WLV121" s="285" t="s">
        <v>377</v>
      </c>
      <c r="WLW121" s="285" t="s">
        <v>376</v>
      </c>
      <c r="WLX121" s="285" t="s">
        <v>377</v>
      </c>
      <c r="WLY121" s="285" t="s">
        <v>376</v>
      </c>
      <c r="WLZ121" s="285" t="s">
        <v>377</v>
      </c>
      <c r="WMA121" s="285" t="s">
        <v>376</v>
      </c>
      <c r="WMB121" s="285" t="s">
        <v>377</v>
      </c>
      <c r="WMC121" s="285" t="s">
        <v>376</v>
      </c>
      <c r="WMD121" s="285" t="s">
        <v>377</v>
      </c>
      <c r="WME121" s="285" t="s">
        <v>376</v>
      </c>
      <c r="WMF121" s="285" t="s">
        <v>377</v>
      </c>
      <c r="WMG121" s="285" t="s">
        <v>376</v>
      </c>
      <c r="WMH121" s="285" t="s">
        <v>377</v>
      </c>
      <c r="WMI121" s="285" t="s">
        <v>376</v>
      </c>
      <c r="WMJ121" s="285" t="s">
        <v>377</v>
      </c>
      <c r="WMK121" s="285" t="s">
        <v>376</v>
      </c>
      <c r="WML121" s="285" t="s">
        <v>377</v>
      </c>
      <c r="WMM121" s="285" t="s">
        <v>376</v>
      </c>
      <c r="WMN121" s="285" t="s">
        <v>377</v>
      </c>
      <c r="WMO121" s="285" t="s">
        <v>376</v>
      </c>
      <c r="WMP121" s="285" t="s">
        <v>377</v>
      </c>
      <c r="WMQ121" s="285" t="s">
        <v>376</v>
      </c>
      <c r="WMR121" s="285" t="s">
        <v>377</v>
      </c>
      <c r="WMS121" s="285" t="s">
        <v>376</v>
      </c>
      <c r="WMT121" s="285" t="s">
        <v>377</v>
      </c>
      <c r="WMU121" s="285" t="s">
        <v>376</v>
      </c>
      <c r="WMV121" s="285" t="s">
        <v>377</v>
      </c>
      <c r="WMW121" s="285" t="s">
        <v>376</v>
      </c>
      <c r="WMX121" s="285" t="s">
        <v>377</v>
      </c>
      <c r="WMY121" s="285" t="s">
        <v>376</v>
      </c>
      <c r="WMZ121" s="285" t="s">
        <v>377</v>
      </c>
      <c r="WNA121" s="285" t="s">
        <v>376</v>
      </c>
      <c r="WNB121" s="285" t="s">
        <v>377</v>
      </c>
      <c r="WNC121" s="285" t="s">
        <v>376</v>
      </c>
      <c r="WND121" s="285" t="s">
        <v>377</v>
      </c>
      <c r="WNE121" s="285" t="s">
        <v>376</v>
      </c>
      <c r="WNF121" s="285" t="s">
        <v>377</v>
      </c>
      <c r="WNG121" s="285" t="s">
        <v>376</v>
      </c>
      <c r="WNH121" s="285" t="s">
        <v>377</v>
      </c>
      <c r="WNI121" s="285" t="s">
        <v>376</v>
      </c>
      <c r="WNJ121" s="285" t="s">
        <v>377</v>
      </c>
      <c r="WNK121" s="285" t="s">
        <v>376</v>
      </c>
      <c r="WNL121" s="285" t="s">
        <v>377</v>
      </c>
      <c r="WNM121" s="285" t="s">
        <v>376</v>
      </c>
      <c r="WNN121" s="285" t="s">
        <v>377</v>
      </c>
      <c r="WNO121" s="285" t="s">
        <v>376</v>
      </c>
      <c r="WNP121" s="285" t="s">
        <v>377</v>
      </c>
      <c r="WNQ121" s="285" t="s">
        <v>376</v>
      </c>
      <c r="WNR121" s="285" t="s">
        <v>377</v>
      </c>
      <c r="WNS121" s="285" t="s">
        <v>376</v>
      </c>
      <c r="WNT121" s="285" t="s">
        <v>377</v>
      </c>
      <c r="WNU121" s="285" t="s">
        <v>376</v>
      </c>
      <c r="WNV121" s="285" t="s">
        <v>377</v>
      </c>
      <c r="WNW121" s="285" t="s">
        <v>376</v>
      </c>
      <c r="WNX121" s="285" t="s">
        <v>377</v>
      </c>
      <c r="WNY121" s="285" t="s">
        <v>376</v>
      </c>
      <c r="WNZ121" s="285" t="s">
        <v>377</v>
      </c>
      <c r="WOA121" s="285" t="s">
        <v>376</v>
      </c>
      <c r="WOB121" s="285" t="s">
        <v>377</v>
      </c>
      <c r="WOC121" s="285" t="s">
        <v>376</v>
      </c>
      <c r="WOD121" s="285" t="s">
        <v>377</v>
      </c>
      <c r="WOE121" s="285" t="s">
        <v>376</v>
      </c>
      <c r="WOF121" s="285" t="s">
        <v>377</v>
      </c>
      <c r="WOG121" s="285" t="s">
        <v>376</v>
      </c>
      <c r="WOH121" s="285" t="s">
        <v>377</v>
      </c>
      <c r="WOI121" s="285" t="s">
        <v>376</v>
      </c>
      <c r="WOJ121" s="285" t="s">
        <v>377</v>
      </c>
      <c r="WOK121" s="285" t="s">
        <v>376</v>
      </c>
      <c r="WOL121" s="285" t="s">
        <v>377</v>
      </c>
      <c r="WOM121" s="285" t="s">
        <v>376</v>
      </c>
      <c r="WON121" s="285" t="s">
        <v>377</v>
      </c>
      <c r="WOO121" s="285" t="s">
        <v>376</v>
      </c>
      <c r="WOP121" s="285" t="s">
        <v>377</v>
      </c>
      <c r="WOQ121" s="285" t="s">
        <v>376</v>
      </c>
      <c r="WOR121" s="285" t="s">
        <v>377</v>
      </c>
      <c r="WOS121" s="285" t="s">
        <v>376</v>
      </c>
      <c r="WOT121" s="285" t="s">
        <v>377</v>
      </c>
      <c r="WOU121" s="285" t="s">
        <v>376</v>
      </c>
      <c r="WOV121" s="285" t="s">
        <v>377</v>
      </c>
      <c r="WOW121" s="285" t="s">
        <v>376</v>
      </c>
      <c r="WOX121" s="285" t="s">
        <v>377</v>
      </c>
      <c r="WOY121" s="285" t="s">
        <v>376</v>
      </c>
      <c r="WOZ121" s="285" t="s">
        <v>377</v>
      </c>
      <c r="WPA121" s="285" t="s">
        <v>376</v>
      </c>
      <c r="WPB121" s="285" t="s">
        <v>377</v>
      </c>
      <c r="WPC121" s="285" t="s">
        <v>376</v>
      </c>
      <c r="WPD121" s="285" t="s">
        <v>377</v>
      </c>
      <c r="WPE121" s="285" t="s">
        <v>376</v>
      </c>
      <c r="WPF121" s="285" t="s">
        <v>377</v>
      </c>
      <c r="WPG121" s="285" t="s">
        <v>376</v>
      </c>
      <c r="WPH121" s="285" t="s">
        <v>377</v>
      </c>
      <c r="WPI121" s="285" t="s">
        <v>376</v>
      </c>
      <c r="WPJ121" s="285" t="s">
        <v>377</v>
      </c>
      <c r="WPK121" s="285" t="s">
        <v>376</v>
      </c>
      <c r="WPL121" s="285" t="s">
        <v>377</v>
      </c>
      <c r="WPM121" s="285" t="s">
        <v>376</v>
      </c>
      <c r="WPN121" s="285" t="s">
        <v>377</v>
      </c>
      <c r="WPO121" s="285" t="s">
        <v>376</v>
      </c>
      <c r="WPP121" s="285" t="s">
        <v>377</v>
      </c>
      <c r="WPQ121" s="285" t="s">
        <v>376</v>
      </c>
      <c r="WPR121" s="285" t="s">
        <v>377</v>
      </c>
      <c r="WPS121" s="285" t="s">
        <v>376</v>
      </c>
      <c r="WPT121" s="285" t="s">
        <v>377</v>
      </c>
      <c r="WPU121" s="285" t="s">
        <v>376</v>
      </c>
      <c r="WPV121" s="285" t="s">
        <v>377</v>
      </c>
      <c r="WPW121" s="285" t="s">
        <v>376</v>
      </c>
      <c r="WPX121" s="285" t="s">
        <v>377</v>
      </c>
      <c r="WPY121" s="285" t="s">
        <v>376</v>
      </c>
      <c r="WPZ121" s="285" t="s">
        <v>377</v>
      </c>
      <c r="WQA121" s="285" t="s">
        <v>376</v>
      </c>
      <c r="WQB121" s="285" t="s">
        <v>377</v>
      </c>
      <c r="WQC121" s="285" t="s">
        <v>376</v>
      </c>
      <c r="WQD121" s="285" t="s">
        <v>377</v>
      </c>
      <c r="WQE121" s="285" t="s">
        <v>376</v>
      </c>
      <c r="WQF121" s="285" t="s">
        <v>377</v>
      </c>
      <c r="WQG121" s="285" t="s">
        <v>376</v>
      </c>
      <c r="WQH121" s="285" t="s">
        <v>377</v>
      </c>
      <c r="WQI121" s="285" t="s">
        <v>376</v>
      </c>
      <c r="WQJ121" s="285" t="s">
        <v>377</v>
      </c>
      <c r="WQK121" s="285" t="s">
        <v>376</v>
      </c>
      <c r="WQL121" s="285" t="s">
        <v>377</v>
      </c>
      <c r="WQM121" s="285" t="s">
        <v>376</v>
      </c>
      <c r="WQN121" s="285" t="s">
        <v>377</v>
      </c>
      <c r="WQO121" s="285" t="s">
        <v>376</v>
      </c>
      <c r="WQP121" s="285" t="s">
        <v>377</v>
      </c>
      <c r="WQQ121" s="285" t="s">
        <v>376</v>
      </c>
      <c r="WQR121" s="285" t="s">
        <v>377</v>
      </c>
      <c r="WQS121" s="285" t="s">
        <v>376</v>
      </c>
      <c r="WQT121" s="285" t="s">
        <v>377</v>
      </c>
      <c r="WQU121" s="285" t="s">
        <v>376</v>
      </c>
      <c r="WQV121" s="285" t="s">
        <v>377</v>
      </c>
      <c r="WQW121" s="285" t="s">
        <v>376</v>
      </c>
      <c r="WQX121" s="285" t="s">
        <v>377</v>
      </c>
      <c r="WQY121" s="285" t="s">
        <v>376</v>
      </c>
      <c r="WQZ121" s="285" t="s">
        <v>377</v>
      </c>
      <c r="WRA121" s="285" t="s">
        <v>376</v>
      </c>
      <c r="WRB121" s="285" t="s">
        <v>377</v>
      </c>
      <c r="WRC121" s="285" t="s">
        <v>376</v>
      </c>
      <c r="WRD121" s="285" t="s">
        <v>377</v>
      </c>
      <c r="WRE121" s="285" t="s">
        <v>376</v>
      </c>
      <c r="WRF121" s="285" t="s">
        <v>377</v>
      </c>
      <c r="WRG121" s="285" t="s">
        <v>376</v>
      </c>
      <c r="WRH121" s="285" t="s">
        <v>377</v>
      </c>
      <c r="WRI121" s="285" t="s">
        <v>376</v>
      </c>
      <c r="WRJ121" s="285" t="s">
        <v>377</v>
      </c>
      <c r="WRK121" s="285" t="s">
        <v>376</v>
      </c>
      <c r="WRL121" s="285" t="s">
        <v>377</v>
      </c>
      <c r="WRM121" s="285" t="s">
        <v>376</v>
      </c>
      <c r="WRN121" s="285" t="s">
        <v>377</v>
      </c>
      <c r="WRO121" s="285" t="s">
        <v>376</v>
      </c>
      <c r="WRP121" s="285" t="s">
        <v>377</v>
      </c>
      <c r="WRQ121" s="285" t="s">
        <v>376</v>
      </c>
      <c r="WRR121" s="285" t="s">
        <v>377</v>
      </c>
      <c r="WRS121" s="285" t="s">
        <v>376</v>
      </c>
      <c r="WRT121" s="285" t="s">
        <v>377</v>
      </c>
      <c r="WRU121" s="285" t="s">
        <v>376</v>
      </c>
      <c r="WRV121" s="285" t="s">
        <v>377</v>
      </c>
      <c r="WRW121" s="285" t="s">
        <v>376</v>
      </c>
      <c r="WRX121" s="285" t="s">
        <v>377</v>
      </c>
      <c r="WRY121" s="285" t="s">
        <v>376</v>
      </c>
      <c r="WRZ121" s="285" t="s">
        <v>377</v>
      </c>
      <c r="WSA121" s="285" t="s">
        <v>376</v>
      </c>
      <c r="WSB121" s="285" t="s">
        <v>377</v>
      </c>
      <c r="WSC121" s="285" t="s">
        <v>376</v>
      </c>
      <c r="WSD121" s="285" t="s">
        <v>377</v>
      </c>
      <c r="WSE121" s="285" t="s">
        <v>376</v>
      </c>
      <c r="WSF121" s="285" t="s">
        <v>377</v>
      </c>
      <c r="WSG121" s="285" t="s">
        <v>376</v>
      </c>
      <c r="WSH121" s="285" t="s">
        <v>377</v>
      </c>
      <c r="WSI121" s="285" t="s">
        <v>376</v>
      </c>
      <c r="WSJ121" s="285" t="s">
        <v>377</v>
      </c>
      <c r="WSK121" s="285" t="s">
        <v>376</v>
      </c>
      <c r="WSL121" s="285" t="s">
        <v>377</v>
      </c>
      <c r="WSM121" s="285" t="s">
        <v>376</v>
      </c>
      <c r="WSN121" s="285" t="s">
        <v>377</v>
      </c>
      <c r="WSO121" s="285" t="s">
        <v>376</v>
      </c>
      <c r="WSP121" s="285" t="s">
        <v>377</v>
      </c>
      <c r="WSQ121" s="285" t="s">
        <v>376</v>
      </c>
      <c r="WSR121" s="285" t="s">
        <v>377</v>
      </c>
      <c r="WSS121" s="285" t="s">
        <v>376</v>
      </c>
      <c r="WST121" s="285" t="s">
        <v>377</v>
      </c>
      <c r="WSU121" s="285" t="s">
        <v>376</v>
      </c>
      <c r="WSV121" s="285" t="s">
        <v>377</v>
      </c>
      <c r="WSW121" s="285" t="s">
        <v>376</v>
      </c>
      <c r="WSX121" s="285" t="s">
        <v>377</v>
      </c>
      <c r="WSY121" s="285" t="s">
        <v>376</v>
      </c>
      <c r="WSZ121" s="285" t="s">
        <v>377</v>
      </c>
      <c r="WTA121" s="285" t="s">
        <v>376</v>
      </c>
      <c r="WTB121" s="285" t="s">
        <v>377</v>
      </c>
      <c r="WTC121" s="285" t="s">
        <v>376</v>
      </c>
      <c r="WTD121" s="285" t="s">
        <v>377</v>
      </c>
      <c r="WTE121" s="285" t="s">
        <v>376</v>
      </c>
      <c r="WTF121" s="285" t="s">
        <v>377</v>
      </c>
      <c r="WTG121" s="285" t="s">
        <v>376</v>
      </c>
      <c r="WTH121" s="285" t="s">
        <v>377</v>
      </c>
      <c r="WTI121" s="285" t="s">
        <v>376</v>
      </c>
      <c r="WTJ121" s="285" t="s">
        <v>377</v>
      </c>
      <c r="WTK121" s="285" t="s">
        <v>376</v>
      </c>
      <c r="WTL121" s="285" t="s">
        <v>377</v>
      </c>
      <c r="WTM121" s="285" t="s">
        <v>376</v>
      </c>
      <c r="WTN121" s="285" t="s">
        <v>377</v>
      </c>
      <c r="WTO121" s="285" t="s">
        <v>376</v>
      </c>
      <c r="WTP121" s="285" t="s">
        <v>377</v>
      </c>
      <c r="WTQ121" s="285" t="s">
        <v>376</v>
      </c>
      <c r="WTR121" s="285" t="s">
        <v>377</v>
      </c>
      <c r="WTS121" s="285" t="s">
        <v>376</v>
      </c>
      <c r="WTT121" s="285" t="s">
        <v>377</v>
      </c>
      <c r="WTU121" s="285" t="s">
        <v>376</v>
      </c>
      <c r="WTV121" s="285" t="s">
        <v>377</v>
      </c>
      <c r="WTW121" s="285" t="s">
        <v>376</v>
      </c>
      <c r="WTX121" s="285" t="s">
        <v>377</v>
      </c>
      <c r="WTY121" s="285" t="s">
        <v>376</v>
      </c>
      <c r="WTZ121" s="285" t="s">
        <v>377</v>
      </c>
      <c r="WUA121" s="285" t="s">
        <v>376</v>
      </c>
      <c r="WUB121" s="285" t="s">
        <v>377</v>
      </c>
      <c r="WUC121" s="285" t="s">
        <v>376</v>
      </c>
      <c r="WUD121" s="285" t="s">
        <v>377</v>
      </c>
      <c r="WUE121" s="285" t="s">
        <v>376</v>
      </c>
      <c r="WUF121" s="285" t="s">
        <v>377</v>
      </c>
      <c r="WUG121" s="285" t="s">
        <v>376</v>
      </c>
      <c r="WUH121" s="285" t="s">
        <v>377</v>
      </c>
      <c r="WUI121" s="285" t="s">
        <v>376</v>
      </c>
      <c r="WUJ121" s="285" t="s">
        <v>377</v>
      </c>
      <c r="WUK121" s="285" t="s">
        <v>376</v>
      </c>
      <c r="WUL121" s="285" t="s">
        <v>377</v>
      </c>
      <c r="WUM121" s="285" t="s">
        <v>376</v>
      </c>
      <c r="WUN121" s="285" t="s">
        <v>377</v>
      </c>
      <c r="WUO121" s="285" t="s">
        <v>376</v>
      </c>
      <c r="WUP121" s="285" t="s">
        <v>377</v>
      </c>
      <c r="WUQ121" s="285" t="s">
        <v>376</v>
      </c>
      <c r="WUR121" s="285" t="s">
        <v>377</v>
      </c>
      <c r="WUS121" s="285" t="s">
        <v>376</v>
      </c>
      <c r="WUT121" s="285" t="s">
        <v>377</v>
      </c>
      <c r="WUU121" s="285" t="s">
        <v>376</v>
      </c>
      <c r="WUV121" s="285" t="s">
        <v>377</v>
      </c>
      <c r="WUW121" s="285" t="s">
        <v>376</v>
      </c>
      <c r="WUX121" s="285" t="s">
        <v>377</v>
      </c>
      <c r="WUY121" s="285" t="s">
        <v>376</v>
      </c>
      <c r="WUZ121" s="285" t="s">
        <v>377</v>
      </c>
      <c r="WVA121" s="285" t="s">
        <v>376</v>
      </c>
      <c r="WVB121" s="285" t="s">
        <v>377</v>
      </c>
      <c r="WVC121" s="285" t="s">
        <v>376</v>
      </c>
      <c r="WVD121" s="285" t="s">
        <v>377</v>
      </c>
      <c r="WVE121" s="285" t="s">
        <v>376</v>
      </c>
      <c r="WVF121" s="285" t="s">
        <v>377</v>
      </c>
      <c r="WVG121" s="285" t="s">
        <v>376</v>
      </c>
      <c r="WVH121" s="285" t="s">
        <v>377</v>
      </c>
      <c r="WVI121" s="285" t="s">
        <v>376</v>
      </c>
      <c r="WVJ121" s="285" t="s">
        <v>377</v>
      </c>
      <c r="WVK121" s="285" t="s">
        <v>376</v>
      </c>
      <c r="WVL121" s="285" t="s">
        <v>377</v>
      </c>
      <c r="WVM121" s="285" t="s">
        <v>376</v>
      </c>
      <c r="WVN121" s="285" t="s">
        <v>377</v>
      </c>
      <c r="WVO121" s="285" t="s">
        <v>376</v>
      </c>
      <c r="WVP121" s="285" t="s">
        <v>377</v>
      </c>
      <c r="WVQ121" s="285" t="s">
        <v>376</v>
      </c>
      <c r="WVR121" s="285" t="s">
        <v>377</v>
      </c>
      <c r="WVS121" s="285" t="s">
        <v>376</v>
      </c>
      <c r="WVT121" s="285" t="s">
        <v>377</v>
      </c>
      <c r="WVU121" s="285" t="s">
        <v>376</v>
      </c>
      <c r="WVV121" s="285" t="s">
        <v>377</v>
      </c>
      <c r="WVW121" s="285" t="s">
        <v>376</v>
      </c>
      <c r="WVX121" s="285" t="s">
        <v>377</v>
      </c>
      <c r="WVY121" s="285" t="s">
        <v>376</v>
      </c>
      <c r="WVZ121" s="285" t="s">
        <v>377</v>
      </c>
      <c r="WWA121" s="285" t="s">
        <v>376</v>
      </c>
      <c r="WWB121" s="285" t="s">
        <v>377</v>
      </c>
      <c r="WWC121" s="285" t="s">
        <v>376</v>
      </c>
      <c r="WWD121" s="285" t="s">
        <v>377</v>
      </c>
      <c r="WWE121" s="285" t="s">
        <v>376</v>
      </c>
      <c r="WWF121" s="285" t="s">
        <v>377</v>
      </c>
      <c r="WWG121" s="285" t="s">
        <v>376</v>
      </c>
      <c r="WWH121" s="285" t="s">
        <v>377</v>
      </c>
      <c r="WWI121" s="285" t="s">
        <v>376</v>
      </c>
      <c r="WWJ121" s="285" t="s">
        <v>377</v>
      </c>
      <c r="WWK121" s="285" t="s">
        <v>376</v>
      </c>
      <c r="WWL121" s="285" t="s">
        <v>377</v>
      </c>
      <c r="WWM121" s="285" t="s">
        <v>376</v>
      </c>
      <c r="WWN121" s="285" t="s">
        <v>377</v>
      </c>
      <c r="WWO121" s="285" t="s">
        <v>376</v>
      </c>
      <c r="WWP121" s="285" t="s">
        <v>377</v>
      </c>
      <c r="WWQ121" s="285" t="s">
        <v>376</v>
      </c>
      <c r="WWR121" s="285" t="s">
        <v>377</v>
      </c>
      <c r="WWS121" s="285" t="s">
        <v>376</v>
      </c>
      <c r="WWT121" s="285" t="s">
        <v>377</v>
      </c>
      <c r="WWU121" s="285" t="s">
        <v>376</v>
      </c>
      <c r="WWV121" s="285" t="s">
        <v>377</v>
      </c>
      <c r="WWW121" s="285" t="s">
        <v>376</v>
      </c>
      <c r="WWX121" s="285" t="s">
        <v>377</v>
      </c>
      <c r="WWY121" s="285" t="s">
        <v>376</v>
      </c>
      <c r="WWZ121" s="285" t="s">
        <v>377</v>
      </c>
      <c r="WXA121" s="285" t="s">
        <v>376</v>
      </c>
      <c r="WXB121" s="285" t="s">
        <v>377</v>
      </c>
      <c r="WXC121" s="285" t="s">
        <v>376</v>
      </c>
      <c r="WXD121" s="285" t="s">
        <v>377</v>
      </c>
      <c r="WXE121" s="285" t="s">
        <v>376</v>
      </c>
      <c r="WXF121" s="285" t="s">
        <v>377</v>
      </c>
      <c r="WXG121" s="285" t="s">
        <v>376</v>
      </c>
      <c r="WXH121" s="285" t="s">
        <v>377</v>
      </c>
      <c r="WXI121" s="285" t="s">
        <v>376</v>
      </c>
      <c r="WXJ121" s="285" t="s">
        <v>377</v>
      </c>
      <c r="WXK121" s="285" t="s">
        <v>376</v>
      </c>
      <c r="WXL121" s="285" t="s">
        <v>377</v>
      </c>
      <c r="WXM121" s="285" t="s">
        <v>376</v>
      </c>
      <c r="WXN121" s="285" t="s">
        <v>377</v>
      </c>
      <c r="WXO121" s="285" t="s">
        <v>376</v>
      </c>
      <c r="WXP121" s="285" t="s">
        <v>377</v>
      </c>
      <c r="WXQ121" s="285" t="s">
        <v>376</v>
      </c>
      <c r="WXR121" s="285" t="s">
        <v>377</v>
      </c>
      <c r="WXS121" s="285" t="s">
        <v>376</v>
      </c>
      <c r="WXT121" s="285" t="s">
        <v>377</v>
      </c>
      <c r="WXU121" s="285" t="s">
        <v>376</v>
      </c>
      <c r="WXV121" s="285" t="s">
        <v>377</v>
      </c>
      <c r="WXW121" s="285" t="s">
        <v>376</v>
      </c>
      <c r="WXX121" s="285" t="s">
        <v>377</v>
      </c>
      <c r="WXY121" s="285" t="s">
        <v>376</v>
      </c>
      <c r="WXZ121" s="285" t="s">
        <v>377</v>
      </c>
      <c r="WYA121" s="285" t="s">
        <v>376</v>
      </c>
      <c r="WYB121" s="285" t="s">
        <v>377</v>
      </c>
      <c r="WYC121" s="285" t="s">
        <v>376</v>
      </c>
      <c r="WYD121" s="285" t="s">
        <v>377</v>
      </c>
      <c r="WYE121" s="285" t="s">
        <v>376</v>
      </c>
      <c r="WYF121" s="285" t="s">
        <v>377</v>
      </c>
      <c r="WYG121" s="285" t="s">
        <v>376</v>
      </c>
      <c r="WYH121" s="285" t="s">
        <v>377</v>
      </c>
      <c r="WYI121" s="285" t="s">
        <v>376</v>
      </c>
      <c r="WYJ121" s="285" t="s">
        <v>377</v>
      </c>
      <c r="WYK121" s="285" t="s">
        <v>376</v>
      </c>
      <c r="WYL121" s="285" t="s">
        <v>377</v>
      </c>
      <c r="WYM121" s="285" t="s">
        <v>376</v>
      </c>
      <c r="WYN121" s="285" t="s">
        <v>377</v>
      </c>
      <c r="WYO121" s="285" t="s">
        <v>376</v>
      </c>
      <c r="WYP121" s="285" t="s">
        <v>377</v>
      </c>
      <c r="WYQ121" s="285" t="s">
        <v>376</v>
      </c>
      <c r="WYR121" s="285" t="s">
        <v>377</v>
      </c>
      <c r="WYS121" s="285" t="s">
        <v>376</v>
      </c>
      <c r="WYT121" s="285" t="s">
        <v>377</v>
      </c>
      <c r="WYU121" s="285" t="s">
        <v>376</v>
      </c>
      <c r="WYV121" s="285" t="s">
        <v>377</v>
      </c>
      <c r="WYW121" s="285" t="s">
        <v>376</v>
      </c>
      <c r="WYX121" s="285" t="s">
        <v>377</v>
      </c>
      <c r="WYY121" s="285" t="s">
        <v>376</v>
      </c>
      <c r="WYZ121" s="285" t="s">
        <v>377</v>
      </c>
      <c r="WZA121" s="285" t="s">
        <v>376</v>
      </c>
      <c r="WZB121" s="285" t="s">
        <v>377</v>
      </c>
      <c r="WZC121" s="285" t="s">
        <v>376</v>
      </c>
      <c r="WZD121" s="285" t="s">
        <v>377</v>
      </c>
      <c r="WZE121" s="285" t="s">
        <v>376</v>
      </c>
      <c r="WZF121" s="285" t="s">
        <v>377</v>
      </c>
      <c r="WZG121" s="285" t="s">
        <v>376</v>
      </c>
      <c r="WZH121" s="285" t="s">
        <v>377</v>
      </c>
      <c r="WZI121" s="285" t="s">
        <v>376</v>
      </c>
      <c r="WZJ121" s="285" t="s">
        <v>377</v>
      </c>
      <c r="WZK121" s="285" t="s">
        <v>376</v>
      </c>
      <c r="WZL121" s="285" t="s">
        <v>377</v>
      </c>
      <c r="WZM121" s="285" t="s">
        <v>376</v>
      </c>
      <c r="WZN121" s="285" t="s">
        <v>377</v>
      </c>
      <c r="WZO121" s="285" t="s">
        <v>376</v>
      </c>
      <c r="WZP121" s="285" t="s">
        <v>377</v>
      </c>
      <c r="WZQ121" s="285" t="s">
        <v>376</v>
      </c>
      <c r="WZR121" s="285" t="s">
        <v>377</v>
      </c>
      <c r="WZS121" s="285" t="s">
        <v>376</v>
      </c>
      <c r="WZT121" s="285" t="s">
        <v>377</v>
      </c>
      <c r="WZU121" s="285" t="s">
        <v>376</v>
      </c>
      <c r="WZV121" s="285" t="s">
        <v>377</v>
      </c>
      <c r="WZW121" s="285" t="s">
        <v>376</v>
      </c>
      <c r="WZX121" s="285" t="s">
        <v>377</v>
      </c>
      <c r="WZY121" s="285" t="s">
        <v>376</v>
      </c>
      <c r="WZZ121" s="285" t="s">
        <v>377</v>
      </c>
      <c r="XAA121" s="285" t="s">
        <v>376</v>
      </c>
      <c r="XAB121" s="285" t="s">
        <v>377</v>
      </c>
      <c r="XAC121" s="285" t="s">
        <v>376</v>
      </c>
      <c r="XAD121" s="285" t="s">
        <v>377</v>
      </c>
      <c r="XAE121" s="285" t="s">
        <v>376</v>
      </c>
      <c r="XAF121" s="285" t="s">
        <v>377</v>
      </c>
      <c r="XAG121" s="285" t="s">
        <v>376</v>
      </c>
      <c r="XAH121" s="285" t="s">
        <v>377</v>
      </c>
      <c r="XAI121" s="285" t="s">
        <v>376</v>
      </c>
      <c r="XAJ121" s="285" t="s">
        <v>377</v>
      </c>
      <c r="XAK121" s="285" t="s">
        <v>376</v>
      </c>
      <c r="XAL121" s="285" t="s">
        <v>377</v>
      </c>
      <c r="XAM121" s="285" t="s">
        <v>376</v>
      </c>
      <c r="XAN121" s="285" t="s">
        <v>377</v>
      </c>
      <c r="XAO121" s="285" t="s">
        <v>376</v>
      </c>
      <c r="XAP121" s="285" t="s">
        <v>377</v>
      </c>
      <c r="XAQ121" s="285" t="s">
        <v>376</v>
      </c>
      <c r="XAR121" s="285" t="s">
        <v>377</v>
      </c>
      <c r="XAS121" s="285" t="s">
        <v>376</v>
      </c>
      <c r="XAT121" s="285" t="s">
        <v>377</v>
      </c>
      <c r="XAU121" s="285" t="s">
        <v>376</v>
      </c>
      <c r="XAV121" s="285" t="s">
        <v>377</v>
      </c>
      <c r="XAW121" s="285" t="s">
        <v>376</v>
      </c>
      <c r="XAX121" s="285" t="s">
        <v>377</v>
      </c>
      <c r="XAY121" s="285" t="s">
        <v>376</v>
      </c>
      <c r="XAZ121" s="285" t="s">
        <v>377</v>
      </c>
      <c r="XBA121" s="285" t="s">
        <v>376</v>
      </c>
      <c r="XBB121" s="285" t="s">
        <v>377</v>
      </c>
      <c r="XBC121" s="285" t="s">
        <v>376</v>
      </c>
      <c r="XBD121" s="285" t="s">
        <v>377</v>
      </c>
      <c r="XBE121" s="285" t="s">
        <v>376</v>
      </c>
      <c r="XBF121" s="285" t="s">
        <v>377</v>
      </c>
      <c r="XBG121" s="285" t="s">
        <v>376</v>
      </c>
      <c r="XBH121" s="285" t="s">
        <v>377</v>
      </c>
      <c r="XBI121" s="285" t="s">
        <v>376</v>
      </c>
      <c r="XBJ121" s="285" t="s">
        <v>377</v>
      </c>
      <c r="XBK121" s="285" t="s">
        <v>376</v>
      </c>
      <c r="XBL121" s="285" t="s">
        <v>377</v>
      </c>
      <c r="XBM121" s="285" t="s">
        <v>376</v>
      </c>
      <c r="XBN121" s="285" t="s">
        <v>377</v>
      </c>
      <c r="XBO121" s="285" t="s">
        <v>376</v>
      </c>
      <c r="XBP121" s="285" t="s">
        <v>377</v>
      </c>
      <c r="XBQ121" s="285" t="s">
        <v>376</v>
      </c>
      <c r="XBR121" s="285" t="s">
        <v>377</v>
      </c>
      <c r="XBS121" s="285" t="s">
        <v>376</v>
      </c>
      <c r="XBT121" s="285" t="s">
        <v>377</v>
      </c>
      <c r="XBU121" s="285" t="s">
        <v>376</v>
      </c>
      <c r="XBV121" s="285" t="s">
        <v>377</v>
      </c>
      <c r="XBW121" s="285" t="s">
        <v>376</v>
      </c>
      <c r="XBX121" s="285" t="s">
        <v>377</v>
      </c>
      <c r="XBY121" s="285" t="s">
        <v>376</v>
      </c>
      <c r="XBZ121" s="285" t="s">
        <v>377</v>
      </c>
    </row>
    <row r="122" spans="1:16302" s="285" customFormat="1" ht="15" customHeight="1">
      <c r="A122" s="898" t="s">
        <v>378</v>
      </c>
      <c r="B122" s="899" t="s">
        <v>379</v>
      </c>
      <c r="C122" s="900">
        <f>+' AI_Receita DGA jul'!C16</f>
        <v>4086057</v>
      </c>
      <c r="D122" s="900">
        <f>+' AI_Receita DGA jul'!D16</f>
        <v>4662422</v>
      </c>
      <c r="E122" s="900">
        <f>+' AI_Receita DGA jul'!E16</f>
        <v>4176473</v>
      </c>
      <c r="F122" s="900">
        <f>+' AI_Receita DGA jul'!F16</f>
        <v>6852678</v>
      </c>
      <c r="G122" s="900">
        <f>+' AI_Receita DGA jul'!G16</f>
        <v>5220007</v>
      </c>
      <c r="H122" s="900">
        <f>+' AI_Receita DGA jul'!H16</f>
        <v>5755557</v>
      </c>
      <c r="I122" s="900">
        <f>+' AI_Receita DGA jul'!I16</f>
        <v>14110126</v>
      </c>
      <c r="J122" s="900">
        <f>+' AI_Receita DGA jul'!J16</f>
        <v>0</v>
      </c>
      <c r="K122" s="900">
        <f>+' AI_Receita DGA jul'!K16</f>
        <v>0</v>
      </c>
      <c r="L122" s="900">
        <f>+' AI_Receita DGA jul'!L16</f>
        <v>0</v>
      </c>
      <c r="M122" s="900">
        <f>+' AI_Receita DGA jul'!M16</f>
        <v>0</v>
      </c>
      <c r="N122" s="900">
        <f>+' AI_Receita DGA jul'!N16</f>
        <v>0</v>
      </c>
      <c r="O122" s="900">
        <f t="shared" si="26"/>
        <v>44863320</v>
      </c>
      <c r="P122" s="351"/>
      <c r="Q122" s="351"/>
      <c r="R122" s="351"/>
      <c r="S122" s="351"/>
      <c r="T122" s="351"/>
      <c r="U122" s="351"/>
      <c r="V122" s="351"/>
      <c r="W122" s="351"/>
    </row>
    <row r="123" spans="1:16302" s="285" customFormat="1" ht="15" customHeight="1">
      <c r="A123" s="898" t="s">
        <v>380</v>
      </c>
      <c r="B123" s="899" t="s">
        <v>381</v>
      </c>
      <c r="C123" s="901">
        <f>((+' AI_Receita DGA jul'!C17))+10170658</f>
        <v>17985655</v>
      </c>
      <c r="D123" s="901">
        <f>((+' AI_Receita DGA jul'!D17))+27536856</f>
        <v>32644613</v>
      </c>
      <c r="E123" s="901">
        <f>((+' AI_Receita DGA jul'!E17))+20161816</f>
        <v>36985083</v>
      </c>
      <c r="F123" s="901">
        <f>((+' AI_Receita DGA jul'!F17))+24111295</f>
        <v>44874917</v>
      </c>
      <c r="G123" s="901">
        <f>((+' AI_Receita DGA jul'!G17))+26545686</f>
        <v>41783405</v>
      </c>
      <c r="H123" s="901">
        <f>((+' AI_Receita DGA jul'!H17))+21837886</f>
        <v>43296941</v>
      </c>
      <c r="I123" s="901">
        <f>(+' AI_Receita DGA jul'!I17)+27589654</f>
        <v>55155504</v>
      </c>
      <c r="J123" s="900">
        <f>+' AI_Receita DGA jul'!J17</f>
        <v>0</v>
      </c>
      <c r="K123" s="900">
        <f>+' AI_Receita DGA jul'!K17</f>
        <v>0</v>
      </c>
      <c r="L123" s="900">
        <f>+' AI_Receita DGA jul'!L17</f>
        <v>0</v>
      </c>
      <c r="M123" s="900">
        <f>+' AI_Receita DGA jul'!M17</f>
        <v>0</v>
      </c>
      <c r="N123" s="900">
        <f>+' AI_Receita DGA jul'!N17</f>
        <v>0</v>
      </c>
      <c r="O123" s="902">
        <f t="shared" si="26"/>
        <v>272726118</v>
      </c>
      <c r="P123" s="350"/>
      <c r="Q123" s="350"/>
      <c r="R123" s="350"/>
      <c r="S123" s="350"/>
      <c r="T123" s="350"/>
      <c r="U123" s="350"/>
      <c r="V123" s="351"/>
      <c r="W123" s="351"/>
    </row>
    <row r="124" spans="1:16302" s="285" customFormat="1" ht="15" customHeight="1">
      <c r="A124" s="794" t="s">
        <v>382</v>
      </c>
      <c r="B124" s="286" t="s">
        <v>383</v>
      </c>
      <c r="C124" s="309">
        <v>46878621</v>
      </c>
      <c r="D124" s="353">
        <v>22926818</v>
      </c>
      <c r="E124" s="309">
        <v>14911863</v>
      </c>
      <c r="F124" s="353">
        <v>22618509</v>
      </c>
      <c r="G124" s="309">
        <v>24625306</v>
      </c>
      <c r="H124" s="353">
        <v>22897437</v>
      </c>
      <c r="I124" s="309">
        <v>16842412</v>
      </c>
      <c r="J124" s="353"/>
      <c r="K124" s="309"/>
      <c r="L124" s="353"/>
      <c r="M124" s="309"/>
      <c r="N124" s="353"/>
      <c r="O124" s="309">
        <f t="shared" si="26"/>
        <v>171700966</v>
      </c>
      <c r="P124" s="350"/>
      <c r="Q124" s="350"/>
      <c r="R124" s="350"/>
      <c r="S124" s="350"/>
      <c r="T124" s="350"/>
      <c r="U124" s="350"/>
      <c r="V124" s="351"/>
      <c r="W124" s="351"/>
    </row>
    <row r="125" spans="1:16302" s="285" customFormat="1" ht="15" customHeight="1">
      <c r="A125" s="794" t="s">
        <v>384</v>
      </c>
      <c r="B125" s="286" t="s">
        <v>385</v>
      </c>
      <c r="C125" s="309"/>
      <c r="D125" s="353"/>
      <c r="E125" s="309"/>
      <c r="F125" s="353"/>
      <c r="G125" s="309">
        <v>6000</v>
      </c>
      <c r="H125" s="353"/>
      <c r="I125" s="309">
        <v>2800</v>
      </c>
      <c r="J125" s="353"/>
      <c r="K125" s="309"/>
      <c r="L125" s="353"/>
      <c r="M125" s="309"/>
      <c r="N125" s="353"/>
      <c r="O125" s="309">
        <f t="shared" si="26"/>
        <v>8800</v>
      </c>
      <c r="P125" s="350"/>
      <c r="Q125" s="350"/>
      <c r="R125" s="350"/>
      <c r="S125" s="350"/>
      <c r="T125" s="350"/>
      <c r="U125" s="350"/>
      <c r="V125" s="351"/>
      <c r="W125" s="351"/>
    </row>
    <row r="126" spans="1:16302" s="285" customFormat="1" ht="15" customHeight="1">
      <c r="A126" s="794" t="s">
        <v>386</v>
      </c>
      <c r="B126" s="286" t="s">
        <v>387</v>
      </c>
      <c r="C126" s="309">
        <v>10000</v>
      </c>
      <c r="D126" s="353">
        <v>169500</v>
      </c>
      <c r="E126" s="309">
        <v>260000</v>
      </c>
      <c r="F126" s="353">
        <v>226500</v>
      </c>
      <c r="G126" s="309">
        <v>202500</v>
      </c>
      <c r="H126" s="353">
        <v>237500</v>
      </c>
      <c r="I126" s="309">
        <v>115000</v>
      </c>
      <c r="J126" s="353"/>
      <c r="K126" s="309"/>
      <c r="L126" s="353"/>
      <c r="M126" s="309"/>
      <c r="N126" s="353"/>
      <c r="O126" s="309">
        <f t="shared" si="26"/>
        <v>1221000</v>
      </c>
      <c r="P126" s="350"/>
      <c r="Q126" s="350"/>
      <c r="R126" s="350"/>
      <c r="S126" s="350"/>
      <c r="T126" s="350"/>
      <c r="U126" s="350"/>
      <c r="V126" s="351"/>
      <c r="W126" s="351"/>
    </row>
    <row r="127" spans="1:16302" s="285" customFormat="1" ht="15" customHeight="1">
      <c r="A127" s="794" t="s">
        <v>388</v>
      </c>
      <c r="B127" s="286" t="s">
        <v>389</v>
      </c>
      <c r="C127" s="309"/>
      <c r="D127" s="353">
        <v>5000</v>
      </c>
      <c r="E127" s="309">
        <v>17500</v>
      </c>
      <c r="F127" s="353">
        <v>12500</v>
      </c>
      <c r="G127" s="309">
        <v>25000</v>
      </c>
      <c r="H127" s="353">
        <v>30000</v>
      </c>
      <c r="I127" s="309">
        <v>7500</v>
      </c>
      <c r="J127" s="353"/>
      <c r="K127" s="309"/>
      <c r="L127" s="353"/>
      <c r="M127" s="309"/>
      <c r="N127" s="353"/>
      <c r="O127" s="309">
        <f t="shared" si="26"/>
        <v>97500</v>
      </c>
      <c r="P127" s="350"/>
      <c r="Q127" s="350"/>
      <c r="R127" s="350"/>
      <c r="S127" s="350"/>
      <c r="T127" s="350"/>
      <c r="U127" s="350"/>
      <c r="V127" s="351"/>
      <c r="W127" s="351"/>
    </row>
    <row r="128" spans="1:16302" s="269" customFormat="1" ht="15" customHeight="1">
      <c r="A128" s="791" t="s">
        <v>390</v>
      </c>
      <c r="B128" s="291" t="s">
        <v>391</v>
      </c>
      <c r="C128" s="312">
        <f>SUM(C129:C132)</f>
        <v>49794523</v>
      </c>
      <c r="D128" s="354">
        <f t="shared" ref="D128:N128" si="34">SUM(D129:D132)</f>
        <v>50711889</v>
      </c>
      <c r="E128" s="312">
        <f t="shared" si="34"/>
        <v>78096655</v>
      </c>
      <c r="F128" s="312">
        <f t="shared" si="34"/>
        <v>51569367</v>
      </c>
      <c r="G128" s="312">
        <f t="shared" si="34"/>
        <v>65744511</v>
      </c>
      <c r="H128" s="312">
        <f t="shared" si="34"/>
        <v>58240987</v>
      </c>
      <c r="I128" s="312">
        <f t="shared" si="34"/>
        <v>61077732</v>
      </c>
      <c r="J128" s="312">
        <f t="shared" si="34"/>
        <v>0</v>
      </c>
      <c r="K128" s="312">
        <f t="shared" si="34"/>
        <v>0</v>
      </c>
      <c r="L128" s="312">
        <f t="shared" si="34"/>
        <v>0</v>
      </c>
      <c r="M128" s="312">
        <f t="shared" si="34"/>
        <v>0</v>
      </c>
      <c r="N128" s="312">
        <f t="shared" si="34"/>
        <v>0</v>
      </c>
      <c r="O128" s="312">
        <f t="shared" si="26"/>
        <v>415235664</v>
      </c>
      <c r="P128" s="346"/>
      <c r="Q128" s="346"/>
      <c r="R128" s="346"/>
      <c r="S128" s="346"/>
      <c r="T128" s="346"/>
      <c r="U128" s="346"/>
      <c r="V128" s="346"/>
      <c r="W128" s="346"/>
    </row>
    <row r="129" spans="1:23" s="269" customFormat="1" ht="15" customHeight="1">
      <c r="A129" s="794" t="s">
        <v>392</v>
      </c>
      <c r="B129" s="286" t="s">
        <v>393</v>
      </c>
      <c r="C129" s="309">
        <v>3165013</v>
      </c>
      <c r="D129" s="353">
        <v>2300520</v>
      </c>
      <c r="E129" s="309">
        <v>2250343</v>
      </c>
      <c r="F129" s="353">
        <v>2056170</v>
      </c>
      <c r="G129" s="309">
        <v>1241057</v>
      </c>
      <c r="H129" s="353">
        <v>5659088</v>
      </c>
      <c r="I129" s="309">
        <v>887690</v>
      </c>
      <c r="J129" s="353"/>
      <c r="K129" s="309"/>
      <c r="L129" s="353"/>
      <c r="M129" s="309"/>
      <c r="N129" s="353"/>
      <c r="O129" s="309">
        <f t="shared" si="26"/>
        <v>17559881</v>
      </c>
      <c r="P129" s="346"/>
      <c r="Q129" s="346"/>
      <c r="R129" s="346"/>
      <c r="S129" s="346"/>
      <c r="T129" s="346"/>
      <c r="U129" s="346"/>
      <c r="V129" s="346"/>
      <c r="W129" s="346"/>
    </row>
    <row r="130" spans="1:23" s="269" customFormat="1" ht="15" customHeight="1">
      <c r="A130" s="794" t="s">
        <v>394</v>
      </c>
      <c r="B130" s="286" t="s">
        <v>395</v>
      </c>
      <c r="C130" s="309">
        <v>14530604</v>
      </c>
      <c r="D130" s="353">
        <v>4695311</v>
      </c>
      <c r="E130" s="309">
        <v>23011721</v>
      </c>
      <c r="F130" s="353">
        <v>6158633</v>
      </c>
      <c r="G130" s="309">
        <v>15065792</v>
      </c>
      <c r="H130" s="353">
        <v>5117930</v>
      </c>
      <c r="I130" s="309">
        <v>7544552</v>
      </c>
      <c r="J130" s="353"/>
      <c r="K130" s="309"/>
      <c r="L130" s="353"/>
      <c r="M130" s="309"/>
      <c r="N130" s="353"/>
      <c r="O130" s="309">
        <f t="shared" si="26"/>
        <v>76124543</v>
      </c>
    </row>
    <row r="131" spans="1:23" s="269" customFormat="1" ht="15" customHeight="1">
      <c r="A131" s="794" t="s">
        <v>396</v>
      </c>
      <c r="B131" s="286" t="s">
        <v>397</v>
      </c>
      <c r="C131" s="309">
        <v>28422359</v>
      </c>
      <c r="D131" s="353">
        <v>36777123</v>
      </c>
      <c r="E131" s="309">
        <v>45851430</v>
      </c>
      <c r="F131" s="353">
        <v>39163517</v>
      </c>
      <c r="G131" s="309">
        <v>42819885</v>
      </c>
      <c r="H131" s="353">
        <v>43585283</v>
      </c>
      <c r="I131" s="309">
        <v>48243067</v>
      </c>
      <c r="J131" s="353"/>
      <c r="K131" s="309"/>
      <c r="L131" s="353"/>
      <c r="M131" s="309"/>
      <c r="N131" s="353"/>
      <c r="O131" s="309">
        <f t="shared" si="26"/>
        <v>284862664</v>
      </c>
    </row>
    <row r="132" spans="1:23" s="269" customFormat="1" ht="15" customHeight="1">
      <c r="A132" s="794" t="s">
        <v>398</v>
      </c>
      <c r="B132" s="286" t="s">
        <v>399</v>
      </c>
      <c r="C132" s="309">
        <v>3676547</v>
      </c>
      <c r="D132" s="353">
        <v>6938935</v>
      </c>
      <c r="E132" s="309">
        <v>6983161</v>
      </c>
      <c r="F132" s="353">
        <v>4191047</v>
      </c>
      <c r="G132" s="309">
        <v>6617777</v>
      </c>
      <c r="H132" s="353">
        <v>3878686</v>
      </c>
      <c r="I132" s="309">
        <v>4402423</v>
      </c>
      <c r="J132" s="353"/>
      <c r="K132" s="309"/>
      <c r="L132" s="353"/>
      <c r="M132" s="309"/>
      <c r="N132" s="353"/>
      <c r="O132" s="309">
        <f t="shared" si="26"/>
        <v>36688576</v>
      </c>
    </row>
    <row r="133" spans="1:23" s="269" customFormat="1" ht="15" customHeight="1">
      <c r="A133" s="791" t="s">
        <v>400</v>
      </c>
      <c r="B133" s="291" t="s">
        <v>401</v>
      </c>
      <c r="C133" s="312">
        <f>SUM(C134:C137)</f>
        <v>61294877</v>
      </c>
      <c r="D133" s="354">
        <f>SUM(D134:D137)</f>
        <v>50185012</v>
      </c>
      <c r="E133" s="312">
        <f t="shared" ref="E133:N133" si="35">SUM(E134:E137)</f>
        <v>44347554</v>
      </c>
      <c r="F133" s="312">
        <f t="shared" si="35"/>
        <v>50703824</v>
      </c>
      <c r="G133" s="312">
        <f t="shared" si="35"/>
        <v>58521434</v>
      </c>
      <c r="H133" s="312">
        <f t="shared" si="35"/>
        <v>60447416</v>
      </c>
      <c r="I133" s="312">
        <f t="shared" si="35"/>
        <v>68509436</v>
      </c>
      <c r="J133" s="312">
        <f t="shared" si="35"/>
        <v>0</v>
      </c>
      <c r="K133" s="312">
        <f t="shared" si="35"/>
        <v>0</v>
      </c>
      <c r="L133" s="312">
        <f t="shared" si="35"/>
        <v>0</v>
      </c>
      <c r="M133" s="312">
        <f t="shared" si="35"/>
        <v>0</v>
      </c>
      <c r="N133" s="312">
        <f t="shared" si="35"/>
        <v>0</v>
      </c>
      <c r="O133" s="312">
        <f t="shared" si="26"/>
        <v>394009553</v>
      </c>
    </row>
    <row r="134" spans="1:23" s="269" customFormat="1" ht="15" customHeight="1">
      <c r="A134" s="794" t="s">
        <v>402</v>
      </c>
      <c r="B134" s="286" t="s">
        <v>403</v>
      </c>
      <c r="C134" s="309">
        <v>59678667</v>
      </c>
      <c r="D134" s="353">
        <v>49251353</v>
      </c>
      <c r="E134" s="309">
        <v>43731206</v>
      </c>
      <c r="F134" s="353">
        <v>47037895</v>
      </c>
      <c r="G134" s="309">
        <v>56450641</v>
      </c>
      <c r="H134" s="353">
        <v>59411826</v>
      </c>
      <c r="I134" s="309">
        <v>62461801</v>
      </c>
      <c r="J134" s="353"/>
      <c r="K134" s="309"/>
      <c r="L134" s="353"/>
      <c r="M134" s="309"/>
      <c r="N134" s="353"/>
      <c r="O134" s="309">
        <f t="shared" si="26"/>
        <v>378023389</v>
      </c>
    </row>
    <row r="135" spans="1:23" s="269" customFormat="1" ht="15" customHeight="1">
      <c r="A135" s="794" t="s">
        <v>404</v>
      </c>
      <c r="B135" s="286" t="s">
        <v>405</v>
      </c>
      <c r="C135" s="309">
        <v>139578</v>
      </c>
      <c r="D135" s="353">
        <v>660659</v>
      </c>
      <c r="E135" s="309">
        <v>308798</v>
      </c>
      <c r="F135" s="353">
        <v>1692947</v>
      </c>
      <c r="G135" s="309">
        <v>615793</v>
      </c>
      <c r="H135" s="353">
        <v>964590</v>
      </c>
      <c r="I135" s="309">
        <v>388857</v>
      </c>
      <c r="J135" s="353"/>
      <c r="K135" s="309"/>
      <c r="L135" s="353"/>
      <c r="M135" s="309"/>
      <c r="N135" s="353"/>
      <c r="O135" s="309">
        <f t="shared" ref="O135:O180" si="36">SUM(C135:N135)</f>
        <v>4771222</v>
      </c>
    </row>
    <row r="136" spans="1:23" s="295" customFormat="1" ht="15" hidden="1" customHeight="1">
      <c r="A136" s="796" t="s">
        <v>406</v>
      </c>
      <c r="B136" s="314" t="s">
        <v>407</v>
      </c>
      <c r="C136" s="315"/>
      <c r="D136" s="352"/>
      <c r="E136" s="315"/>
      <c r="F136" s="352"/>
      <c r="G136" s="315"/>
      <c r="H136" s="352"/>
      <c r="I136" s="315"/>
      <c r="J136" s="352"/>
      <c r="K136" s="315"/>
      <c r="L136" s="352"/>
      <c r="M136" s="315"/>
      <c r="N136" s="352"/>
      <c r="O136" s="315">
        <f t="shared" si="36"/>
        <v>0</v>
      </c>
    </row>
    <row r="137" spans="1:23" s="269" customFormat="1" ht="15" customHeight="1">
      <c r="A137" s="794" t="s">
        <v>408</v>
      </c>
      <c r="B137" s="286" t="s">
        <v>62</v>
      </c>
      <c r="C137" s="309">
        <v>1476632</v>
      </c>
      <c r="D137" s="353">
        <v>273000</v>
      </c>
      <c r="E137" s="309">
        <v>307550</v>
      </c>
      <c r="F137" s="353">
        <v>1972982</v>
      </c>
      <c r="G137" s="309">
        <v>1455000</v>
      </c>
      <c r="H137" s="353">
        <v>71000</v>
      </c>
      <c r="I137" s="309">
        <v>5658778</v>
      </c>
      <c r="J137" s="353"/>
      <c r="K137" s="309"/>
      <c r="L137" s="353"/>
      <c r="M137" s="309"/>
      <c r="N137" s="353"/>
      <c r="O137" s="309">
        <f t="shared" si="36"/>
        <v>11214942</v>
      </c>
    </row>
    <row r="138" spans="1:23" s="269" customFormat="1" ht="15" customHeight="1">
      <c r="A138" s="791" t="s">
        <v>409</v>
      </c>
      <c r="B138" s="291" t="s">
        <v>410</v>
      </c>
      <c r="C138" s="312">
        <f>SUM(C139:C147)</f>
        <v>15291486</v>
      </c>
      <c r="D138" s="354">
        <f>SUM(D139:D147)</f>
        <v>16275118</v>
      </c>
      <c r="E138" s="312">
        <f t="shared" ref="E138:N138" si="37">SUM(E139:E147)</f>
        <v>18210747</v>
      </c>
      <c r="F138" s="312">
        <f t="shared" si="37"/>
        <v>14880761</v>
      </c>
      <c r="G138" s="312">
        <f t="shared" si="37"/>
        <v>19859654</v>
      </c>
      <c r="H138" s="312">
        <f t="shared" si="37"/>
        <v>16567140</v>
      </c>
      <c r="I138" s="312">
        <f t="shared" si="37"/>
        <v>19897171</v>
      </c>
      <c r="J138" s="312">
        <f t="shared" si="37"/>
        <v>0</v>
      </c>
      <c r="K138" s="312">
        <f t="shared" si="37"/>
        <v>0</v>
      </c>
      <c r="L138" s="312">
        <f t="shared" si="37"/>
        <v>0</v>
      </c>
      <c r="M138" s="312">
        <f t="shared" si="37"/>
        <v>0</v>
      </c>
      <c r="N138" s="312">
        <f t="shared" si="37"/>
        <v>0</v>
      </c>
      <c r="O138" s="312">
        <f t="shared" si="36"/>
        <v>120982077</v>
      </c>
    </row>
    <row r="139" spans="1:23" s="269" customFormat="1" ht="15" customHeight="1">
      <c r="A139" s="794" t="s">
        <v>411</v>
      </c>
      <c r="B139" s="286" t="s">
        <v>412</v>
      </c>
      <c r="C139" s="309"/>
      <c r="D139" s="353"/>
      <c r="E139" s="309"/>
      <c r="F139" s="353"/>
      <c r="G139" s="309"/>
      <c r="H139" s="353"/>
      <c r="I139" s="309"/>
      <c r="J139" s="353"/>
      <c r="K139" s="309"/>
      <c r="L139" s="353"/>
      <c r="M139" s="309"/>
      <c r="N139" s="353"/>
      <c r="O139" s="309">
        <f t="shared" si="36"/>
        <v>0</v>
      </c>
    </row>
    <row r="140" spans="1:23" s="269" customFormat="1" ht="15" customHeight="1">
      <c r="A140" s="794" t="s">
        <v>413</v>
      </c>
      <c r="B140" s="286" t="s">
        <v>414</v>
      </c>
      <c r="C140" s="309"/>
      <c r="D140" s="353"/>
      <c r="E140" s="309"/>
      <c r="F140" s="353"/>
      <c r="G140" s="309">
        <v>77285</v>
      </c>
      <c r="H140" s="353"/>
      <c r="I140" s="309">
        <v>1661</v>
      </c>
      <c r="J140" s="353"/>
      <c r="K140" s="309"/>
      <c r="L140" s="353"/>
      <c r="M140" s="309"/>
      <c r="N140" s="353"/>
      <c r="O140" s="309">
        <f t="shared" si="36"/>
        <v>78946</v>
      </c>
    </row>
    <row r="141" spans="1:23" s="269" customFormat="1" ht="15" customHeight="1">
      <c r="A141" s="794" t="s">
        <v>415</v>
      </c>
      <c r="B141" s="286" t="s">
        <v>416</v>
      </c>
      <c r="C141" s="309"/>
      <c r="D141" s="353"/>
      <c r="E141" s="309"/>
      <c r="F141" s="353"/>
      <c r="G141" s="309"/>
      <c r="H141" s="353"/>
      <c r="I141" s="309"/>
      <c r="J141" s="353"/>
      <c r="K141" s="309"/>
      <c r="L141" s="353"/>
      <c r="M141" s="309"/>
      <c r="N141" s="353"/>
      <c r="O141" s="309">
        <f t="shared" si="36"/>
        <v>0</v>
      </c>
    </row>
    <row r="142" spans="1:23" s="269" customFormat="1" ht="15" customHeight="1">
      <c r="A142" s="794" t="s">
        <v>417</v>
      </c>
      <c r="B142" s="286" t="s">
        <v>418</v>
      </c>
      <c r="C142" s="309"/>
      <c r="D142" s="353"/>
      <c r="E142" s="309"/>
      <c r="F142" s="353"/>
      <c r="G142" s="309"/>
      <c r="H142" s="353"/>
      <c r="I142" s="309"/>
      <c r="J142" s="353"/>
      <c r="K142" s="309"/>
      <c r="L142" s="353"/>
      <c r="M142" s="309"/>
      <c r="N142" s="353"/>
      <c r="O142" s="309">
        <f t="shared" si="36"/>
        <v>0</v>
      </c>
    </row>
    <row r="143" spans="1:23" s="269" customFormat="1" ht="15" customHeight="1">
      <c r="A143" s="794" t="s">
        <v>419</v>
      </c>
      <c r="B143" s="286" t="s">
        <v>420</v>
      </c>
      <c r="C143" s="309"/>
      <c r="D143" s="353"/>
      <c r="E143" s="309"/>
      <c r="F143" s="353"/>
      <c r="G143" s="309"/>
      <c r="H143" s="353"/>
      <c r="I143" s="309"/>
      <c r="J143" s="353"/>
      <c r="K143" s="309"/>
      <c r="L143" s="353"/>
      <c r="M143" s="309"/>
      <c r="N143" s="353"/>
      <c r="O143" s="309">
        <f t="shared" si="36"/>
        <v>0</v>
      </c>
    </row>
    <row r="144" spans="1:23" s="285" customFormat="1" ht="15" customHeight="1">
      <c r="A144" s="793" t="s">
        <v>421</v>
      </c>
      <c r="B144" s="298" t="s">
        <v>422</v>
      </c>
      <c r="C144" s="306">
        <f>+' AI_Receita DGA jul'!C18</f>
        <v>14349623</v>
      </c>
      <c r="D144" s="306">
        <f>+' AI_Receita DGA jul'!D18</f>
        <v>15222195</v>
      </c>
      <c r="E144" s="306">
        <f>+' AI_Receita DGA jul'!E18</f>
        <v>16906700</v>
      </c>
      <c r="F144" s="306">
        <f>+' AI_Receita DGA jul'!F18</f>
        <v>13855760</v>
      </c>
      <c r="G144" s="306">
        <f>+' AI_Receita DGA jul'!G18</f>
        <v>18675198</v>
      </c>
      <c r="H144" s="306">
        <f>+' AI_Receita DGA jul'!H18</f>
        <v>15533419</v>
      </c>
      <c r="I144" s="306">
        <f>+' AI_Receita DGA jul'!I18</f>
        <v>18575739</v>
      </c>
      <c r="J144" s="306">
        <f>+' AI_Receita DGA jul'!J18</f>
        <v>0</v>
      </c>
      <c r="K144" s="306">
        <f>+' AI_Receita DGA jul'!K18</f>
        <v>0</v>
      </c>
      <c r="L144" s="306">
        <f>+' AI_Receita DGA jul'!L18</f>
        <v>0</v>
      </c>
      <c r="M144" s="306">
        <f>+' AI_Receita DGA jul'!M18</f>
        <v>0</v>
      </c>
      <c r="N144" s="306">
        <f>+' AI_Receita DGA jul'!N18</f>
        <v>0</v>
      </c>
      <c r="O144" s="306">
        <f t="shared" si="36"/>
        <v>113118634</v>
      </c>
    </row>
    <row r="145" spans="1:23" s="295" customFormat="1" ht="15" hidden="1" customHeight="1">
      <c r="A145" s="795" t="s">
        <v>423</v>
      </c>
      <c r="B145" s="293" t="s">
        <v>424</v>
      </c>
      <c r="C145" s="307"/>
      <c r="D145" s="355"/>
      <c r="E145" s="307"/>
      <c r="F145" s="355"/>
      <c r="G145" s="307"/>
      <c r="H145" s="355"/>
      <c r="I145" s="307"/>
      <c r="J145" s="355"/>
      <c r="K145" s="307"/>
      <c r="L145" s="355"/>
      <c r="M145" s="307"/>
      <c r="N145" s="355"/>
      <c r="O145" s="307">
        <f t="shared" si="36"/>
        <v>0</v>
      </c>
    </row>
    <row r="146" spans="1:23" s="269" customFormat="1" ht="15" customHeight="1">
      <c r="A146" s="794" t="s">
        <v>425</v>
      </c>
      <c r="B146" s="286" t="s">
        <v>426</v>
      </c>
      <c r="C146" s="309">
        <v>941863</v>
      </c>
      <c r="D146" s="309">
        <v>1052923</v>
      </c>
      <c r="E146" s="353">
        <v>1304047</v>
      </c>
      <c r="F146" s="309">
        <v>1025001</v>
      </c>
      <c r="G146" s="309">
        <v>1107171</v>
      </c>
      <c r="H146" s="353">
        <v>1033721</v>
      </c>
      <c r="I146" s="309">
        <v>1319771</v>
      </c>
      <c r="J146" s="309"/>
      <c r="K146" s="353"/>
      <c r="L146" s="309"/>
      <c r="M146" s="309"/>
      <c r="N146" s="353"/>
      <c r="O146" s="309">
        <f t="shared" si="36"/>
        <v>7784497</v>
      </c>
    </row>
    <row r="147" spans="1:23" s="269" customFormat="1" ht="15" customHeight="1">
      <c r="A147" s="300" t="s">
        <v>427</v>
      </c>
      <c r="B147" s="297" t="s">
        <v>428</v>
      </c>
      <c r="C147" s="308"/>
      <c r="D147" s="356"/>
      <c r="E147" s="308"/>
      <c r="F147" s="356"/>
      <c r="G147" s="308"/>
      <c r="H147" s="356"/>
      <c r="I147" s="308"/>
      <c r="J147" s="356"/>
      <c r="K147" s="308"/>
      <c r="L147" s="356"/>
      <c r="M147" s="308"/>
      <c r="N147" s="356"/>
      <c r="O147" s="308">
        <f t="shared" si="36"/>
        <v>0</v>
      </c>
    </row>
    <row r="148" spans="1:23" s="295" customFormat="1" ht="15" hidden="1" customHeight="1">
      <c r="A148" s="795" t="s">
        <v>382</v>
      </c>
      <c r="B148" s="293" t="s">
        <v>383</v>
      </c>
      <c r="C148" s="307"/>
      <c r="D148" s="355"/>
      <c r="E148" s="307"/>
      <c r="F148" s="355"/>
      <c r="G148" s="307"/>
      <c r="H148" s="355"/>
      <c r="I148" s="307"/>
      <c r="J148" s="355"/>
      <c r="K148" s="307"/>
      <c r="L148" s="355"/>
      <c r="M148" s="307"/>
      <c r="N148" s="355"/>
      <c r="O148" s="307">
        <f t="shared" si="36"/>
        <v>0</v>
      </c>
    </row>
    <row r="149" spans="1:23" s="269" customFormat="1" ht="15" customHeight="1">
      <c r="A149" s="791" t="s">
        <v>429</v>
      </c>
      <c r="B149" s="291" t="s">
        <v>79</v>
      </c>
      <c r="C149" s="312">
        <f>SUM(C150:C157)</f>
        <v>8638175</v>
      </c>
      <c r="D149" s="354">
        <f t="shared" ref="D149:N149" si="38">SUM(D150:D157)</f>
        <v>12966176</v>
      </c>
      <c r="E149" s="312">
        <f t="shared" si="38"/>
        <v>12127142</v>
      </c>
      <c r="F149" s="312">
        <f t="shared" si="38"/>
        <v>12630237</v>
      </c>
      <c r="G149" s="312">
        <f t="shared" si="38"/>
        <v>13226900</v>
      </c>
      <c r="H149" s="312">
        <f t="shared" si="38"/>
        <v>16390476</v>
      </c>
      <c r="I149" s="312">
        <f t="shared" si="38"/>
        <v>15084263</v>
      </c>
      <c r="J149" s="312">
        <f t="shared" si="38"/>
        <v>0</v>
      </c>
      <c r="K149" s="312">
        <f t="shared" si="38"/>
        <v>0</v>
      </c>
      <c r="L149" s="312">
        <f t="shared" si="38"/>
        <v>0</v>
      </c>
      <c r="M149" s="312">
        <f t="shared" si="38"/>
        <v>0</v>
      </c>
      <c r="N149" s="312">
        <f t="shared" si="38"/>
        <v>0</v>
      </c>
      <c r="O149" s="312">
        <f t="shared" si="36"/>
        <v>91063369</v>
      </c>
    </row>
    <row r="150" spans="1:23" s="269" customFormat="1" ht="15" customHeight="1">
      <c r="A150" s="794" t="s">
        <v>430</v>
      </c>
      <c r="B150" s="286" t="s">
        <v>431</v>
      </c>
      <c r="C150" s="309">
        <v>3583000</v>
      </c>
      <c r="D150" s="353">
        <v>4099083</v>
      </c>
      <c r="E150" s="309">
        <v>4483150</v>
      </c>
      <c r="F150" s="353">
        <v>3877650</v>
      </c>
      <c r="G150" s="309">
        <v>3764400</v>
      </c>
      <c r="H150" s="353">
        <v>4673150</v>
      </c>
      <c r="I150" s="309">
        <v>4789333</v>
      </c>
      <c r="J150" s="353"/>
      <c r="K150" s="309"/>
      <c r="L150" s="353"/>
      <c r="M150" s="309"/>
      <c r="N150" s="353"/>
      <c r="O150" s="309">
        <f t="shared" si="36"/>
        <v>29269766</v>
      </c>
    </row>
    <row r="151" spans="1:23" s="269" customFormat="1" ht="15" hidden="1" customHeight="1">
      <c r="A151" s="796" t="s">
        <v>432</v>
      </c>
      <c r="B151" s="314" t="s">
        <v>433</v>
      </c>
      <c r="C151" s="315"/>
      <c r="D151" s="352"/>
      <c r="E151" s="315"/>
      <c r="F151" s="352"/>
      <c r="G151" s="315"/>
      <c r="H151" s="352"/>
      <c r="I151" s="315"/>
      <c r="J151" s="352"/>
      <c r="K151" s="315"/>
      <c r="L151" s="352"/>
      <c r="M151" s="315"/>
      <c r="N151" s="352"/>
      <c r="O151" s="315">
        <f t="shared" si="36"/>
        <v>0</v>
      </c>
      <c r="P151" s="346"/>
      <c r="Q151" s="346"/>
      <c r="R151" s="346"/>
      <c r="S151" s="346"/>
      <c r="T151" s="346"/>
      <c r="U151" s="346"/>
      <c r="V151" s="346"/>
      <c r="W151" s="346"/>
    </row>
    <row r="152" spans="1:23" s="269" customFormat="1" ht="15" hidden="1" customHeight="1">
      <c r="A152" s="796" t="s">
        <v>434</v>
      </c>
      <c r="B152" s="314" t="s">
        <v>435</v>
      </c>
      <c r="C152" s="315"/>
      <c r="D152" s="352"/>
      <c r="E152" s="315"/>
      <c r="F152" s="352"/>
      <c r="G152" s="315"/>
      <c r="H152" s="352"/>
      <c r="I152" s="315"/>
      <c r="J152" s="352"/>
      <c r="K152" s="315"/>
      <c r="L152" s="352"/>
      <c r="M152" s="315"/>
      <c r="N152" s="352"/>
      <c r="O152" s="315">
        <f t="shared" si="36"/>
        <v>0</v>
      </c>
      <c r="P152" s="351"/>
      <c r="Q152" s="351"/>
      <c r="R152" s="351"/>
      <c r="S152" s="351"/>
      <c r="T152" s="351"/>
      <c r="U152" s="351"/>
      <c r="V152" s="346"/>
      <c r="W152" s="346"/>
    </row>
    <row r="153" spans="1:23" s="269" customFormat="1" ht="15" customHeight="1">
      <c r="A153" s="794" t="s">
        <v>436</v>
      </c>
      <c r="B153" s="286" t="s">
        <v>437</v>
      </c>
      <c r="C153" s="309">
        <v>691</v>
      </c>
      <c r="D153" s="353">
        <v>66</v>
      </c>
      <c r="E153" s="309">
        <v>8760</v>
      </c>
      <c r="F153" s="353">
        <v>37</v>
      </c>
      <c r="G153" s="309"/>
      <c r="H153" s="353">
        <v>457</v>
      </c>
      <c r="I153" s="309">
        <v>11691</v>
      </c>
      <c r="J153" s="353"/>
      <c r="K153" s="309"/>
      <c r="L153" s="353"/>
      <c r="M153" s="309"/>
      <c r="N153" s="353"/>
      <c r="O153" s="309">
        <f t="shared" si="36"/>
        <v>21702</v>
      </c>
      <c r="P153" s="351"/>
      <c r="Q153" s="351"/>
      <c r="R153" s="351"/>
      <c r="S153" s="351"/>
      <c r="T153" s="351"/>
      <c r="U153" s="351"/>
      <c r="V153" s="346"/>
      <c r="W153" s="346"/>
    </row>
    <row r="154" spans="1:23" s="269" customFormat="1" ht="15" customHeight="1">
      <c r="A154" s="793" t="s">
        <v>438</v>
      </c>
      <c r="B154" s="298" t="s">
        <v>439</v>
      </c>
      <c r="C154" s="903">
        <f>((+' AI_Receita DGA jul'!C19))+284493</f>
        <v>326041</v>
      </c>
      <c r="D154" s="903">
        <f>((+' AI_Receita DGA jul'!D19))+216516</f>
        <v>238690</v>
      </c>
      <c r="E154" s="903">
        <f>((+' AI_Receita DGA jul'!E19))+346646</f>
        <v>377588</v>
      </c>
      <c r="F154" s="903">
        <f>((+' AI_Receita DGA jul'!F19))+137143</f>
        <v>138143</v>
      </c>
      <c r="G154" s="903">
        <f>((+' AI_Receita DGA jul'!G19))+200735</f>
        <v>207735</v>
      </c>
      <c r="H154" s="903">
        <f>((+' AI_Receita DGA jul'!H19))+151743</f>
        <v>200443</v>
      </c>
      <c r="I154" s="903">
        <f>(+' AI_Receita DGA jul'!I19)+175334</f>
        <v>195608</v>
      </c>
      <c r="J154" s="306">
        <f>+' AI_Receita DGA jul'!J19</f>
        <v>0</v>
      </c>
      <c r="K154" s="306">
        <f>+' AI_Receita DGA jul'!K19</f>
        <v>0</v>
      </c>
      <c r="L154" s="306">
        <f>+' AI_Receita DGA jul'!L19</f>
        <v>0</v>
      </c>
      <c r="M154" s="306">
        <f>+' AI_Receita DGA jul'!M19</f>
        <v>0</v>
      </c>
      <c r="N154" s="306">
        <f>+' AI_Receita DGA jul'!N19</f>
        <v>0</v>
      </c>
      <c r="O154" s="306">
        <f t="shared" si="36"/>
        <v>1684248</v>
      </c>
      <c r="P154" s="350"/>
      <c r="Q154" s="350"/>
      <c r="R154" s="350"/>
      <c r="S154" s="350"/>
      <c r="T154" s="350"/>
      <c r="U154" s="350"/>
      <c r="V154" s="346"/>
      <c r="W154" s="346"/>
    </row>
    <row r="155" spans="1:23" s="269" customFormat="1" ht="15" customHeight="1">
      <c r="A155" s="793" t="s">
        <v>440</v>
      </c>
      <c r="B155" s="298" t="s">
        <v>79</v>
      </c>
      <c r="C155" s="903">
        <f>((+' AI_Receita DGA jul'!C20))+1531643</f>
        <v>4588673</v>
      </c>
      <c r="D155" s="903">
        <f>((+' AI_Receita DGA jul'!D20))+3860795</f>
        <v>8121734</v>
      </c>
      <c r="E155" s="903">
        <f>((+' AI_Receita DGA jul'!E20))+3332895</f>
        <v>6707099</v>
      </c>
      <c r="F155" s="903">
        <f>((+' AI_Receita DGA jul'!F20))+4498133</f>
        <v>8142393</v>
      </c>
      <c r="G155" s="903">
        <f>((+' AI_Receita DGA jul'!G20))+4194223</f>
        <v>7906069</v>
      </c>
      <c r="H155" s="903">
        <f>((+' AI_Receita DGA jul'!H20))+7240186</f>
        <v>10823068</v>
      </c>
      <c r="I155" s="903">
        <f>(+' AI_Receita DGA jul'!I20)+5296029</f>
        <v>8498825</v>
      </c>
      <c r="J155" s="306">
        <f>+' AI_Receita DGA jul'!J20</f>
        <v>0</v>
      </c>
      <c r="K155" s="306">
        <f>+' AI_Receita DGA jul'!K20</f>
        <v>0</v>
      </c>
      <c r="L155" s="306">
        <f>+' AI_Receita DGA jul'!L20</f>
        <v>0</v>
      </c>
      <c r="M155" s="306">
        <f>+' AI_Receita DGA jul'!M20</f>
        <v>0</v>
      </c>
      <c r="N155" s="306">
        <f>+' AI_Receita DGA jul'!N20</f>
        <v>0</v>
      </c>
      <c r="O155" s="306">
        <f t="shared" si="36"/>
        <v>54787861</v>
      </c>
      <c r="P155" s="350"/>
      <c r="Q155" s="350"/>
      <c r="R155" s="350"/>
      <c r="S155" s="350"/>
      <c r="T155" s="350"/>
      <c r="U155" s="350"/>
      <c r="V155" s="346"/>
      <c r="W155" s="346"/>
    </row>
    <row r="156" spans="1:23" s="269" customFormat="1" ht="15" customHeight="1">
      <c r="A156" s="793" t="s">
        <v>441</v>
      </c>
      <c r="B156" s="298" t="s">
        <v>442</v>
      </c>
      <c r="C156" s="903">
        <f>((+' AI_Receita DGA jul'!C21))+139770</f>
        <v>139770</v>
      </c>
      <c r="D156" s="903">
        <f>((+' AI_Receita DGA jul'!D21))+506603</f>
        <v>506603</v>
      </c>
      <c r="E156" s="903">
        <f>((+' AI_Receita DGA jul'!E21))+550545</f>
        <v>550545</v>
      </c>
      <c r="F156" s="903">
        <f>((+' AI_Receita DGA jul'!F21))+472014</f>
        <v>472014</v>
      </c>
      <c r="G156" s="903">
        <f>((+' AI_Receita DGA jul'!G21))+1348696</f>
        <v>1348696</v>
      </c>
      <c r="H156" s="903">
        <f>((+' AI_Receita DGA jul'!H21))+693358</f>
        <v>693358</v>
      </c>
      <c r="I156" s="903">
        <f>(+' AI_Receita DGA jul'!I21)+1588806</f>
        <v>1588806</v>
      </c>
      <c r="J156" s="306">
        <f>+' AI_Receita DGA jul'!J21</f>
        <v>0</v>
      </c>
      <c r="K156" s="306">
        <f>+' AI_Receita DGA jul'!K21</f>
        <v>0</v>
      </c>
      <c r="L156" s="306">
        <f>+' AI_Receita DGA jul'!L21</f>
        <v>0</v>
      </c>
      <c r="M156" s="306">
        <f>+' AI_Receita DGA jul'!M21</f>
        <v>0</v>
      </c>
      <c r="N156" s="306">
        <f>+' AI_Receita DGA jul'!N21</f>
        <v>0</v>
      </c>
      <c r="O156" s="306">
        <f t="shared" si="36"/>
        <v>5299792</v>
      </c>
      <c r="P156" s="350"/>
      <c r="Q156" s="350"/>
      <c r="R156" s="350"/>
      <c r="S156" s="350"/>
      <c r="T156" s="350"/>
      <c r="U156" s="350"/>
      <c r="V156" s="346"/>
      <c r="W156" s="346"/>
    </row>
    <row r="157" spans="1:23" s="285" customFormat="1" ht="15" customHeight="1">
      <c r="A157" s="794" t="s">
        <v>443</v>
      </c>
      <c r="B157" s="286" t="s">
        <v>444</v>
      </c>
      <c r="C157" s="309"/>
      <c r="D157" s="353"/>
      <c r="E157" s="309"/>
      <c r="F157" s="353"/>
      <c r="G157" s="309"/>
      <c r="H157" s="353"/>
      <c r="I157" s="309"/>
      <c r="J157" s="353"/>
      <c r="K157" s="309"/>
      <c r="L157" s="353"/>
      <c r="M157" s="309"/>
      <c r="N157" s="353"/>
      <c r="O157" s="309">
        <f t="shared" si="36"/>
        <v>0</v>
      </c>
      <c r="P157" s="350"/>
      <c r="Q157" s="350"/>
      <c r="R157" s="350"/>
      <c r="S157" s="350"/>
      <c r="T157" s="350"/>
      <c r="U157" s="350"/>
      <c r="V157" s="351"/>
      <c r="W157" s="351"/>
    </row>
    <row r="158" spans="1:23" s="269" customFormat="1" ht="15" customHeight="1">
      <c r="A158" s="791" t="s">
        <v>445</v>
      </c>
      <c r="B158" s="291" t="s">
        <v>446</v>
      </c>
      <c r="C158" s="312">
        <f>SUM(C159:C161)</f>
        <v>1522692</v>
      </c>
      <c r="D158" s="354">
        <f t="shared" ref="D158:N158" si="39">SUM(D159:D161)</f>
        <v>2523780</v>
      </c>
      <c r="E158" s="312">
        <f t="shared" si="39"/>
        <v>4786085</v>
      </c>
      <c r="F158" s="312">
        <f t="shared" si="39"/>
        <v>2467644</v>
      </c>
      <c r="G158" s="312">
        <f t="shared" si="39"/>
        <v>4006070</v>
      </c>
      <c r="H158" s="312">
        <f t="shared" si="39"/>
        <v>6379350</v>
      </c>
      <c r="I158" s="312">
        <f t="shared" si="39"/>
        <v>2207574</v>
      </c>
      <c r="J158" s="312">
        <f t="shared" si="39"/>
        <v>0</v>
      </c>
      <c r="K158" s="312">
        <f t="shared" si="39"/>
        <v>0</v>
      </c>
      <c r="L158" s="312">
        <f t="shared" si="39"/>
        <v>0</v>
      </c>
      <c r="M158" s="312">
        <f t="shared" si="39"/>
        <v>0</v>
      </c>
      <c r="N158" s="312">
        <f t="shared" si="39"/>
        <v>0</v>
      </c>
      <c r="O158" s="312">
        <f t="shared" si="36"/>
        <v>23893195</v>
      </c>
      <c r="P158" s="351"/>
      <c r="Q158" s="351"/>
      <c r="R158" s="351"/>
      <c r="S158" s="351"/>
      <c r="T158" s="351"/>
      <c r="U158" s="351"/>
      <c r="V158" s="346"/>
      <c r="W158" s="346"/>
    </row>
    <row r="159" spans="1:23" s="269" customFormat="1" ht="15" customHeight="1">
      <c r="A159" s="794" t="s">
        <v>447</v>
      </c>
      <c r="B159" s="286" t="s">
        <v>448</v>
      </c>
      <c r="C159" s="309">
        <v>1522692</v>
      </c>
      <c r="D159" s="353">
        <v>2523780</v>
      </c>
      <c r="E159" s="309">
        <v>4786085</v>
      </c>
      <c r="F159" s="353">
        <v>2467644</v>
      </c>
      <c r="G159" s="309">
        <v>4006070</v>
      </c>
      <c r="H159" s="353">
        <v>6379350</v>
      </c>
      <c r="I159" s="309">
        <v>2207574</v>
      </c>
      <c r="J159" s="353"/>
      <c r="K159" s="309"/>
      <c r="L159" s="353"/>
      <c r="M159" s="309"/>
      <c r="N159" s="353"/>
      <c r="O159" s="309">
        <f t="shared" si="36"/>
        <v>23893195</v>
      </c>
      <c r="P159" s="357"/>
      <c r="Q159" s="346"/>
      <c r="R159" s="346"/>
      <c r="S159" s="346"/>
      <c r="T159" s="346"/>
      <c r="U159" s="346"/>
      <c r="V159" s="346"/>
      <c r="W159" s="346"/>
    </row>
    <row r="160" spans="1:23" s="269" customFormat="1" ht="15" customHeight="1">
      <c r="A160" s="794" t="s">
        <v>449</v>
      </c>
      <c r="B160" s="286" t="s">
        <v>450</v>
      </c>
      <c r="C160" s="309"/>
      <c r="D160" s="353"/>
      <c r="E160" s="309"/>
      <c r="F160" s="353"/>
      <c r="G160" s="309"/>
      <c r="H160" s="353"/>
      <c r="I160" s="309"/>
      <c r="J160" s="353"/>
      <c r="K160" s="309"/>
      <c r="L160" s="353"/>
      <c r="M160" s="309"/>
      <c r="N160" s="353"/>
      <c r="O160" s="309">
        <f t="shared" si="36"/>
        <v>0</v>
      </c>
      <c r="P160" s="357"/>
      <c r="Q160" s="346"/>
      <c r="R160" s="346"/>
      <c r="S160" s="346"/>
      <c r="T160" s="346"/>
      <c r="U160" s="346"/>
      <c r="V160" s="346"/>
      <c r="W160" s="346"/>
    </row>
    <row r="161" spans="1:17" s="269" customFormat="1" ht="15" hidden="1" customHeight="1">
      <c r="A161" s="795" t="s">
        <v>451</v>
      </c>
      <c r="B161" s="293" t="s">
        <v>270</v>
      </c>
      <c r="C161" s="307"/>
      <c r="D161" s="355"/>
      <c r="E161" s="307"/>
      <c r="F161" s="355"/>
      <c r="G161" s="307"/>
      <c r="H161" s="355"/>
      <c r="I161" s="307"/>
      <c r="J161" s="355"/>
      <c r="K161" s="307"/>
      <c r="L161" s="355"/>
      <c r="M161" s="307"/>
      <c r="N161" s="355"/>
      <c r="O161" s="307">
        <f t="shared" si="36"/>
        <v>0</v>
      </c>
    </row>
    <row r="162" spans="1:17" s="269" customFormat="1" ht="15" customHeight="1">
      <c r="A162" s="791" t="s">
        <v>452</v>
      </c>
      <c r="B162" s="291" t="s">
        <v>81</v>
      </c>
      <c r="C162" s="312">
        <f>SUM(C163:C166)</f>
        <v>5230915</v>
      </c>
      <c r="D162" s="354">
        <f t="shared" ref="D162:N162" si="40">SUM(D163:D166)</f>
        <v>24643520</v>
      </c>
      <c r="E162" s="312">
        <f t="shared" si="40"/>
        <v>9904418</v>
      </c>
      <c r="F162" s="312">
        <f t="shared" si="40"/>
        <v>8521081</v>
      </c>
      <c r="G162" s="312">
        <f t="shared" si="40"/>
        <v>15006554</v>
      </c>
      <c r="H162" s="312">
        <f t="shared" si="40"/>
        <v>8570636</v>
      </c>
      <c r="I162" s="312">
        <f t="shared" si="40"/>
        <v>14809857</v>
      </c>
      <c r="J162" s="312">
        <f t="shared" si="40"/>
        <v>0</v>
      </c>
      <c r="K162" s="312">
        <f t="shared" si="40"/>
        <v>0</v>
      </c>
      <c r="L162" s="312">
        <f t="shared" si="40"/>
        <v>0</v>
      </c>
      <c r="M162" s="312">
        <f t="shared" si="40"/>
        <v>0</v>
      </c>
      <c r="N162" s="312">
        <f t="shared" si="40"/>
        <v>0</v>
      </c>
      <c r="O162" s="312">
        <f t="shared" si="36"/>
        <v>86686981</v>
      </c>
    </row>
    <row r="163" spans="1:17" s="269" customFormat="1" ht="15" customHeight="1">
      <c r="A163" s="794" t="s">
        <v>453</v>
      </c>
      <c r="B163" s="286" t="s">
        <v>454</v>
      </c>
      <c r="C163" s="309"/>
      <c r="D163" s="353"/>
      <c r="E163" s="309"/>
      <c r="F163" s="353"/>
      <c r="G163" s="309"/>
      <c r="H163" s="353"/>
      <c r="I163" s="309"/>
      <c r="J163" s="353"/>
      <c r="K163" s="309"/>
      <c r="L163" s="353"/>
      <c r="M163" s="309"/>
      <c r="N163" s="353"/>
      <c r="O163" s="309">
        <f t="shared" si="36"/>
        <v>0</v>
      </c>
      <c r="P163" s="271"/>
    </row>
    <row r="164" spans="1:17" s="269" customFormat="1" ht="15" customHeight="1">
      <c r="A164" s="794" t="s">
        <v>455</v>
      </c>
      <c r="B164" s="286" t="s">
        <v>456</v>
      </c>
      <c r="C164" s="309">
        <v>179115</v>
      </c>
      <c r="D164" s="353">
        <v>172851</v>
      </c>
      <c r="E164" s="309">
        <v>244715</v>
      </c>
      <c r="F164" s="353">
        <v>367488</v>
      </c>
      <c r="G164" s="309">
        <v>525876</v>
      </c>
      <c r="H164" s="353">
        <v>459428</v>
      </c>
      <c r="I164" s="309">
        <v>565743</v>
      </c>
      <c r="J164" s="353"/>
      <c r="K164" s="309"/>
      <c r="L164" s="353"/>
      <c r="M164" s="309"/>
      <c r="N164" s="353"/>
      <c r="O164" s="309">
        <f t="shared" si="36"/>
        <v>2515216</v>
      </c>
      <c r="P164" s="271"/>
      <c r="Q164" s="271"/>
    </row>
    <row r="165" spans="1:17" s="269" customFormat="1" ht="15" customHeight="1">
      <c r="A165" s="794" t="s">
        <v>457</v>
      </c>
      <c r="B165" s="286" t="s">
        <v>458</v>
      </c>
      <c r="C165" s="309"/>
      <c r="D165" s="353"/>
      <c r="E165" s="309"/>
      <c r="F165" s="353"/>
      <c r="G165" s="309"/>
      <c r="H165" s="353"/>
      <c r="I165" s="309"/>
      <c r="J165" s="353"/>
      <c r="K165" s="309"/>
      <c r="L165" s="353"/>
      <c r="M165" s="309"/>
      <c r="N165" s="353"/>
      <c r="O165" s="309">
        <f t="shared" si="36"/>
        <v>0</v>
      </c>
      <c r="P165" s="271"/>
      <c r="Q165" s="271"/>
    </row>
    <row r="166" spans="1:17" s="269" customFormat="1" ht="15" customHeight="1" thickBot="1">
      <c r="A166" s="800" t="s">
        <v>459</v>
      </c>
      <c r="B166" s="332" t="s">
        <v>460</v>
      </c>
      <c r="C166" s="318">
        <v>5051800</v>
      </c>
      <c r="D166" s="358">
        <v>24470669</v>
      </c>
      <c r="E166" s="318">
        <v>9659703</v>
      </c>
      <c r="F166" s="358">
        <v>8153593</v>
      </c>
      <c r="G166" s="318">
        <v>14480678</v>
      </c>
      <c r="H166" s="358">
        <v>8111208</v>
      </c>
      <c r="I166" s="318">
        <v>14244114</v>
      </c>
      <c r="J166" s="358"/>
      <c r="K166" s="318"/>
      <c r="L166" s="358"/>
      <c r="M166" s="318"/>
      <c r="N166" s="358"/>
      <c r="O166" s="318">
        <f t="shared" si="36"/>
        <v>84171765</v>
      </c>
    </row>
    <row r="167" spans="1:17" s="364" customFormat="1" ht="20.149999999999999" customHeight="1" thickBot="1">
      <c r="A167" s="359" t="s">
        <v>461</v>
      </c>
      <c r="B167" s="360"/>
      <c r="C167" s="361">
        <f>+C5+C47+C54+C78</f>
        <v>2416245267</v>
      </c>
      <c r="D167" s="361">
        <f t="shared" ref="D167:N167" si="41">+D5+D47+D54+D78</f>
        <v>2645215219</v>
      </c>
      <c r="E167" s="361">
        <f t="shared" si="41"/>
        <v>3655021444</v>
      </c>
      <c r="F167" s="361">
        <f t="shared" si="41"/>
        <v>2797612662</v>
      </c>
      <c r="G167" s="361">
        <f t="shared" si="41"/>
        <v>3477376967</v>
      </c>
      <c r="H167" s="361">
        <f>+H5+H47+H54+H78</f>
        <v>2896156681</v>
      </c>
      <c r="I167" s="361">
        <f t="shared" si="41"/>
        <v>3455403206</v>
      </c>
      <c r="J167" s="361">
        <f t="shared" si="41"/>
        <v>0</v>
      </c>
      <c r="K167" s="361">
        <f t="shared" si="41"/>
        <v>0</v>
      </c>
      <c r="L167" s="361">
        <f t="shared" si="41"/>
        <v>0</v>
      </c>
      <c r="M167" s="361">
        <f t="shared" si="41"/>
        <v>0</v>
      </c>
      <c r="N167" s="361">
        <f t="shared" si="41"/>
        <v>0</v>
      </c>
      <c r="O167" s="362">
        <f>SUM(C167:N167)</f>
        <v>21343031446</v>
      </c>
      <c r="P167" s="363"/>
      <c r="Q167" s="363"/>
    </row>
    <row r="168" spans="1:17" s="269" customFormat="1" ht="15" thickBot="1">
      <c r="A168" s="789"/>
      <c r="B168" s="283" t="s">
        <v>462</v>
      </c>
      <c r="C168" s="365"/>
      <c r="D168" s="366"/>
      <c r="E168" s="365"/>
      <c r="F168" s="366"/>
      <c r="G168" s="365"/>
      <c r="H168" s="366"/>
      <c r="I168" s="365"/>
      <c r="J168" s="366"/>
      <c r="K168" s="365"/>
      <c r="L168" s="366"/>
      <c r="M168" s="365"/>
      <c r="N168" s="366"/>
      <c r="O168" s="365">
        <f t="shared" si="36"/>
        <v>0</v>
      </c>
      <c r="P168" s="285"/>
      <c r="Q168" s="285"/>
    </row>
    <row r="169" spans="1:17" s="368" customFormat="1" ht="20.149999999999999" customHeight="1" thickBot="1">
      <c r="A169" s="322" t="s">
        <v>463</v>
      </c>
      <c r="B169" s="323" t="s">
        <v>464</v>
      </c>
      <c r="C169" s="324">
        <f>C170+C178</f>
        <v>23564330</v>
      </c>
      <c r="D169" s="367">
        <f t="shared" ref="D169:N169" si="42">D170+D178</f>
        <v>61269745</v>
      </c>
      <c r="E169" s="324">
        <f t="shared" si="42"/>
        <v>240254527</v>
      </c>
      <c r="F169" s="324">
        <f t="shared" si="42"/>
        <v>37987735</v>
      </c>
      <c r="G169" s="324">
        <f t="shared" si="42"/>
        <v>161176438</v>
      </c>
      <c r="H169" s="324">
        <f t="shared" si="42"/>
        <v>3306080</v>
      </c>
      <c r="I169" s="324">
        <f t="shared" si="42"/>
        <v>6320710</v>
      </c>
      <c r="J169" s="324">
        <f t="shared" si="42"/>
        <v>0</v>
      </c>
      <c r="K169" s="324">
        <f t="shared" si="42"/>
        <v>0</v>
      </c>
      <c r="L169" s="324">
        <f t="shared" si="42"/>
        <v>0</v>
      </c>
      <c r="M169" s="324">
        <f t="shared" si="42"/>
        <v>0</v>
      </c>
      <c r="N169" s="324">
        <f t="shared" si="42"/>
        <v>0</v>
      </c>
      <c r="O169" s="325">
        <f t="shared" si="36"/>
        <v>533879565</v>
      </c>
      <c r="P169" s="740"/>
    </row>
    <row r="170" spans="1:17" s="269" customFormat="1" ht="14.25" customHeight="1">
      <c r="A170" s="799" t="s">
        <v>465</v>
      </c>
      <c r="B170" s="329" t="s">
        <v>466</v>
      </c>
      <c r="C170" s="330">
        <f>SUM(C171:C177)</f>
        <v>23554830</v>
      </c>
      <c r="D170" s="369">
        <f t="shared" ref="D170:N170" si="43">SUM(D171:D177)</f>
        <v>61269745</v>
      </c>
      <c r="E170" s="330">
        <f>SUM(E171:E177)</f>
        <v>240254527</v>
      </c>
      <c r="F170" s="330">
        <f t="shared" si="43"/>
        <v>37987735</v>
      </c>
      <c r="G170" s="330">
        <f t="shared" si="43"/>
        <v>161176438</v>
      </c>
      <c r="H170" s="330">
        <f t="shared" si="43"/>
        <v>3306080</v>
      </c>
      <c r="I170" s="330">
        <f t="shared" si="43"/>
        <v>6320710</v>
      </c>
      <c r="J170" s="330">
        <f t="shared" si="43"/>
        <v>0</v>
      </c>
      <c r="K170" s="330">
        <f t="shared" si="43"/>
        <v>0</v>
      </c>
      <c r="L170" s="330">
        <f t="shared" si="43"/>
        <v>0</v>
      </c>
      <c r="M170" s="330">
        <f t="shared" si="43"/>
        <v>0</v>
      </c>
      <c r="N170" s="330">
        <f t="shared" si="43"/>
        <v>0</v>
      </c>
      <c r="O170" s="330">
        <f t="shared" si="36"/>
        <v>533870065</v>
      </c>
    </row>
    <row r="171" spans="1:17" s="269" customFormat="1" ht="14.25" customHeight="1">
      <c r="A171" s="794" t="s">
        <v>467</v>
      </c>
      <c r="B171" s="286" t="s">
        <v>468</v>
      </c>
      <c r="C171" s="309"/>
      <c r="D171" s="353">
        <v>5000</v>
      </c>
      <c r="E171" s="309">
        <v>5000</v>
      </c>
      <c r="F171" s="353">
        <v>5000</v>
      </c>
      <c r="G171" s="309">
        <v>5000</v>
      </c>
      <c r="H171" s="353">
        <v>5000</v>
      </c>
      <c r="I171" s="309">
        <v>5000</v>
      </c>
      <c r="J171" s="353"/>
      <c r="K171" s="309"/>
      <c r="L171" s="353"/>
      <c r="M171" s="309"/>
      <c r="N171" s="353"/>
      <c r="O171" s="309">
        <f t="shared" si="36"/>
        <v>30000</v>
      </c>
    </row>
    <row r="172" spans="1:17" s="295" customFormat="1">
      <c r="A172" s="794" t="s">
        <v>469</v>
      </c>
      <c r="B172" s="286" t="s">
        <v>470</v>
      </c>
      <c r="C172" s="309">
        <v>23554830</v>
      </c>
      <c r="D172" s="353">
        <v>61264745</v>
      </c>
      <c r="E172" s="309">
        <v>223401035</v>
      </c>
      <c r="F172" s="353">
        <v>1893000</v>
      </c>
      <c r="G172" s="309">
        <v>161171438</v>
      </c>
      <c r="H172" s="353">
        <v>3301080</v>
      </c>
      <c r="I172" s="309">
        <v>6315710</v>
      </c>
      <c r="J172" s="353"/>
      <c r="K172" s="309"/>
      <c r="L172" s="353"/>
      <c r="M172" s="309"/>
      <c r="N172" s="353"/>
      <c r="O172" s="309">
        <f t="shared" si="36"/>
        <v>480901838</v>
      </c>
      <c r="Q172" s="295">
        <f>+O172/1000000</f>
        <v>480.901838</v>
      </c>
    </row>
    <row r="173" spans="1:17" s="295" customFormat="1">
      <c r="A173" s="794" t="s">
        <v>471</v>
      </c>
      <c r="B173" s="286" t="s">
        <v>472</v>
      </c>
      <c r="C173" s="309"/>
      <c r="D173" s="353"/>
      <c r="E173" s="309"/>
      <c r="F173" s="353"/>
      <c r="G173" s="309"/>
      <c r="H173" s="353"/>
      <c r="I173" s="309"/>
      <c r="J173" s="353"/>
      <c r="K173" s="309"/>
      <c r="L173" s="353"/>
      <c r="M173" s="309"/>
      <c r="N173" s="353"/>
      <c r="O173" s="309">
        <f t="shared" si="36"/>
        <v>0</v>
      </c>
    </row>
    <row r="174" spans="1:17" s="295" customFormat="1" ht="29">
      <c r="A174" s="794" t="s">
        <v>473</v>
      </c>
      <c r="B174" s="286" t="s">
        <v>474</v>
      </c>
      <c r="C174" s="309"/>
      <c r="D174" s="353"/>
      <c r="E174" s="309"/>
      <c r="F174" s="353"/>
      <c r="G174" s="309"/>
      <c r="H174" s="353"/>
      <c r="I174" s="309"/>
      <c r="J174" s="353"/>
      <c r="K174" s="309"/>
      <c r="L174" s="353"/>
      <c r="M174" s="309"/>
      <c r="N174" s="353"/>
      <c r="O174" s="309">
        <f t="shared" si="36"/>
        <v>0</v>
      </c>
    </row>
    <row r="175" spans="1:17" s="295" customFormat="1">
      <c r="A175" s="300" t="s">
        <v>475</v>
      </c>
      <c r="B175" s="297" t="s">
        <v>476</v>
      </c>
      <c r="C175" s="308">
        <v>0</v>
      </c>
      <c r="D175" s="356"/>
      <c r="E175" s="308"/>
      <c r="F175" s="356"/>
      <c r="G175" s="308"/>
      <c r="H175" s="356"/>
      <c r="I175" s="308"/>
      <c r="J175" s="356"/>
      <c r="K175" s="308"/>
      <c r="L175" s="356"/>
      <c r="M175" s="308"/>
      <c r="N175" s="356"/>
      <c r="O175" s="308">
        <f t="shared" si="36"/>
        <v>0</v>
      </c>
    </row>
    <row r="176" spans="1:17" s="295" customFormat="1">
      <c r="A176" s="803" t="s">
        <v>477</v>
      </c>
      <c r="B176" s="370" t="s">
        <v>478</v>
      </c>
      <c r="C176" s="348"/>
      <c r="D176" s="371"/>
      <c r="E176" s="348">
        <v>16848492</v>
      </c>
      <c r="F176" s="371">
        <v>36089735</v>
      </c>
      <c r="G176" s="348"/>
      <c r="H176" s="371"/>
      <c r="I176" s="348"/>
      <c r="J176" s="371"/>
      <c r="K176" s="348"/>
      <c r="L176" s="371"/>
      <c r="M176" s="348"/>
      <c r="N176" s="371"/>
      <c r="O176" s="348">
        <f t="shared" si="36"/>
        <v>52938227</v>
      </c>
      <c r="P176" s="268"/>
    </row>
    <row r="177" spans="1:25" s="269" customFormat="1" ht="29">
      <c r="A177" s="300" t="s">
        <v>479</v>
      </c>
      <c r="B177" s="297" t="s">
        <v>480</v>
      </c>
      <c r="C177" s="308"/>
      <c r="D177" s="356"/>
      <c r="E177" s="308"/>
      <c r="F177" s="356"/>
      <c r="G177" s="308"/>
      <c r="H177" s="356"/>
      <c r="I177" s="308"/>
      <c r="J177" s="356"/>
      <c r="K177" s="308"/>
      <c r="L177" s="356"/>
      <c r="M177" s="308"/>
      <c r="N177" s="356"/>
      <c r="O177" s="308">
        <f t="shared" si="36"/>
        <v>0</v>
      </c>
    </row>
    <row r="178" spans="1:25" s="269" customFormat="1">
      <c r="A178" s="791" t="s">
        <v>481</v>
      </c>
      <c r="B178" s="291" t="s">
        <v>482</v>
      </c>
      <c r="C178" s="312">
        <f>SUM(C179:C180)</f>
        <v>9500</v>
      </c>
      <c r="D178" s="354">
        <f t="shared" ref="D178:N178" si="44">SUM(D179:D180)</f>
        <v>0</v>
      </c>
      <c r="E178" s="312">
        <f t="shared" si="44"/>
        <v>0</v>
      </c>
      <c r="F178" s="312">
        <f t="shared" si="44"/>
        <v>0</v>
      </c>
      <c r="G178" s="312">
        <f t="shared" si="44"/>
        <v>0</v>
      </c>
      <c r="H178" s="312">
        <f t="shared" si="44"/>
        <v>0</v>
      </c>
      <c r="I178" s="312">
        <f t="shared" si="44"/>
        <v>0</v>
      </c>
      <c r="J178" s="312">
        <f t="shared" si="44"/>
        <v>0</v>
      </c>
      <c r="K178" s="312">
        <f t="shared" si="44"/>
        <v>0</v>
      </c>
      <c r="L178" s="312">
        <f t="shared" si="44"/>
        <v>0</v>
      </c>
      <c r="M178" s="312">
        <f t="shared" si="44"/>
        <v>0</v>
      </c>
      <c r="N178" s="312">
        <f t="shared" si="44"/>
        <v>0</v>
      </c>
      <c r="O178" s="312">
        <f t="shared" si="36"/>
        <v>9500</v>
      </c>
    </row>
    <row r="179" spans="1:25" ht="29">
      <c r="A179" s="794" t="s">
        <v>483</v>
      </c>
      <c r="B179" s="286" t="s">
        <v>484</v>
      </c>
      <c r="C179" s="309"/>
      <c r="D179" s="353"/>
      <c r="E179" s="309"/>
      <c r="F179" s="353"/>
      <c r="G179" s="309"/>
      <c r="H179" s="353"/>
      <c r="I179" s="309"/>
      <c r="J179" s="353"/>
      <c r="K179" s="309"/>
      <c r="L179" s="353"/>
      <c r="M179" s="309"/>
      <c r="N179" s="353"/>
      <c r="O179" s="309">
        <f t="shared" si="36"/>
        <v>0</v>
      </c>
    </row>
    <row r="180" spans="1:25" ht="29">
      <c r="A180" s="794" t="s">
        <v>485</v>
      </c>
      <c r="B180" s="286" t="s">
        <v>486</v>
      </c>
      <c r="C180" s="309">
        <v>9500</v>
      </c>
      <c r="D180" s="353"/>
      <c r="E180" s="309"/>
      <c r="F180" s="353"/>
      <c r="G180" s="309"/>
      <c r="H180" s="353"/>
      <c r="I180" s="309"/>
      <c r="J180" s="353"/>
      <c r="K180" s="309"/>
      <c r="L180" s="353"/>
      <c r="M180" s="309"/>
      <c r="N180" s="353"/>
      <c r="O180" s="309">
        <f t="shared" si="36"/>
        <v>9500</v>
      </c>
      <c r="Q180" s="267"/>
    </row>
    <row r="181" spans="1:25" s="269" customFormat="1">
      <c r="A181" s="804" t="s">
        <v>487</v>
      </c>
      <c r="B181" s="372"/>
      <c r="C181" s="373">
        <f>+C167+C169</f>
        <v>2439809597</v>
      </c>
      <c r="D181" s="373">
        <f t="shared" ref="D181:N181" si="45">+D167+D169</f>
        <v>2706484964</v>
      </c>
      <c r="E181" s="373">
        <f t="shared" si="45"/>
        <v>3895275971</v>
      </c>
      <c r="F181" s="372">
        <f t="shared" si="45"/>
        <v>2835600397</v>
      </c>
      <c r="G181" s="373">
        <f t="shared" si="45"/>
        <v>3638553405</v>
      </c>
      <c r="H181" s="372">
        <f>+H167+H169</f>
        <v>2899462761</v>
      </c>
      <c r="I181" s="373">
        <f t="shared" si="45"/>
        <v>3461723916</v>
      </c>
      <c r="J181" s="372">
        <f t="shared" si="45"/>
        <v>0</v>
      </c>
      <c r="K181" s="373">
        <f t="shared" si="45"/>
        <v>0</v>
      </c>
      <c r="L181" s="372">
        <f t="shared" si="45"/>
        <v>0</v>
      </c>
      <c r="M181" s="373">
        <f t="shared" si="45"/>
        <v>0</v>
      </c>
      <c r="N181" s="372">
        <f t="shared" si="45"/>
        <v>0</v>
      </c>
      <c r="O181" s="373">
        <f>SUM(C181:N181)</f>
        <v>21876911011</v>
      </c>
      <c r="P181" s="271"/>
      <c r="T181" s="271"/>
      <c r="U181" s="271"/>
      <c r="V181" s="271"/>
    </row>
    <row r="183" spans="1:25">
      <c r="O183" s="375"/>
    </row>
    <row r="184" spans="1:25">
      <c r="D184" s="376"/>
      <c r="E184" s="375"/>
      <c r="F184" s="376"/>
      <c r="G184" s="376"/>
      <c r="H184" s="376"/>
      <c r="J184" s="376"/>
      <c r="K184" s="376"/>
      <c r="L184" s="376"/>
      <c r="M184" s="376"/>
      <c r="N184" s="376"/>
      <c r="O184" s="375"/>
      <c r="S184" s="267"/>
      <c r="X184" s="267"/>
    </row>
    <row r="185" spans="1:25">
      <c r="F185" s="376"/>
      <c r="G185" s="376"/>
      <c r="H185" s="376"/>
      <c r="J185" s="376"/>
      <c r="L185" s="376"/>
      <c r="M185" s="376"/>
      <c r="N185" s="376"/>
      <c r="O185" s="375"/>
      <c r="P185" s="267"/>
      <c r="Q185" s="267"/>
      <c r="Y185" s="267"/>
    </row>
    <row r="186" spans="1:25">
      <c r="D186" s="376"/>
      <c r="E186" s="375"/>
      <c r="F186" s="376"/>
      <c r="G186" s="376"/>
      <c r="H186" s="376"/>
      <c r="J186" s="376"/>
      <c r="K186" s="376"/>
      <c r="L186" s="376"/>
      <c r="M186" s="376"/>
      <c r="N186" s="376"/>
      <c r="O186" s="375"/>
    </row>
    <row r="187" spans="1:25">
      <c r="P187" s="377"/>
    </row>
    <row r="188" spans="1:25">
      <c r="B188" s="378" t="s">
        <v>205</v>
      </c>
      <c r="C188" s="379">
        <v>1276731492</v>
      </c>
      <c r="D188" s="379">
        <v>1267387827</v>
      </c>
      <c r="E188" s="379">
        <v>1581678176</v>
      </c>
      <c r="F188" s="379">
        <v>1328198768</v>
      </c>
      <c r="G188" s="380">
        <v>1419386291</v>
      </c>
      <c r="H188" s="379">
        <v>1540412611</v>
      </c>
      <c r="I188" s="379">
        <v>1882408330</v>
      </c>
      <c r="J188" s="379"/>
      <c r="K188" s="379"/>
      <c r="L188" s="379"/>
      <c r="M188" s="379"/>
      <c r="N188" s="379"/>
      <c r="O188" s="381">
        <f>+SUM(C188:N188)</f>
        <v>10296203495</v>
      </c>
      <c r="P188" s="376"/>
      <c r="Q188" s="267"/>
    </row>
    <row r="189" spans="1:25">
      <c r="B189" s="378" t="s">
        <v>488</v>
      </c>
      <c r="C189" s="267">
        <v>1163078105</v>
      </c>
      <c r="D189" s="267">
        <v>1439097137</v>
      </c>
      <c r="E189" s="267">
        <v>2313597795</v>
      </c>
      <c r="F189" s="267">
        <v>1507401629</v>
      </c>
      <c r="G189" s="382">
        <v>2219167114</v>
      </c>
      <c r="H189" s="382">
        <v>1359050150</v>
      </c>
      <c r="I189" s="382">
        <v>1579315586</v>
      </c>
      <c r="J189" s="382"/>
      <c r="K189" s="382"/>
      <c r="L189" s="382"/>
      <c r="M189" s="382"/>
      <c r="N189" s="382"/>
      <c r="O189" s="381">
        <f>+SUM(C189:N189)</f>
        <v>11580707516</v>
      </c>
      <c r="P189" s="375"/>
      <c r="R189" s="267"/>
    </row>
    <row r="190" spans="1:25" hidden="1">
      <c r="B190" s="383" t="s">
        <v>489</v>
      </c>
      <c r="C190" s="384"/>
      <c r="D190" s="384"/>
      <c r="E190" s="384"/>
      <c r="F190" s="384"/>
      <c r="G190" s="385"/>
      <c r="H190" s="385"/>
      <c r="I190" s="385"/>
      <c r="J190" s="385"/>
      <c r="K190" s="385"/>
      <c r="L190" s="385"/>
      <c r="M190" s="379"/>
      <c r="N190" s="379"/>
      <c r="O190" s="381">
        <f t="shared" ref="O190:O191" si="46">+SUM(C190:N190)</f>
        <v>0</v>
      </c>
      <c r="P190" s="375"/>
      <c r="R190" s="267"/>
    </row>
    <row r="191" spans="1:25">
      <c r="B191" s="378" t="s">
        <v>490</v>
      </c>
      <c r="C191" s="381">
        <f>SUM(C188:C190)</f>
        <v>2439809597</v>
      </c>
      <c r="D191" s="381">
        <f t="shared" ref="D191:F191" si="47">SUM(D188:D190)</f>
        <v>2706484964</v>
      </c>
      <c r="E191" s="381">
        <f t="shared" si="47"/>
        <v>3895275971</v>
      </c>
      <c r="F191" s="381">
        <f t="shared" si="47"/>
        <v>2835600397</v>
      </c>
      <c r="G191" s="381">
        <f t="shared" ref="G191:N191" si="48">+G188+G189</f>
        <v>3638553405</v>
      </c>
      <c r="H191" s="381">
        <f>+H188+H189</f>
        <v>2899462761</v>
      </c>
      <c r="I191" s="381">
        <f t="shared" si="48"/>
        <v>3461723916</v>
      </c>
      <c r="J191" s="381">
        <f t="shared" si="48"/>
        <v>0</v>
      </c>
      <c r="K191" s="381">
        <f t="shared" si="48"/>
        <v>0</v>
      </c>
      <c r="L191" s="381">
        <f t="shared" si="48"/>
        <v>0</v>
      </c>
      <c r="M191" s="381">
        <f t="shared" si="48"/>
        <v>0</v>
      </c>
      <c r="N191" s="381">
        <f t="shared" si="48"/>
        <v>0</v>
      </c>
      <c r="O191" s="381">
        <f t="shared" si="46"/>
        <v>21876911011</v>
      </c>
      <c r="P191" s="267"/>
      <c r="T191" s="267"/>
    </row>
    <row r="192" spans="1:25">
      <c r="C192" s="357">
        <f>+C191-C181</f>
        <v>0</v>
      </c>
      <c r="D192" s="357">
        <f t="shared" ref="D192:N192" si="49">+D191-D181</f>
        <v>0</v>
      </c>
      <c r="E192" s="357">
        <f t="shared" si="49"/>
        <v>0</v>
      </c>
      <c r="F192" s="357">
        <f t="shared" si="49"/>
        <v>0</v>
      </c>
      <c r="G192" s="357">
        <f t="shared" si="49"/>
        <v>0</v>
      </c>
      <c r="H192" s="357">
        <f>+H191-H181</f>
        <v>0</v>
      </c>
      <c r="I192" s="357">
        <f t="shared" si="49"/>
        <v>0</v>
      </c>
      <c r="J192" s="357">
        <f t="shared" si="49"/>
        <v>0</v>
      </c>
      <c r="K192" s="357">
        <f t="shared" si="49"/>
        <v>0</v>
      </c>
      <c r="L192" s="357">
        <f t="shared" si="49"/>
        <v>0</v>
      </c>
      <c r="M192" s="357">
        <f t="shared" si="49"/>
        <v>0</v>
      </c>
      <c r="N192" s="357">
        <f t="shared" si="49"/>
        <v>0</v>
      </c>
      <c r="O192" s="386">
        <f>+O191-O181</f>
        <v>0</v>
      </c>
      <c r="P192" s="376"/>
      <c r="Q192" s="376"/>
      <c r="R192" s="376"/>
      <c r="S192" s="376"/>
      <c r="T192" s="376"/>
      <c r="U192" s="376"/>
      <c r="V192" s="376"/>
      <c r="W192" s="376"/>
    </row>
    <row r="194" spans="2:23" hidden="1">
      <c r="P194" s="267"/>
      <c r="Q194" s="267"/>
    </row>
    <row r="195" spans="2:23" hidden="1">
      <c r="O195" s="387">
        <f>+C194-C195</f>
        <v>0</v>
      </c>
    </row>
    <row r="196" spans="2:23">
      <c r="P196" s="267"/>
      <c r="Q196" s="267"/>
      <c r="R196" s="267"/>
      <c r="S196" s="267"/>
      <c r="T196" s="267"/>
      <c r="U196" s="267"/>
      <c r="V196" s="267"/>
      <c r="W196" s="267"/>
    </row>
    <row r="197" spans="2:23">
      <c r="Q197" s="267"/>
    </row>
    <row r="198" spans="2:23">
      <c r="B198" s="738" t="s">
        <v>205</v>
      </c>
      <c r="C198" s="388">
        <f>+C181-C188</f>
        <v>1163078105</v>
      </c>
      <c r="D198" s="388">
        <f t="shared" ref="D198:N198" si="50">+D181-D188</f>
        <v>1439097137</v>
      </c>
      <c r="E198" s="388">
        <f t="shared" si="50"/>
        <v>2313597795</v>
      </c>
      <c r="F198" s="388">
        <f t="shared" si="50"/>
        <v>1507401629</v>
      </c>
      <c r="G198" s="388">
        <f t="shared" si="50"/>
        <v>2219167114</v>
      </c>
      <c r="H198" s="388">
        <f t="shared" si="50"/>
        <v>1359050150</v>
      </c>
      <c r="I198" s="388">
        <f t="shared" si="50"/>
        <v>1579315586</v>
      </c>
      <c r="J198" s="388">
        <f t="shared" si="50"/>
        <v>0</v>
      </c>
      <c r="K198" s="388">
        <f t="shared" si="50"/>
        <v>0</v>
      </c>
      <c r="L198" s="388">
        <f t="shared" si="50"/>
        <v>0</v>
      </c>
      <c r="M198" s="388">
        <f t="shared" si="50"/>
        <v>0</v>
      </c>
      <c r="N198" s="388">
        <f t="shared" si="50"/>
        <v>0</v>
      </c>
      <c r="O198" s="388"/>
    </row>
    <row r="199" spans="2:23">
      <c r="C199" s="267">
        <f>+C189-C198</f>
        <v>0</v>
      </c>
      <c r="D199" s="267">
        <f t="shared" ref="D199:G199" si="51">+D189-D198</f>
        <v>0</v>
      </c>
      <c r="E199" s="267">
        <f t="shared" si="51"/>
        <v>0</v>
      </c>
      <c r="F199" s="267">
        <f t="shared" si="51"/>
        <v>0</v>
      </c>
      <c r="G199" s="267">
        <f t="shared" si="51"/>
        <v>0</v>
      </c>
      <c r="H199" s="267">
        <f>+H189-H198</f>
        <v>0</v>
      </c>
      <c r="I199" s="267">
        <f>+I189-I198</f>
        <v>0</v>
      </c>
      <c r="P199" s="267"/>
      <c r="Q199" s="267"/>
      <c r="R199" s="267"/>
      <c r="S199" s="267"/>
      <c r="T199" s="267"/>
      <c r="U199" s="267"/>
      <c r="V199" s="267"/>
      <c r="W199" s="267"/>
    </row>
  </sheetData>
  <autoFilter ref="A4:R175"/>
  <mergeCells count="1">
    <mergeCell ref="P39:R39"/>
  </mergeCells>
  <pageMargins left="0.7" right="0.7" top="0.75" bottom="0.75" header="0.3" footer="0.3"/>
  <pageSetup paperSize="9" scale="10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G123"/>
  <sheetViews>
    <sheetView zoomScale="98" zoomScaleNormal="98" workbookViewId="0">
      <pane xSplit="2" ySplit="4" topLeftCell="C5" activePane="bottomRight" state="frozen"/>
      <selection activeCell="DY16" sqref="DY16"/>
      <selection pane="topRight" activeCell="DY16" sqref="DY16"/>
      <selection pane="bottomLeft" activeCell="DY16" sqref="DY16"/>
      <selection pane="bottomRight" activeCell="A6" sqref="A6"/>
    </sheetView>
  </sheetViews>
  <sheetFormatPr defaultColWidth="9.1796875" defaultRowHeight="14.5"/>
  <cols>
    <col min="1" max="1" width="13.7265625" customWidth="1"/>
    <col min="2" max="2" width="16.26953125" customWidth="1"/>
    <col min="3" max="3" width="15.1796875" hidden="1" customWidth="1"/>
    <col min="4" max="4" width="13.453125" hidden="1" customWidth="1"/>
    <col min="5" max="6" width="14.1796875" hidden="1" customWidth="1"/>
    <col min="7" max="8" width="13.453125" hidden="1" customWidth="1"/>
    <col min="9" max="9" width="13" bestFit="1" customWidth="1"/>
    <col min="10" max="10" width="13.7265625" hidden="1" customWidth="1"/>
    <col min="11" max="12" width="12.26953125" hidden="1" customWidth="1"/>
    <col min="13" max="13" width="14" hidden="1" customWidth="1"/>
    <col min="14" max="14" width="15" hidden="1" customWidth="1"/>
    <col min="15" max="15" width="14.7265625" customWidth="1"/>
    <col min="16" max="16" width="15.7265625" hidden="1" customWidth="1"/>
    <col min="17" max="17" width="15.81640625" hidden="1" customWidth="1"/>
    <col min="18" max="18" width="14.453125" customWidth="1"/>
    <col min="19" max="19" width="9.81640625" bestFit="1" customWidth="1"/>
    <col min="20" max="20" width="71.26953125" bestFit="1" customWidth="1"/>
    <col min="21" max="21" width="10.7265625" bestFit="1" customWidth="1"/>
    <col min="118" max="122" width="0" hidden="1" customWidth="1"/>
    <col min="130" max="130" width="8" customWidth="1"/>
    <col min="131" max="134" width="0" hidden="1" customWidth="1"/>
  </cols>
  <sheetData>
    <row r="1" spans="1:137">
      <c r="B1" s="265"/>
      <c r="C1" s="267"/>
      <c r="D1" s="267"/>
      <c r="E1" s="267"/>
      <c r="F1" s="267"/>
      <c r="G1" s="267"/>
      <c r="H1" s="267"/>
      <c r="I1" s="267"/>
      <c r="J1" s="267"/>
      <c r="K1" s="267"/>
      <c r="O1" s="268"/>
    </row>
    <row r="2" spans="1:137">
      <c r="A2" s="1067" t="s">
        <v>491</v>
      </c>
      <c r="B2" s="1067"/>
      <c r="C2" s="1067"/>
      <c r="D2" s="1067"/>
      <c r="E2" s="1067"/>
      <c r="F2" s="1067"/>
      <c r="G2" s="1067"/>
      <c r="H2" s="1067"/>
      <c r="I2" s="1067"/>
      <c r="J2" s="1067"/>
      <c r="K2" s="1067"/>
      <c r="L2" s="1067"/>
      <c r="M2" s="1067"/>
      <c r="N2" s="1067"/>
      <c r="O2" s="1067"/>
    </row>
    <row r="3" spans="1:137">
      <c r="C3" s="267"/>
      <c r="D3" s="267"/>
      <c r="E3" s="267"/>
      <c r="F3" s="267"/>
      <c r="G3" s="267"/>
      <c r="H3" s="267"/>
      <c r="I3" s="267"/>
      <c r="J3" s="267"/>
      <c r="K3" s="267"/>
      <c r="L3" s="267"/>
    </row>
    <row r="4" spans="1:137">
      <c r="A4" s="389" t="s">
        <v>165</v>
      </c>
      <c r="B4" s="389" t="s">
        <v>166</v>
      </c>
      <c r="C4" s="390" t="s">
        <v>167</v>
      </c>
      <c r="D4" s="390" t="s">
        <v>168</v>
      </c>
      <c r="E4" s="391" t="s">
        <v>169</v>
      </c>
      <c r="F4" s="390" t="s">
        <v>170</v>
      </c>
      <c r="G4" s="390" t="s">
        <v>21</v>
      </c>
      <c r="H4" s="391" t="s">
        <v>171</v>
      </c>
      <c r="I4" s="390" t="s">
        <v>172</v>
      </c>
      <c r="J4" s="390" t="s">
        <v>173</v>
      </c>
      <c r="K4" s="391" t="s">
        <v>174</v>
      </c>
      <c r="L4" s="390" t="s">
        <v>175</v>
      </c>
      <c r="M4" s="390" t="s">
        <v>176</v>
      </c>
      <c r="N4" s="390" t="s">
        <v>177</v>
      </c>
      <c r="O4" s="392" t="s">
        <v>487</v>
      </c>
      <c r="EF4" t="e">
        <f>+DZ4/DS4*100</f>
        <v>#DIV/0!</v>
      </c>
      <c r="EG4" t="e">
        <f>+(DZ4/DM4-1)*100</f>
        <v>#DIV/0!</v>
      </c>
    </row>
    <row r="5" spans="1:137" ht="15" customHeight="1">
      <c r="A5" s="389"/>
      <c r="B5" s="389" t="s">
        <v>492</v>
      </c>
      <c r="C5" s="393"/>
      <c r="D5" s="393"/>
      <c r="E5" s="392"/>
      <c r="F5" s="393"/>
      <c r="G5" s="393"/>
      <c r="H5" s="392"/>
      <c r="I5" s="393"/>
      <c r="J5" s="393"/>
      <c r="K5" s="392"/>
      <c r="L5" s="393"/>
      <c r="M5" s="393"/>
      <c r="N5" s="393"/>
      <c r="O5" s="394"/>
      <c r="T5" s="295" t="s">
        <v>493</v>
      </c>
      <c r="EF5" t="e">
        <f t="shared" ref="EF5:EF23" si="0">+DZ5/DS5*100</f>
        <v>#DIV/0!</v>
      </c>
      <c r="EG5" t="e">
        <f t="shared" ref="EG5:EG23" si="1">+(DZ5/DM5-1)*100</f>
        <v>#DIV/0!</v>
      </c>
    </row>
    <row r="6" spans="1:137" ht="15" customHeight="1">
      <c r="A6" s="395" t="s">
        <v>179</v>
      </c>
      <c r="B6" s="396" t="s">
        <v>36</v>
      </c>
      <c r="C6" s="397">
        <f>+C7+C8+C9+C10</f>
        <v>1226749227</v>
      </c>
      <c r="D6" s="381">
        <f t="shared" ref="D6:N6" si="2">+D7+D8+D9+D10</f>
        <v>1210126177</v>
      </c>
      <c r="E6" s="397">
        <f t="shared" si="2"/>
        <v>1513600146</v>
      </c>
      <c r="F6" s="397">
        <f t="shared" si="2"/>
        <v>1259481733</v>
      </c>
      <c r="G6" s="397">
        <f t="shared" si="2"/>
        <v>1352268967</v>
      </c>
      <c r="H6" s="397">
        <f t="shared" si="2"/>
        <v>1469589142</v>
      </c>
      <c r="I6" s="397">
        <f t="shared" si="2"/>
        <v>1791954363</v>
      </c>
      <c r="J6" s="397">
        <f t="shared" si="2"/>
        <v>0</v>
      </c>
      <c r="K6" s="397">
        <f>+K7+K8+K9+K10</f>
        <v>0</v>
      </c>
      <c r="L6" s="397">
        <f t="shared" si="2"/>
        <v>0</v>
      </c>
      <c r="M6" s="397">
        <f t="shared" si="2"/>
        <v>0</v>
      </c>
      <c r="N6" s="397">
        <f t="shared" si="2"/>
        <v>0</v>
      </c>
      <c r="O6" s="397">
        <f t="shared" ref="O6:O13" si="3">SUM(C6:N6)</f>
        <v>9823769755</v>
      </c>
      <c r="P6" s="397">
        <f>+P7+P8+P9+P10</f>
        <v>19201787362</v>
      </c>
      <c r="Q6" s="267"/>
      <c r="T6" t="s">
        <v>1073</v>
      </c>
      <c r="DZ6" s="884"/>
      <c r="EF6" t="e">
        <f t="shared" si="0"/>
        <v>#DIV/0!</v>
      </c>
      <c r="EG6" t="e">
        <f t="shared" si="1"/>
        <v>#DIV/0!</v>
      </c>
    </row>
    <row r="7" spans="1:137" ht="15" customHeight="1">
      <c r="A7" s="398"/>
      <c r="B7" s="399" t="s">
        <v>494</v>
      </c>
      <c r="C7" s="400">
        <v>540911846</v>
      </c>
      <c r="D7" s="401">
        <v>532600284</v>
      </c>
      <c r="E7" s="402">
        <v>667468732</v>
      </c>
      <c r="F7" s="401">
        <v>577001536</v>
      </c>
      <c r="G7" s="402">
        <v>636987689</v>
      </c>
      <c r="H7" s="401">
        <v>638063153</v>
      </c>
      <c r="I7" s="402">
        <v>832209897</v>
      </c>
      <c r="J7" s="401"/>
      <c r="K7" s="401"/>
      <c r="L7" s="402"/>
      <c r="M7" s="402"/>
      <c r="N7" s="403"/>
      <c r="O7" s="402">
        <f t="shared" si="3"/>
        <v>4425243137</v>
      </c>
      <c r="P7" s="402">
        <v>8259831793</v>
      </c>
      <c r="Q7" s="267">
        <f>+O7-P7</f>
        <v>-3834588656</v>
      </c>
      <c r="T7" s="737">
        <f>+[2]Folha1!$S$19+[2]Folha1!$S$20+[2]Folha1!$S$21+[2]Folha1!$S$25</f>
        <v>3202796</v>
      </c>
      <c r="DZ7" s="884"/>
      <c r="EF7" t="e">
        <f t="shared" si="0"/>
        <v>#DIV/0!</v>
      </c>
      <c r="EG7" t="e">
        <f t="shared" si="1"/>
        <v>#DIV/0!</v>
      </c>
    </row>
    <row r="8" spans="1:137" ht="15" customHeight="1">
      <c r="A8" s="398" t="s">
        <v>213</v>
      </c>
      <c r="B8" s="404" t="s">
        <v>214</v>
      </c>
      <c r="C8" s="402">
        <v>106039361</v>
      </c>
      <c r="D8" s="401">
        <v>115955464</v>
      </c>
      <c r="E8" s="402">
        <v>165664497</v>
      </c>
      <c r="F8" s="401">
        <v>113362639</v>
      </c>
      <c r="G8" s="402">
        <v>107034597</v>
      </c>
      <c r="H8" s="401">
        <v>168276296</v>
      </c>
      <c r="I8" s="402">
        <v>180392153</v>
      </c>
      <c r="J8" s="401"/>
      <c r="K8" s="401"/>
      <c r="L8" s="405"/>
      <c r="M8" s="405"/>
      <c r="N8" s="403"/>
      <c r="O8" s="405">
        <f t="shared" si="3"/>
        <v>956725007</v>
      </c>
      <c r="P8" s="405">
        <v>2192256591</v>
      </c>
      <c r="Q8" s="267">
        <f t="shared" ref="Q8:Q21" si="4">+O8-P8</f>
        <v>-1235531584</v>
      </c>
      <c r="T8" s="295" t="s">
        <v>495</v>
      </c>
      <c r="DZ8" s="884"/>
      <c r="EF8" t="e">
        <f t="shared" si="0"/>
        <v>#DIV/0!</v>
      </c>
      <c r="EG8" t="e">
        <f t="shared" si="1"/>
        <v>#DIV/0!</v>
      </c>
    </row>
    <row r="9" spans="1:137" ht="14.25" customHeight="1">
      <c r="A9" s="398" t="s">
        <v>226</v>
      </c>
      <c r="B9" s="404" t="s">
        <v>55</v>
      </c>
      <c r="C9" s="402">
        <v>40426380</v>
      </c>
      <c r="D9" s="401">
        <v>46262414</v>
      </c>
      <c r="E9" s="402">
        <v>60528586</v>
      </c>
      <c r="F9" s="401">
        <v>44006475</v>
      </c>
      <c r="G9" s="402">
        <v>47535743</v>
      </c>
      <c r="H9" s="401">
        <v>49591960</v>
      </c>
      <c r="I9" s="402">
        <v>53460054</v>
      </c>
      <c r="J9" s="401"/>
      <c r="K9" s="401"/>
      <c r="L9" s="405"/>
      <c r="M9" s="405"/>
      <c r="N9" s="403"/>
      <c r="O9" s="402">
        <f t="shared" si="3"/>
        <v>341811612</v>
      </c>
      <c r="P9" s="402">
        <v>738680860</v>
      </c>
      <c r="Q9" s="267">
        <f t="shared" si="4"/>
        <v>-396869248</v>
      </c>
      <c r="T9" t="s">
        <v>496</v>
      </c>
      <c r="DZ9" s="884"/>
      <c r="EF9" t="e">
        <f t="shared" si="0"/>
        <v>#DIV/0!</v>
      </c>
      <c r="EG9" t="e">
        <f t="shared" si="1"/>
        <v>#DIV/0!</v>
      </c>
    </row>
    <row r="10" spans="1:137" ht="15" customHeight="1">
      <c r="A10" s="406" t="s">
        <v>229</v>
      </c>
      <c r="B10" s="407" t="s">
        <v>230</v>
      </c>
      <c r="C10" s="408">
        <f>SUM(C11:C12)</f>
        <v>539371640</v>
      </c>
      <c r="D10" s="409">
        <f t="shared" ref="D10:P10" si="5">SUM(D11:D12)</f>
        <v>515308015</v>
      </c>
      <c r="E10" s="408">
        <f t="shared" si="5"/>
        <v>619938331</v>
      </c>
      <c r="F10" s="408">
        <f t="shared" si="5"/>
        <v>525111083</v>
      </c>
      <c r="G10" s="408">
        <f t="shared" si="5"/>
        <v>560710938</v>
      </c>
      <c r="H10" s="408">
        <f t="shared" si="5"/>
        <v>613657733</v>
      </c>
      <c r="I10" s="408">
        <f t="shared" si="5"/>
        <v>725892259</v>
      </c>
      <c r="J10" s="408">
        <f t="shared" si="5"/>
        <v>0</v>
      </c>
      <c r="K10" s="408">
        <f t="shared" si="5"/>
        <v>0</v>
      </c>
      <c r="L10" s="408">
        <f t="shared" si="5"/>
        <v>0</v>
      </c>
      <c r="M10" s="408">
        <f t="shared" si="5"/>
        <v>0</v>
      </c>
      <c r="N10" s="408">
        <f t="shared" si="5"/>
        <v>0</v>
      </c>
      <c r="O10" s="408">
        <f t="shared" si="3"/>
        <v>4099989999</v>
      </c>
      <c r="P10" s="408">
        <f t="shared" si="5"/>
        <v>8011018118</v>
      </c>
      <c r="Q10" s="267"/>
      <c r="T10" s="267">
        <f>+[2]Folha1!$S$24</f>
        <v>547850</v>
      </c>
      <c r="U10" s="267">
        <f>+[2]Folha1!$S$30</f>
        <v>27018000</v>
      </c>
      <c r="DZ10" s="884"/>
      <c r="EF10" t="e">
        <f t="shared" si="0"/>
        <v>#DIV/0!</v>
      </c>
      <c r="EG10" t="e">
        <f t="shared" si="1"/>
        <v>#DIV/0!</v>
      </c>
    </row>
    <row r="11" spans="1:137" ht="15" customHeight="1">
      <c r="A11" s="398" t="s">
        <v>231</v>
      </c>
      <c r="B11" s="404" t="s">
        <v>57</v>
      </c>
      <c r="C11" s="402">
        <v>516646078</v>
      </c>
      <c r="D11" s="401">
        <v>492866219</v>
      </c>
      <c r="E11" s="402">
        <v>593106160</v>
      </c>
      <c r="F11" s="401">
        <v>501437434</v>
      </c>
      <c r="G11" s="402">
        <v>533514694</v>
      </c>
      <c r="H11" s="401">
        <v>588114281</v>
      </c>
      <c r="I11" s="402">
        <v>695063227</v>
      </c>
      <c r="J11" s="401"/>
      <c r="K11" s="401"/>
      <c r="L11" s="405"/>
      <c r="M11" s="405"/>
      <c r="N11" s="403"/>
      <c r="O11" s="405">
        <f t="shared" si="3"/>
        <v>3920748093</v>
      </c>
      <c r="P11" s="405">
        <v>7671723062</v>
      </c>
      <c r="Q11" s="267">
        <f t="shared" si="4"/>
        <v>-3750974969</v>
      </c>
      <c r="T11" s="737">
        <f>+T10+U10</f>
        <v>27565850</v>
      </c>
      <c r="DZ11" s="884"/>
      <c r="EF11" t="e">
        <f t="shared" si="0"/>
        <v>#DIV/0!</v>
      </c>
      <c r="EG11" t="e">
        <f t="shared" si="1"/>
        <v>#DIV/0!</v>
      </c>
    </row>
    <row r="12" spans="1:137" ht="15" customHeight="1">
      <c r="A12" s="398" t="s">
        <v>232</v>
      </c>
      <c r="B12" s="404" t="s">
        <v>233</v>
      </c>
      <c r="C12" s="402">
        <v>22725562</v>
      </c>
      <c r="D12" s="401">
        <v>22441796</v>
      </c>
      <c r="E12" s="402">
        <v>26832171</v>
      </c>
      <c r="F12" s="401">
        <v>23673649</v>
      </c>
      <c r="G12" s="402">
        <v>27196244</v>
      </c>
      <c r="H12" s="401">
        <v>25543452</v>
      </c>
      <c r="I12" s="402">
        <v>30829032</v>
      </c>
      <c r="J12" s="401"/>
      <c r="K12" s="401"/>
      <c r="L12" s="405"/>
      <c r="M12" s="405"/>
      <c r="N12" s="403"/>
      <c r="O12" s="405">
        <f t="shared" si="3"/>
        <v>179241906</v>
      </c>
      <c r="P12" s="405">
        <v>339295056</v>
      </c>
      <c r="Q12" s="267">
        <f t="shared" si="4"/>
        <v>-160053150</v>
      </c>
      <c r="DZ12" s="884"/>
      <c r="EF12" t="e">
        <f t="shared" si="0"/>
        <v>#DIV/0!</v>
      </c>
      <c r="EG12" t="e">
        <f t="shared" si="1"/>
        <v>#DIV/0!</v>
      </c>
    </row>
    <row r="13" spans="1:137" ht="15" customHeight="1">
      <c r="A13" s="410" t="s">
        <v>292</v>
      </c>
      <c r="B13" s="411" t="s">
        <v>497</v>
      </c>
      <c r="C13" s="412">
        <f>SUM(C14:C21)</f>
        <v>49982265</v>
      </c>
      <c r="D13" s="413">
        <f t="shared" ref="D13:P13" si="6">SUM(D14:D21)</f>
        <v>57261650</v>
      </c>
      <c r="E13" s="412">
        <f t="shared" si="6"/>
        <v>68078030</v>
      </c>
      <c r="F13" s="412">
        <f t="shared" si="6"/>
        <v>68717035</v>
      </c>
      <c r="G13" s="412">
        <f t="shared" si="6"/>
        <v>67117324</v>
      </c>
      <c r="H13" s="412">
        <f t="shared" si="6"/>
        <v>70823469</v>
      </c>
      <c r="I13" s="412">
        <f t="shared" si="6"/>
        <v>90453967</v>
      </c>
      <c r="J13" s="412">
        <f t="shared" si="6"/>
        <v>0</v>
      </c>
      <c r="K13" s="412">
        <f t="shared" si="6"/>
        <v>0</v>
      </c>
      <c r="L13" s="412">
        <f t="shared" si="6"/>
        <v>0</v>
      </c>
      <c r="M13" s="412">
        <f t="shared" si="6"/>
        <v>0</v>
      </c>
      <c r="N13" s="412">
        <f t="shared" si="6"/>
        <v>0</v>
      </c>
      <c r="O13" s="408">
        <f t="shared" si="3"/>
        <v>472433740</v>
      </c>
      <c r="P13" s="408">
        <f t="shared" si="6"/>
        <v>796075854</v>
      </c>
      <c r="Q13" s="267"/>
      <c r="DZ13" s="884"/>
      <c r="EF13" t="e">
        <f t="shared" si="0"/>
        <v>#DIV/0!</v>
      </c>
      <c r="EG13" t="e">
        <f t="shared" si="1"/>
        <v>#DIV/0!</v>
      </c>
    </row>
    <row r="14" spans="1:137" s="130" customFormat="1" ht="15" customHeight="1">
      <c r="A14" s="414" t="s">
        <v>329</v>
      </c>
      <c r="B14" s="404" t="s">
        <v>330</v>
      </c>
      <c r="C14" s="415">
        <v>249320</v>
      </c>
      <c r="D14" s="401">
        <v>5886663</v>
      </c>
      <c r="E14" s="402">
        <v>1662582</v>
      </c>
      <c r="F14" s="401">
        <v>3271907</v>
      </c>
      <c r="G14" s="402">
        <v>1669297</v>
      </c>
      <c r="H14" s="401">
        <v>1563336</v>
      </c>
      <c r="I14" s="402">
        <v>3214872</v>
      </c>
      <c r="J14" s="401"/>
      <c r="K14" s="401"/>
      <c r="L14" s="405"/>
      <c r="M14" s="405"/>
      <c r="N14" s="403"/>
      <c r="O14" s="405">
        <f t="shared" ref="O14:O21" si="7">SUM(C14:N14)</f>
        <v>17517977</v>
      </c>
      <c r="P14" s="405">
        <v>37240901</v>
      </c>
      <c r="Q14" s="267">
        <f t="shared" si="4"/>
        <v>-19722924</v>
      </c>
      <c r="EF14" s="130" t="e">
        <f t="shared" si="0"/>
        <v>#DIV/0!</v>
      </c>
      <c r="EG14" s="130" t="e">
        <f t="shared" si="1"/>
        <v>#DIV/0!</v>
      </c>
    </row>
    <row r="15" spans="1:137" s="130" customFormat="1" ht="15" customHeight="1">
      <c r="A15" s="414" t="s">
        <v>372</v>
      </c>
      <c r="B15" s="404" t="s">
        <v>373</v>
      </c>
      <c r="C15" s="415">
        <v>20383690</v>
      </c>
      <c r="D15" s="401">
        <v>22099500</v>
      </c>
      <c r="E15" s="402">
        <v>25103862</v>
      </c>
      <c r="F15" s="401">
        <v>20327808</v>
      </c>
      <c r="G15" s="402">
        <v>22596257</v>
      </c>
      <c r="H15" s="401">
        <v>22880520</v>
      </c>
      <c r="I15" s="402">
        <v>23764310</v>
      </c>
      <c r="J15" s="401"/>
      <c r="K15" s="401"/>
      <c r="L15" s="405"/>
      <c r="M15" s="405"/>
      <c r="N15" s="403"/>
      <c r="O15" s="405">
        <f t="shared" si="7"/>
        <v>157155947</v>
      </c>
      <c r="P15" s="405">
        <v>328915239</v>
      </c>
      <c r="Q15" s="267">
        <f t="shared" si="4"/>
        <v>-171759292</v>
      </c>
      <c r="T15" s="137"/>
      <c r="EF15" s="130" t="e">
        <f t="shared" si="0"/>
        <v>#DIV/0!</v>
      </c>
      <c r="EG15" s="130" t="e">
        <f t="shared" si="1"/>
        <v>#DIV/0!</v>
      </c>
    </row>
    <row r="16" spans="1:137" s="130" customFormat="1" ht="15" customHeight="1">
      <c r="A16" s="414" t="s">
        <v>378</v>
      </c>
      <c r="B16" s="404" t="s">
        <v>379</v>
      </c>
      <c r="C16" s="415">
        <v>4086057</v>
      </c>
      <c r="D16" s="401">
        <v>4662422</v>
      </c>
      <c r="E16" s="402">
        <v>4176473</v>
      </c>
      <c r="F16" s="401">
        <v>6852678</v>
      </c>
      <c r="G16" s="402">
        <v>5220007</v>
      </c>
      <c r="H16" s="401">
        <v>5755557</v>
      </c>
      <c r="I16" s="402">
        <v>14110126</v>
      </c>
      <c r="J16" s="403"/>
      <c r="K16" s="401"/>
      <c r="L16" s="402"/>
      <c r="M16" s="402"/>
      <c r="N16" s="402"/>
      <c r="O16" s="405">
        <f t="shared" si="7"/>
        <v>44863320</v>
      </c>
      <c r="P16" s="405">
        <v>49822731</v>
      </c>
      <c r="Q16" s="267">
        <f t="shared" si="4"/>
        <v>-4959411</v>
      </c>
      <c r="S16" s="137"/>
      <c r="U16" s="137"/>
      <c r="EF16" s="130" t="e">
        <f t="shared" si="0"/>
        <v>#DIV/0!</v>
      </c>
      <c r="EG16" s="130" t="e">
        <f t="shared" si="1"/>
        <v>#DIV/0!</v>
      </c>
    </row>
    <row r="17" spans="1:137" s="130" customFormat="1" ht="15" customHeight="1">
      <c r="A17" s="414" t="s">
        <v>380</v>
      </c>
      <c r="B17" s="416" t="s">
        <v>381</v>
      </c>
      <c r="C17" s="417">
        <v>7814997</v>
      </c>
      <c r="D17" s="401">
        <v>5107757</v>
      </c>
      <c r="E17" s="401">
        <v>16823267</v>
      </c>
      <c r="F17" s="401">
        <v>20763622</v>
      </c>
      <c r="G17" s="401">
        <v>15237719</v>
      </c>
      <c r="H17" s="401">
        <v>21459055</v>
      </c>
      <c r="I17" s="401">
        <f>+T11</f>
        <v>27565850</v>
      </c>
      <c r="J17" s="401"/>
      <c r="K17" s="401"/>
      <c r="L17" s="401"/>
      <c r="M17" s="401"/>
      <c r="N17" s="401"/>
      <c r="O17" s="401">
        <f t="shared" si="7"/>
        <v>114772267</v>
      </c>
      <c r="P17" s="418">
        <v>86483278</v>
      </c>
      <c r="Q17" s="267">
        <f t="shared" si="4"/>
        <v>28288989</v>
      </c>
      <c r="EF17" s="130" t="e">
        <f t="shared" si="0"/>
        <v>#DIV/0!</v>
      </c>
      <c r="EG17" s="130" t="e">
        <f t="shared" si="1"/>
        <v>#DIV/0!</v>
      </c>
    </row>
    <row r="18" spans="1:137" s="130" customFormat="1" ht="15" customHeight="1">
      <c r="A18" s="414" t="s">
        <v>421</v>
      </c>
      <c r="B18" s="416" t="s">
        <v>422</v>
      </c>
      <c r="C18" s="379">
        <v>14349623</v>
      </c>
      <c r="D18" s="403">
        <v>15222195</v>
      </c>
      <c r="E18" s="405">
        <v>16906700</v>
      </c>
      <c r="F18" s="403">
        <v>13855760</v>
      </c>
      <c r="G18" s="405">
        <v>18675198</v>
      </c>
      <c r="H18" s="403">
        <v>15533419</v>
      </c>
      <c r="I18" s="405">
        <v>18575739</v>
      </c>
      <c r="J18" s="403"/>
      <c r="K18" s="401"/>
      <c r="L18" s="405"/>
      <c r="M18" s="403"/>
      <c r="N18" s="405"/>
      <c r="O18" s="403">
        <f>SUM(C18:N18)</f>
        <v>113118634</v>
      </c>
      <c r="P18" s="403">
        <v>216391435</v>
      </c>
      <c r="Q18" s="267">
        <f t="shared" si="4"/>
        <v>-103272801</v>
      </c>
      <c r="R18"/>
      <c r="S18"/>
      <c r="T18"/>
      <c r="U18"/>
      <c r="V18"/>
      <c r="EF18" s="130" t="e">
        <f t="shared" si="0"/>
        <v>#DIV/0!</v>
      </c>
      <c r="EG18" s="130" t="e">
        <f t="shared" si="1"/>
        <v>#DIV/0!</v>
      </c>
    </row>
    <row r="19" spans="1:137" ht="15" customHeight="1">
      <c r="A19" s="414" t="s">
        <v>438</v>
      </c>
      <c r="B19" s="416" t="s">
        <v>439</v>
      </c>
      <c r="C19" s="402">
        <v>41548</v>
      </c>
      <c r="D19" s="419">
        <v>22174</v>
      </c>
      <c r="E19" s="420">
        <v>30942</v>
      </c>
      <c r="F19" s="419">
        <v>1000</v>
      </c>
      <c r="G19" s="420">
        <v>7000</v>
      </c>
      <c r="H19" s="419">
        <v>48700</v>
      </c>
      <c r="I19" s="420">
        <v>20274</v>
      </c>
      <c r="J19" s="421"/>
      <c r="K19" s="419"/>
      <c r="L19" s="420"/>
      <c r="M19" s="419"/>
      <c r="N19" s="420"/>
      <c r="O19" s="403">
        <f>SUM(C19:N19)</f>
        <v>171638</v>
      </c>
      <c r="P19" s="403">
        <v>265738</v>
      </c>
      <c r="Q19" s="267">
        <f t="shared" si="4"/>
        <v>-94100</v>
      </c>
      <c r="EF19" t="e">
        <f t="shared" si="0"/>
        <v>#DIV/0!</v>
      </c>
      <c r="EG19" t="e">
        <f t="shared" si="1"/>
        <v>#DIV/0!</v>
      </c>
    </row>
    <row r="20" spans="1:137" ht="15" customHeight="1">
      <c r="A20" s="414" t="s">
        <v>440</v>
      </c>
      <c r="B20" s="416" t="s">
        <v>79</v>
      </c>
      <c r="C20" s="415">
        <v>3057030</v>
      </c>
      <c r="D20" s="401">
        <v>4260939</v>
      </c>
      <c r="E20" s="402">
        <v>3374204</v>
      </c>
      <c r="F20" s="401">
        <v>3644260</v>
      </c>
      <c r="G20" s="402">
        <v>3711846</v>
      </c>
      <c r="H20" s="401">
        <v>3582882</v>
      </c>
      <c r="I20" s="405">
        <f>+T7</f>
        <v>3202796</v>
      </c>
      <c r="J20" s="403"/>
      <c r="K20" s="401"/>
      <c r="L20" s="402"/>
      <c r="M20" s="401"/>
      <c r="N20" s="402"/>
      <c r="O20" s="401">
        <f t="shared" si="7"/>
        <v>24833957</v>
      </c>
      <c r="P20" s="401">
        <v>76922599</v>
      </c>
      <c r="Q20" s="267">
        <f t="shared" si="4"/>
        <v>-52088642</v>
      </c>
      <c r="DZ20" s="884"/>
      <c r="EF20" t="e">
        <f t="shared" si="0"/>
        <v>#DIV/0!</v>
      </c>
      <c r="EG20" t="e">
        <f t="shared" si="1"/>
        <v>#DIV/0!</v>
      </c>
    </row>
    <row r="21" spans="1:137" ht="15" customHeight="1">
      <c r="A21" s="414" t="s">
        <v>441</v>
      </c>
      <c r="B21" s="416" t="s">
        <v>498</v>
      </c>
      <c r="C21" s="402">
        <v>0</v>
      </c>
      <c r="D21" s="401">
        <v>0</v>
      </c>
      <c r="E21" s="402">
        <v>0</v>
      </c>
      <c r="F21" s="401">
        <v>0</v>
      </c>
      <c r="G21" s="402">
        <v>0</v>
      </c>
      <c r="H21" s="401">
        <v>0</v>
      </c>
      <c r="I21" s="402">
        <v>0</v>
      </c>
      <c r="J21" s="405"/>
      <c r="K21" s="402"/>
      <c r="L21" s="402"/>
      <c r="M21" s="401"/>
      <c r="N21" s="401"/>
      <c r="O21" s="401">
        <f t="shared" si="7"/>
        <v>0</v>
      </c>
      <c r="P21" s="401">
        <v>33933</v>
      </c>
      <c r="Q21" s="267">
        <f t="shared" si="4"/>
        <v>-33933</v>
      </c>
      <c r="DZ21" s="884"/>
      <c r="EF21" t="e">
        <f t="shared" si="0"/>
        <v>#DIV/0!</v>
      </c>
      <c r="EG21" t="e">
        <f t="shared" si="1"/>
        <v>#DIV/0!</v>
      </c>
    </row>
    <row r="22" spans="1:137">
      <c r="A22" s="422" t="s">
        <v>487</v>
      </c>
      <c r="B22" s="422"/>
      <c r="C22" s="409">
        <f>+C6+C13</f>
        <v>1276731492</v>
      </c>
      <c r="D22" s="409">
        <f t="shared" ref="D22:N22" si="8">+D6+D13</f>
        <v>1267387827</v>
      </c>
      <c r="E22" s="409">
        <f t="shared" si="8"/>
        <v>1581678176</v>
      </c>
      <c r="F22" s="409">
        <f t="shared" si="8"/>
        <v>1328198768</v>
      </c>
      <c r="G22" s="409">
        <f t="shared" si="8"/>
        <v>1419386291</v>
      </c>
      <c r="H22" s="409">
        <f t="shared" si="8"/>
        <v>1540412611</v>
      </c>
      <c r="I22" s="409">
        <f t="shared" si="8"/>
        <v>1882408330</v>
      </c>
      <c r="J22" s="409">
        <f t="shared" si="8"/>
        <v>0</v>
      </c>
      <c r="K22" s="409">
        <f t="shared" si="8"/>
        <v>0</v>
      </c>
      <c r="L22" s="409">
        <f t="shared" si="8"/>
        <v>0</v>
      </c>
      <c r="M22" s="409">
        <f t="shared" si="8"/>
        <v>0</v>
      </c>
      <c r="N22" s="409">
        <f t="shared" si="8"/>
        <v>0</v>
      </c>
      <c r="O22" s="409">
        <f>SUM(C22:N22)</f>
        <v>10296203495</v>
      </c>
      <c r="P22" s="409">
        <f>+P6+P13</f>
        <v>19997863216</v>
      </c>
      <c r="Q22" s="267"/>
      <c r="DZ22" s="884"/>
      <c r="EF22" t="e">
        <f t="shared" si="0"/>
        <v>#DIV/0!</v>
      </c>
      <c r="EG22" t="e">
        <f t="shared" si="1"/>
        <v>#DIV/0!</v>
      </c>
    </row>
    <row r="23" spans="1:137">
      <c r="F23" s="267"/>
      <c r="H23" s="267"/>
      <c r="L23" s="267"/>
      <c r="M23" s="267"/>
      <c r="O23" s="267"/>
      <c r="DZ23" s="884"/>
      <c r="EF23" t="e">
        <f t="shared" si="0"/>
        <v>#DIV/0!</v>
      </c>
      <c r="EG23" t="e">
        <f t="shared" si="1"/>
        <v>#DIV/0!</v>
      </c>
    </row>
    <row r="24" spans="1:137">
      <c r="B24" s="416" t="s">
        <v>499</v>
      </c>
      <c r="C24" s="402">
        <v>1276731492</v>
      </c>
      <c r="D24" s="379">
        <v>1267387827</v>
      </c>
      <c r="E24" s="379">
        <v>1581678176</v>
      </c>
      <c r="F24" s="379">
        <v>1328198768</v>
      </c>
      <c r="G24" s="379">
        <v>1419386291</v>
      </c>
      <c r="H24" s="379">
        <v>1540412611</v>
      </c>
      <c r="I24" s="379">
        <v>1882408330</v>
      </c>
      <c r="J24" s="379"/>
      <c r="K24" s="379"/>
      <c r="L24" s="379"/>
      <c r="M24" s="379"/>
      <c r="N24" s="379"/>
      <c r="O24" s="379">
        <f>SUM(C24:G24)</f>
        <v>6873382554</v>
      </c>
      <c r="DZ24" s="884"/>
    </row>
    <row r="25" spans="1:137">
      <c r="A25" s="423"/>
      <c r="B25" s="424"/>
      <c r="C25" s="425">
        <f>+C22-C24</f>
        <v>0</v>
      </c>
      <c r="D25" s="425">
        <f t="shared" ref="D25:N25" si="9">+D22-D24</f>
        <v>0</v>
      </c>
      <c r="E25" s="425">
        <f t="shared" si="9"/>
        <v>0</v>
      </c>
      <c r="F25" s="425">
        <f t="shared" si="9"/>
        <v>0</v>
      </c>
      <c r="G25" s="425">
        <f t="shared" si="9"/>
        <v>0</v>
      </c>
      <c r="H25" s="425">
        <f t="shared" si="9"/>
        <v>0</v>
      </c>
      <c r="I25" s="425">
        <f t="shared" si="9"/>
        <v>0</v>
      </c>
      <c r="J25" s="425">
        <f t="shared" si="9"/>
        <v>0</v>
      </c>
      <c r="K25" s="425">
        <f>+K22-K24</f>
        <v>0</v>
      </c>
      <c r="L25" s="425">
        <f t="shared" si="9"/>
        <v>0</v>
      </c>
      <c r="M25" s="425">
        <f t="shared" si="9"/>
        <v>0</v>
      </c>
      <c r="N25" s="425">
        <f t="shared" si="9"/>
        <v>0</v>
      </c>
      <c r="O25" s="425">
        <f>+O22-O24</f>
        <v>3422820941</v>
      </c>
      <c r="P25" s="267">
        <v>1940102803</v>
      </c>
      <c r="DZ25" s="884"/>
    </row>
    <row r="26" spans="1:137" hidden="1">
      <c r="A26" s="426"/>
      <c r="B26" s="426"/>
      <c r="C26" s="426"/>
      <c r="D26" s="426"/>
      <c r="E26" s="426"/>
      <c r="F26" s="426"/>
      <c r="G26" s="426">
        <f>+' AI_Receita DGA jul'!C17/10</f>
        <v>781499.7</v>
      </c>
      <c r="H26" s="426"/>
      <c r="I26" s="426"/>
      <c r="J26" s="426"/>
      <c r="K26" s="426"/>
      <c r="L26" s="426"/>
      <c r="M26" s="426"/>
      <c r="N26" s="426"/>
      <c r="O26" s="426"/>
      <c r="DZ26" s="884"/>
    </row>
    <row r="27" spans="1:137" hidden="1">
      <c r="A27" s="410" t="s">
        <v>257</v>
      </c>
      <c r="B27" s="427" t="s">
        <v>500</v>
      </c>
      <c r="C27" s="409">
        <f>+C28</f>
        <v>0</v>
      </c>
      <c r="D27" s="409">
        <f t="shared" ref="D27:N27" si="10">+D28</f>
        <v>0</v>
      </c>
      <c r="E27" s="409">
        <f t="shared" si="10"/>
        <v>0</v>
      </c>
      <c r="F27" s="409">
        <f t="shared" si="10"/>
        <v>0</v>
      </c>
      <c r="G27" s="409">
        <f t="shared" si="10"/>
        <v>0</v>
      </c>
      <c r="H27" s="409">
        <f t="shared" si="10"/>
        <v>0</v>
      </c>
      <c r="I27" s="409">
        <f t="shared" si="10"/>
        <v>0</v>
      </c>
      <c r="J27" s="409">
        <f t="shared" si="10"/>
        <v>0</v>
      </c>
      <c r="K27" s="409">
        <f t="shared" si="10"/>
        <v>0</v>
      </c>
      <c r="L27" s="408">
        <f t="shared" si="10"/>
        <v>0</v>
      </c>
      <c r="M27" s="409">
        <f t="shared" si="10"/>
        <v>0</v>
      </c>
      <c r="N27" s="409">
        <f t="shared" si="10"/>
        <v>0</v>
      </c>
      <c r="O27" s="409">
        <f>SUM(C27:N27)</f>
        <v>0</v>
      </c>
    </row>
    <row r="28" spans="1:137" hidden="1">
      <c r="A28" s="414" t="s">
        <v>273</v>
      </c>
      <c r="B28" s="416" t="s">
        <v>71</v>
      </c>
      <c r="C28" s="401"/>
      <c r="D28" s="401"/>
      <c r="E28" s="401"/>
      <c r="F28" s="401"/>
      <c r="G28" s="401"/>
      <c r="H28" s="401"/>
      <c r="I28" s="401"/>
      <c r="J28" s="401"/>
      <c r="K28" s="401"/>
      <c r="L28" s="402"/>
      <c r="M28" s="401"/>
      <c r="N28" s="401"/>
      <c r="O28" s="403">
        <f>SUM(C28:N28)</f>
        <v>0</v>
      </c>
      <c r="DZ28" s="884"/>
    </row>
    <row r="29" spans="1:137">
      <c r="E29" s="267"/>
      <c r="DZ29" s="884"/>
    </row>
    <row r="30" spans="1:137">
      <c r="G30" s="267"/>
      <c r="H30" s="267"/>
      <c r="L30" s="267"/>
      <c r="M30" s="267"/>
      <c r="DZ30" s="884"/>
    </row>
    <row r="31" spans="1:137">
      <c r="D31" s="267"/>
      <c r="J31" s="267"/>
      <c r="K31" s="267"/>
      <c r="N31" s="267"/>
      <c r="O31" s="267"/>
      <c r="DZ31" s="884"/>
    </row>
    <row r="32" spans="1:137">
      <c r="L32" s="267"/>
      <c r="N32" s="267"/>
      <c r="O32" s="267"/>
      <c r="DZ32" s="884"/>
    </row>
    <row r="33" spans="4:130">
      <c r="D33" s="267"/>
      <c r="N33" s="409"/>
      <c r="O33" s="267"/>
      <c r="DZ33" s="884"/>
    </row>
    <row r="34" spans="4:130">
      <c r="DZ34" s="884"/>
    </row>
    <row r="35" spans="4:130">
      <c r="E35" s="267"/>
      <c r="N35" s="267"/>
      <c r="DZ35" s="884"/>
    </row>
    <row r="36" spans="4:130">
      <c r="E36" s="267"/>
      <c r="DZ36" s="884"/>
    </row>
    <row r="37" spans="4:130">
      <c r="P37" s="267">
        <f>+Q14+N35</f>
        <v>-19722924</v>
      </c>
    </row>
    <row r="38" spans="4:130">
      <c r="DZ38" s="884"/>
    </row>
    <row r="39" spans="4:130">
      <c r="DZ39" s="884"/>
    </row>
    <row r="40" spans="4:130">
      <c r="DZ40" s="884"/>
    </row>
    <row r="41" spans="4:130">
      <c r="DZ41" s="884"/>
    </row>
    <row r="42" spans="4:130">
      <c r="DZ42" s="884"/>
    </row>
    <row r="43" spans="4:130">
      <c r="DZ43" s="884"/>
    </row>
    <row r="44" spans="4:130">
      <c r="DZ44" s="884"/>
    </row>
    <row r="45" spans="4:130">
      <c r="DZ45" s="884"/>
    </row>
    <row r="46" spans="4:130">
      <c r="DZ46" s="884"/>
    </row>
    <row r="47" spans="4:130">
      <c r="DZ47" s="884"/>
    </row>
    <row r="48" spans="4:130">
      <c r="DZ48" s="884"/>
    </row>
    <row r="49" spans="130:130">
      <c r="DZ49" s="884"/>
    </row>
    <row r="123" spans="10:11">
      <c r="J123" s="267">
        <f>(+' AI_Receita DGA jul'!J17)</f>
        <v>0</v>
      </c>
      <c r="K123" s="267">
        <f>(+' AI_Receita DGA jul'!K17)</f>
        <v>0</v>
      </c>
    </row>
  </sheetData>
  <mergeCells count="1">
    <mergeCell ref="A2:O2"/>
  </mergeCells>
  <pageMargins left="0.7" right="0.7" top="0.75" bottom="0.75" header="0.3" footer="0.3"/>
  <pageSetup paperSize="9" scale="5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3:EG123"/>
  <sheetViews>
    <sheetView topLeftCell="A25" zoomScaleNormal="100" workbookViewId="0">
      <selection activeCell="E36" sqref="E36"/>
    </sheetView>
  </sheetViews>
  <sheetFormatPr defaultColWidth="9.1796875" defaultRowHeight="14.5"/>
  <cols>
    <col min="1" max="1" width="28" customWidth="1"/>
    <col min="2" max="2" width="39.26953125" customWidth="1"/>
    <col min="3" max="3" width="21.1796875" customWidth="1"/>
    <col min="4" max="4" width="22.81640625" customWidth="1"/>
    <col min="5" max="5" width="24.1796875" customWidth="1"/>
    <col min="6" max="6" width="21.7265625" bestFit="1" customWidth="1"/>
    <col min="7" max="7" width="9.1796875" style="130"/>
    <col min="8" max="8" width="13.1796875" bestFit="1" customWidth="1"/>
    <col min="9" max="9" width="52" bestFit="1" customWidth="1"/>
    <col min="10" max="10" width="11.81640625" bestFit="1" customWidth="1"/>
    <col min="11" max="11" width="13.453125" bestFit="1" customWidth="1"/>
    <col min="12" max="13" width="11.81640625" bestFit="1" customWidth="1"/>
    <col min="118" max="122" width="0" hidden="1" customWidth="1"/>
    <col min="130" max="130" width="8" customWidth="1"/>
    <col min="131" max="134" width="0" hidden="1" customWidth="1"/>
  </cols>
  <sheetData>
    <row r="3" spans="1:137">
      <c r="A3" s="428"/>
      <c r="B3" s="428"/>
      <c r="C3" s="428"/>
      <c r="D3" s="428"/>
      <c r="E3" s="428"/>
      <c r="F3" s="428"/>
    </row>
    <row r="4" spans="1:137">
      <c r="A4" s="429" t="s">
        <v>501</v>
      </c>
      <c r="B4" s="429" t="s">
        <v>502</v>
      </c>
      <c r="C4" s="429" t="s">
        <v>503</v>
      </c>
      <c r="D4" s="429" t="s">
        <v>504</v>
      </c>
      <c r="E4" s="429" t="s">
        <v>505</v>
      </c>
      <c r="F4" s="429" t="s">
        <v>506</v>
      </c>
      <c r="EF4" t="e">
        <f>+DZ4/DS4*100</f>
        <v>#DIV/0!</v>
      </c>
      <c r="EG4" t="e">
        <f>+(DZ4/DM4-1)*100</f>
        <v>#DIV/0!</v>
      </c>
    </row>
    <row r="5" spans="1:137">
      <c r="A5" s="265" t="s">
        <v>507</v>
      </c>
      <c r="B5" t="s">
        <v>508</v>
      </c>
      <c r="C5" s="267">
        <v>22192615190</v>
      </c>
      <c r="D5" s="137">
        <v>22352523217.245003</v>
      </c>
      <c r="E5" s="137">
        <v>11758214484</v>
      </c>
      <c r="F5" s="828">
        <f>11745539802+2483416</f>
        <v>11748023218</v>
      </c>
      <c r="H5" s="267"/>
      <c r="I5" s="267"/>
      <c r="EF5" t="e">
        <f t="shared" ref="EF5:EF23" si="0">+DZ5/DS5*100</f>
        <v>#DIV/0!</v>
      </c>
      <c r="EG5" t="e">
        <f t="shared" ref="EG5:EG23" si="1">+(DZ5/DM5-1)*100</f>
        <v>#DIV/0!</v>
      </c>
    </row>
    <row r="6" spans="1:137">
      <c r="A6" s="430"/>
      <c r="B6" t="s">
        <v>509</v>
      </c>
      <c r="C6" s="267">
        <v>2037397197</v>
      </c>
      <c r="D6" s="137">
        <v>2060175360.2</v>
      </c>
      <c r="E6" s="137">
        <v>819906258</v>
      </c>
      <c r="F6" s="137">
        <v>719829148</v>
      </c>
      <c r="DZ6" s="884"/>
      <c r="EF6" t="e">
        <f t="shared" si="0"/>
        <v>#DIV/0!</v>
      </c>
      <c r="EG6" t="e">
        <f t="shared" si="1"/>
        <v>#DIV/0!</v>
      </c>
    </row>
    <row r="7" spans="1:137">
      <c r="A7" s="431" t="s">
        <v>510</v>
      </c>
      <c r="B7" s="431"/>
      <c r="C7" s="432">
        <f>SUM(C5:C6)</f>
        <v>24230012387</v>
      </c>
      <c r="D7" s="432">
        <f>SUM(D5:D6)</f>
        <v>24412698577.445004</v>
      </c>
      <c r="E7" s="432">
        <f>SUM(E5:E6)</f>
        <v>12578120742</v>
      </c>
      <c r="F7" s="433">
        <f>SUM(F5:F6)</f>
        <v>12467852366</v>
      </c>
      <c r="DZ7" s="884"/>
      <c r="EF7" t="e">
        <f t="shared" si="0"/>
        <v>#DIV/0!</v>
      </c>
      <c r="EG7" t="e">
        <f t="shared" si="1"/>
        <v>#DIV/0!</v>
      </c>
    </row>
    <row r="8" spans="1:137">
      <c r="A8" s="265" t="s">
        <v>511</v>
      </c>
      <c r="B8" t="s">
        <v>512</v>
      </c>
      <c r="C8" s="267">
        <v>4082158432</v>
      </c>
      <c r="D8" s="137">
        <v>4509945728.4799995</v>
      </c>
      <c r="E8" s="137">
        <v>1635570085</v>
      </c>
      <c r="F8" s="137">
        <v>1602458404</v>
      </c>
      <c r="J8" s="267"/>
      <c r="DZ8" s="884"/>
      <c r="EF8" t="e">
        <f t="shared" si="0"/>
        <v>#DIV/0!</v>
      </c>
      <c r="EG8" t="e">
        <f t="shared" si="1"/>
        <v>#DIV/0!</v>
      </c>
    </row>
    <row r="9" spans="1:137">
      <c r="A9" s="430"/>
      <c r="B9" t="s">
        <v>514</v>
      </c>
      <c r="C9" s="267">
        <v>7290191468</v>
      </c>
      <c r="D9" s="137">
        <v>8542413319.6050005</v>
      </c>
      <c r="E9" s="137">
        <v>2848956767</v>
      </c>
      <c r="F9" s="137">
        <v>2762840557</v>
      </c>
      <c r="I9" s="829"/>
      <c r="J9" s="746"/>
      <c r="K9" s="137"/>
      <c r="L9" s="137"/>
      <c r="M9" s="137"/>
      <c r="DZ9" s="884"/>
      <c r="EF9" t="e">
        <f t="shared" si="0"/>
        <v>#DIV/0!</v>
      </c>
      <c r="EG9" t="e">
        <f t="shared" si="1"/>
        <v>#DIV/0!</v>
      </c>
    </row>
    <row r="10" spans="1:137">
      <c r="A10" s="431" t="s">
        <v>516</v>
      </c>
      <c r="B10" s="431"/>
      <c r="C10" s="432">
        <f>SUM(C8:C9)</f>
        <v>11372349900</v>
      </c>
      <c r="D10" s="432">
        <f>SUM(D8:D9)</f>
        <v>13052359048.084999</v>
      </c>
      <c r="E10" s="432">
        <f>SUM(E8:E9)</f>
        <v>4484526852</v>
      </c>
      <c r="F10" s="432">
        <f>SUM(F8:F9)</f>
        <v>4365298961</v>
      </c>
      <c r="I10" s="829"/>
      <c r="J10" s="746"/>
      <c r="K10" s="137"/>
      <c r="L10" s="137"/>
      <c r="M10" s="137"/>
      <c r="DZ10" s="884"/>
      <c r="EF10" t="e">
        <f t="shared" si="0"/>
        <v>#DIV/0!</v>
      </c>
      <c r="EG10" t="e">
        <f t="shared" si="1"/>
        <v>#DIV/0!</v>
      </c>
    </row>
    <row r="11" spans="1:137">
      <c r="A11" s="265" t="s">
        <v>518</v>
      </c>
      <c r="B11" t="s">
        <v>519</v>
      </c>
      <c r="C11" s="267">
        <v>2023457620</v>
      </c>
      <c r="D11" s="137">
        <v>2023457620</v>
      </c>
      <c r="E11" s="137">
        <v>543938965</v>
      </c>
      <c r="F11" s="137">
        <v>543938965</v>
      </c>
      <c r="I11" s="130"/>
      <c r="J11" s="137"/>
      <c r="K11" s="130"/>
      <c r="L11" s="130"/>
      <c r="M11" s="130"/>
      <c r="DZ11" s="884"/>
      <c r="EF11" t="e">
        <f t="shared" si="0"/>
        <v>#DIV/0!</v>
      </c>
      <c r="EG11" t="e">
        <f t="shared" si="1"/>
        <v>#DIV/0!</v>
      </c>
    </row>
    <row r="12" spans="1:137">
      <c r="A12" s="265"/>
      <c r="B12" t="s">
        <v>521</v>
      </c>
      <c r="C12" s="267">
        <v>3343139181</v>
      </c>
      <c r="D12" s="137">
        <v>3343139181</v>
      </c>
      <c r="E12" s="137">
        <v>1884233524</v>
      </c>
      <c r="F12" s="137">
        <v>1884233524</v>
      </c>
      <c r="I12" s="829"/>
      <c r="J12" s="746"/>
      <c r="K12" s="130"/>
      <c r="L12" s="130"/>
      <c r="M12" s="130"/>
      <c r="DZ12" s="884"/>
      <c r="EF12" t="e">
        <f t="shared" si="0"/>
        <v>#DIV/0!</v>
      </c>
      <c r="EG12" t="e">
        <f t="shared" si="1"/>
        <v>#DIV/0!</v>
      </c>
    </row>
    <row r="13" spans="1:137">
      <c r="A13" s="430"/>
      <c r="B13" t="s">
        <v>523</v>
      </c>
      <c r="C13" s="267">
        <v>96110541</v>
      </c>
      <c r="D13" s="137">
        <v>97810541</v>
      </c>
      <c r="E13" s="137">
        <v>10855709</v>
      </c>
      <c r="F13" s="137">
        <v>10855709</v>
      </c>
      <c r="I13" s="130"/>
      <c r="J13" s="137"/>
      <c r="K13" s="130"/>
      <c r="L13" s="130"/>
      <c r="M13" s="130"/>
      <c r="DZ13" s="884"/>
      <c r="EF13" t="e">
        <f t="shared" si="0"/>
        <v>#DIV/0!</v>
      </c>
      <c r="EG13" t="e">
        <f t="shared" si="1"/>
        <v>#DIV/0!</v>
      </c>
    </row>
    <row r="14" spans="1:137">
      <c r="A14" s="431" t="s">
        <v>525</v>
      </c>
      <c r="B14" s="431"/>
      <c r="C14" s="432">
        <f>SUM(C11:C13)</f>
        <v>5462707342</v>
      </c>
      <c r="D14" s="432">
        <f>SUM(D11:D13)</f>
        <v>5464407342</v>
      </c>
      <c r="E14" s="432">
        <f>SUM(E11:E13)</f>
        <v>2439028198</v>
      </c>
      <c r="F14" s="432">
        <f>SUM(F11:F13)</f>
        <v>2439028198</v>
      </c>
      <c r="I14" s="829"/>
      <c r="J14" s="746"/>
      <c r="K14" s="130"/>
      <c r="L14" s="130"/>
      <c r="M14" s="130"/>
      <c r="EF14" t="e">
        <f t="shared" si="0"/>
        <v>#DIV/0!</v>
      </c>
      <c r="EG14" t="e">
        <f t="shared" si="1"/>
        <v>#DIV/0!</v>
      </c>
    </row>
    <row r="15" spans="1:137">
      <c r="A15" s="265" t="s">
        <v>527</v>
      </c>
      <c r="B15" t="s">
        <v>528</v>
      </c>
      <c r="C15" s="267">
        <v>162783956</v>
      </c>
      <c r="D15" s="137">
        <v>152946597</v>
      </c>
      <c r="E15" s="137">
        <v>63298669</v>
      </c>
      <c r="F15" s="137">
        <f>63298669</f>
        <v>63298669</v>
      </c>
      <c r="I15" s="130"/>
      <c r="J15" s="137"/>
      <c r="K15" s="130"/>
      <c r="L15" s="130"/>
      <c r="M15" s="130"/>
      <c r="DZ15" s="884"/>
      <c r="EF15" t="e">
        <f t="shared" si="0"/>
        <v>#DIV/0!</v>
      </c>
      <c r="EG15" t="e">
        <f t="shared" si="1"/>
        <v>#DIV/0!</v>
      </c>
    </row>
    <row r="16" spans="1:137">
      <c r="A16" s="430"/>
      <c r="B16" t="s">
        <v>529</v>
      </c>
      <c r="C16" s="267">
        <v>465760000</v>
      </c>
      <c r="D16" s="137">
        <v>878782216</v>
      </c>
      <c r="E16" s="137">
        <v>327431661</v>
      </c>
      <c r="F16" s="828">
        <f>327431661+299513077</f>
        <v>626944738</v>
      </c>
      <c r="I16" s="130"/>
      <c r="J16" s="137"/>
      <c r="K16" s="130"/>
      <c r="L16" s="130"/>
      <c r="M16" s="130"/>
      <c r="EF16" t="e">
        <f t="shared" si="0"/>
        <v>#DIV/0!</v>
      </c>
      <c r="EG16" t="e">
        <f t="shared" si="1"/>
        <v>#DIV/0!</v>
      </c>
    </row>
    <row r="17" spans="1:137">
      <c r="A17" s="431" t="s">
        <v>530</v>
      </c>
      <c r="B17" s="431"/>
      <c r="C17" s="432">
        <f>SUM(C15:C16)</f>
        <v>628543956</v>
      </c>
      <c r="D17" s="432">
        <f>SUM(D15:D16)</f>
        <v>1031728813</v>
      </c>
      <c r="E17" s="432">
        <f>SUM(E15:E16)</f>
        <v>390730330</v>
      </c>
      <c r="F17" s="432">
        <f>SUM(F15:F16)</f>
        <v>690243407</v>
      </c>
      <c r="I17" s="130"/>
      <c r="J17" s="137"/>
      <c r="K17" s="130"/>
      <c r="L17" s="130"/>
      <c r="M17" s="130"/>
      <c r="EF17" t="e">
        <f t="shared" si="0"/>
        <v>#DIV/0!</v>
      </c>
      <c r="EG17" t="e">
        <f t="shared" si="1"/>
        <v>#DIV/0!</v>
      </c>
    </row>
    <row r="18" spans="1:137">
      <c r="A18" s="265" t="s">
        <v>532</v>
      </c>
      <c r="B18" t="s">
        <v>533</v>
      </c>
      <c r="C18" s="267">
        <v>433472488</v>
      </c>
      <c r="D18" s="267">
        <v>264223563</v>
      </c>
      <c r="E18" s="267">
        <v>33166450</v>
      </c>
      <c r="F18" s="267">
        <v>33052639</v>
      </c>
      <c r="I18" t="s">
        <v>513</v>
      </c>
      <c r="J18" s="267">
        <v>301996493</v>
      </c>
      <c r="DZ18" s="884"/>
      <c r="EF18" t="e">
        <f t="shared" si="0"/>
        <v>#DIV/0!</v>
      </c>
      <c r="EG18" t="e">
        <f t="shared" si="1"/>
        <v>#DIV/0!</v>
      </c>
    </row>
    <row r="19" spans="1:137">
      <c r="A19" s="265"/>
      <c r="B19" t="s">
        <v>534</v>
      </c>
      <c r="C19" s="267">
        <v>473409350</v>
      </c>
      <c r="D19" s="267">
        <v>462709350</v>
      </c>
      <c r="E19" s="267">
        <v>63609085</v>
      </c>
      <c r="F19" s="267">
        <v>63609085</v>
      </c>
      <c r="I19" t="s">
        <v>515</v>
      </c>
      <c r="J19" s="267">
        <v>299513077</v>
      </c>
      <c r="EF19" t="e">
        <f t="shared" si="0"/>
        <v>#DIV/0!</v>
      </c>
      <c r="EG19" t="e">
        <f t="shared" si="1"/>
        <v>#DIV/0!</v>
      </c>
    </row>
    <row r="20" spans="1:137">
      <c r="A20" s="430"/>
      <c r="B20" t="s">
        <v>535</v>
      </c>
      <c r="C20" s="267">
        <v>6482014432</v>
      </c>
      <c r="D20" s="267">
        <v>6446307906.21</v>
      </c>
      <c r="E20" s="267">
        <v>2997293580</v>
      </c>
      <c r="F20" s="267">
        <v>2987416227</v>
      </c>
      <c r="I20" t="s">
        <v>517</v>
      </c>
      <c r="J20" s="267">
        <v>0</v>
      </c>
      <c r="DZ20" s="884"/>
      <c r="EF20" t="e">
        <f t="shared" si="0"/>
        <v>#DIV/0!</v>
      </c>
      <c r="EG20" t="e">
        <f t="shared" si="1"/>
        <v>#DIV/0!</v>
      </c>
    </row>
    <row r="21" spans="1:137">
      <c r="A21" s="431" t="s">
        <v>536</v>
      </c>
      <c r="B21" s="431"/>
      <c r="C21" s="432">
        <f>SUM(C18:C20)</f>
        <v>7388896270</v>
      </c>
      <c r="D21" s="432">
        <f>SUM(D18:D20)</f>
        <v>7173240819.21</v>
      </c>
      <c r="E21" s="432">
        <f>SUM(E18:E20)</f>
        <v>3094069115</v>
      </c>
      <c r="F21" s="432">
        <f>SUM(F18:F20)</f>
        <v>3084077951</v>
      </c>
      <c r="I21" t="s">
        <v>520</v>
      </c>
      <c r="J21" s="267">
        <v>0</v>
      </c>
      <c r="DZ21" s="884"/>
      <c r="EF21" t="e">
        <f t="shared" si="0"/>
        <v>#DIV/0!</v>
      </c>
      <c r="EG21" t="e">
        <f t="shared" si="1"/>
        <v>#DIV/0!</v>
      </c>
    </row>
    <row r="22" spans="1:137">
      <c r="A22" s="265" t="s">
        <v>537</v>
      </c>
      <c r="B22" t="s">
        <v>538</v>
      </c>
      <c r="C22" s="267">
        <v>6974703196</v>
      </c>
      <c r="D22" s="267">
        <v>6978527094</v>
      </c>
      <c r="E22" s="267">
        <v>4232279539</v>
      </c>
      <c r="F22" s="267">
        <v>4232151676</v>
      </c>
      <c r="I22" t="s">
        <v>522</v>
      </c>
      <c r="J22" s="267">
        <v>2483416</v>
      </c>
      <c r="DZ22" s="884"/>
      <c r="EF22" t="e">
        <f t="shared" si="0"/>
        <v>#DIV/0!</v>
      </c>
      <c r="EG22" t="e">
        <f t="shared" si="1"/>
        <v>#DIV/0!</v>
      </c>
    </row>
    <row r="23" spans="1:137">
      <c r="A23" s="430"/>
      <c r="B23" t="s">
        <v>539</v>
      </c>
      <c r="C23" s="267">
        <v>1096113493</v>
      </c>
      <c r="D23" s="267">
        <v>2224348145.7350001</v>
      </c>
      <c r="E23" s="267">
        <v>1363208690</v>
      </c>
      <c r="F23" s="267">
        <v>1350124870</v>
      </c>
      <c r="I23" t="s">
        <v>524</v>
      </c>
      <c r="J23" s="267">
        <v>289569350</v>
      </c>
      <c r="K23" s="137"/>
      <c r="DZ23" s="884"/>
      <c r="EF23" t="e">
        <f t="shared" si="0"/>
        <v>#DIV/0!</v>
      </c>
      <c r="EG23" t="e">
        <f t="shared" si="1"/>
        <v>#DIV/0!</v>
      </c>
    </row>
    <row r="24" spans="1:137">
      <c r="A24" s="431" t="s">
        <v>540</v>
      </c>
      <c r="B24" s="431"/>
      <c r="C24" s="432">
        <f>SUM(C22:C23)</f>
        <v>8070816689</v>
      </c>
      <c r="D24" s="432">
        <f>SUM(D22:D23)</f>
        <v>9202875239.7350006</v>
      </c>
      <c r="E24" s="432">
        <f>SUM(E22:E23)</f>
        <v>5595488229</v>
      </c>
      <c r="F24" s="432">
        <f>SUM(F22:F23)</f>
        <v>5582276546</v>
      </c>
      <c r="I24" t="s">
        <v>526</v>
      </c>
      <c r="J24" s="267">
        <v>289569350</v>
      </c>
      <c r="DZ24" s="884"/>
    </row>
    <row r="25" spans="1:137">
      <c r="A25" s="265" t="s">
        <v>541</v>
      </c>
      <c r="B25" t="s">
        <v>542</v>
      </c>
      <c r="C25" s="267">
        <v>112868517</v>
      </c>
      <c r="D25" s="434">
        <v>106406499.11500001</v>
      </c>
      <c r="E25" s="434">
        <v>37960320</v>
      </c>
      <c r="F25" s="435">
        <v>35839136</v>
      </c>
      <c r="J25" s="267"/>
      <c r="DZ25" s="884"/>
    </row>
    <row r="26" spans="1:137">
      <c r="A26" s="265"/>
      <c r="B26" t="s">
        <v>543</v>
      </c>
      <c r="C26" s="267">
        <v>1318773633</v>
      </c>
      <c r="D26" s="267">
        <v>1305785009</v>
      </c>
      <c r="E26" s="267">
        <v>513138876</v>
      </c>
      <c r="F26" s="436">
        <v>512145545</v>
      </c>
      <c r="I26" t="s">
        <v>490</v>
      </c>
      <c r="J26" s="267">
        <v>591565843</v>
      </c>
      <c r="DZ26" s="884"/>
    </row>
    <row r="27" spans="1:137">
      <c r="A27" s="265"/>
      <c r="B27" t="s">
        <v>544</v>
      </c>
      <c r="C27" s="267">
        <v>74000000</v>
      </c>
      <c r="D27" s="267">
        <v>74000000</v>
      </c>
      <c r="E27" s="267">
        <v>41881618</v>
      </c>
      <c r="F27" s="436">
        <v>41881618</v>
      </c>
      <c r="I27" t="s">
        <v>531</v>
      </c>
    </row>
    <row r="28" spans="1:137">
      <c r="A28" s="265"/>
      <c r="B28" t="s">
        <v>545</v>
      </c>
      <c r="C28" s="267">
        <v>684885454</v>
      </c>
      <c r="D28" s="267">
        <v>645981057</v>
      </c>
      <c r="E28" s="267">
        <v>77012515</v>
      </c>
      <c r="F28" s="436">
        <v>70423537</v>
      </c>
      <c r="DZ28" s="884"/>
    </row>
    <row r="29" spans="1:137">
      <c r="A29" s="265"/>
      <c r="B29" t="s">
        <v>546</v>
      </c>
      <c r="C29" s="267">
        <v>1193996263</v>
      </c>
      <c r="D29" s="267">
        <v>796062762</v>
      </c>
      <c r="E29" s="267">
        <v>2491837</v>
      </c>
      <c r="F29" s="436">
        <v>2483337</v>
      </c>
      <c r="DZ29" s="884"/>
    </row>
    <row r="30" spans="1:137">
      <c r="A30" s="265"/>
      <c r="B30" t="s">
        <v>547</v>
      </c>
      <c r="C30" s="267">
        <v>199729400</v>
      </c>
      <c r="D30" s="267">
        <v>520632244</v>
      </c>
      <c r="E30" s="267">
        <v>195837358</v>
      </c>
      <c r="F30" s="436">
        <v>195215194</v>
      </c>
      <c r="DZ30" s="884"/>
    </row>
    <row r="31" spans="1:137">
      <c r="A31" s="265"/>
      <c r="B31" t="s">
        <v>548</v>
      </c>
      <c r="C31" s="267">
        <v>154320936</v>
      </c>
      <c r="D31" s="267">
        <v>169219748</v>
      </c>
      <c r="E31" s="267">
        <v>41140649</v>
      </c>
      <c r="F31" s="436">
        <v>34729855</v>
      </c>
      <c r="DZ31" s="884"/>
    </row>
    <row r="32" spans="1:137">
      <c r="A32" s="430"/>
      <c r="B32" t="s">
        <v>549</v>
      </c>
      <c r="C32" s="267">
        <v>112496855</v>
      </c>
      <c r="D32" s="267">
        <v>63527121</v>
      </c>
      <c r="E32" s="267">
        <v>0</v>
      </c>
      <c r="F32" s="436">
        <v>0</v>
      </c>
      <c r="DZ32" s="884"/>
    </row>
    <row r="33" spans="1:130">
      <c r="A33" s="431" t="s">
        <v>550</v>
      </c>
      <c r="B33" s="431"/>
      <c r="C33" s="432">
        <f>SUM(C25:C32)</f>
        <v>3851071058</v>
      </c>
      <c r="D33" s="432">
        <f>SUM(D25:D32)</f>
        <v>3681614440.1149998</v>
      </c>
      <c r="E33" s="432">
        <f>SUM(E25:E32)</f>
        <v>909463173</v>
      </c>
      <c r="F33" s="432">
        <f>SUM(F25:F32)</f>
        <v>892718222</v>
      </c>
      <c r="DZ33" s="884"/>
    </row>
    <row r="34" spans="1:130">
      <c r="A34" s="265" t="s">
        <v>551</v>
      </c>
      <c r="B34" t="s">
        <v>552</v>
      </c>
      <c r="C34" s="267">
        <v>16845883165</v>
      </c>
      <c r="D34" s="267">
        <v>17400067139.355</v>
      </c>
      <c r="E34" s="267">
        <v>1183563582</v>
      </c>
      <c r="F34" s="267">
        <v>1167746141</v>
      </c>
      <c r="DZ34" s="884"/>
    </row>
    <row r="35" spans="1:130">
      <c r="A35" s="430"/>
      <c r="B35" t="s">
        <v>553</v>
      </c>
      <c r="C35" s="267">
        <v>45745905</v>
      </c>
      <c r="D35" s="267">
        <v>87760394.109999999</v>
      </c>
      <c r="E35" s="267">
        <v>33411497</v>
      </c>
      <c r="F35" s="267">
        <v>33411497</v>
      </c>
      <c r="DZ35" s="884"/>
    </row>
    <row r="36" spans="1:130">
      <c r="A36" s="431" t="s">
        <v>554</v>
      </c>
      <c r="B36" s="431"/>
      <c r="C36" s="432">
        <f>SUM(C34:C35)</f>
        <v>16891629070</v>
      </c>
      <c r="D36" s="432">
        <f>SUM(D34:D35)</f>
        <v>17487827533.465</v>
      </c>
      <c r="E36" s="432">
        <f t="shared" ref="E36:F36" si="2">SUM(E34:E35)</f>
        <v>1216975079</v>
      </c>
      <c r="F36" s="432">
        <f t="shared" si="2"/>
        <v>1201157638</v>
      </c>
      <c r="H36" s="267"/>
      <c r="DZ36" s="884"/>
    </row>
    <row r="37" spans="1:130">
      <c r="A37" s="437" t="s">
        <v>487</v>
      </c>
      <c r="B37" s="437"/>
      <c r="C37" s="438">
        <f>+C7+C10+C14+C17+C21+C24+C33+C36</f>
        <v>77896026672</v>
      </c>
      <c r="D37" s="438">
        <f>+D7+D10+D14+D17+D21+D24+D33+D36</f>
        <v>81506751813.054993</v>
      </c>
      <c r="E37" s="438">
        <f t="shared" ref="E37:F37" si="3">+E7+E10+E14+E17+E21+E24+E33+E36</f>
        <v>30708401718</v>
      </c>
      <c r="F37" s="438">
        <f t="shared" si="3"/>
        <v>30722653289</v>
      </c>
    </row>
    <row r="38" spans="1:130">
      <c r="DZ38" s="884"/>
    </row>
    <row r="39" spans="1:130">
      <c r="C39" s="137">
        <v>77896026673.970001</v>
      </c>
      <c r="D39" s="267">
        <v>81506751813.055008</v>
      </c>
      <c r="E39" s="267">
        <v>30708401718</v>
      </c>
      <c r="F39" s="267">
        <v>30420656796</v>
      </c>
      <c r="DZ39" s="884"/>
    </row>
    <row r="40" spans="1:130">
      <c r="C40" s="387">
        <f>+C37-C39</f>
        <v>-1.970001220703125</v>
      </c>
      <c r="D40" s="904">
        <f>+D37-D39</f>
        <v>0</v>
      </c>
      <c r="E40" s="904">
        <f>+E37-E39</f>
        <v>0</v>
      </c>
      <c r="F40" s="904">
        <f>+F37-F39</f>
        <v>301996493</v>
      </c>
      <c r="G40" s="130" t="s">
        <v>1106</v>
      </c>
      <c r="DZ40" s="884"/>
    </row>
    <row r="41" spans="1:130">
      <c r="C41" s="267"/>
      <c r="F41" s="294"/>
      <c r="H41" s="130"/>
      <c r="DZ41" s="884"/>
    </row>
    <row r="42" spans="1:130">
      <c r="C42" s="439"/>
      <c r="F42" s="746"/>
      <c r="H42" s="130"/>
      <c r="DZ42" s="884"/>
    </row>
    <row r="43" spans="1:130">
      <c r="F43" s="267"/>
      <c r="DZ43" s="884"/>
    </row>
    <row r="44" spans="1:130">
      <c r="DZ44" s="884"/>
    </row>
    <row r="45" spans="1:130">
      <c r="F45" s="267"/>
      <c r="DZ45" s="884"/>
    </row>
    <row r="46" spans="1:130">
      <c r="F46" s="267"/>
      <c r="DZ46" s="884"/>
    </row>
    <row r="47" spans="1:130">
      <c r="DZ47" s="884"/>
    </row>
    <row r="48" spans="1:130">
      <c r="DZ48" s="884"/>
    </row>
    <row r="49" spans="130:130">
      <c r="DZ49" s="884"/>
    </row>
    <row r="123" spans="7:7">
      <c r="G123" s="137">
        <v>4472526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4:Q832"/>
  <sheetViews>
    <sheetView showGridLines="0" topLeftCell="F790" workbookViewId="0">
      <selection activeCell="J807" sqref="J807"/>
    </sheetView>
  </sheetViews>
  <sheetFormatPr defaultRowHeight="14.5"/>
  <cols>
    <col min="1" max="1" width="3.453125" style="441" customWidth="1"/>
    <col min="2" max="2" width="26.81640625" style="441" customWidth="1"/>
    <col min="3" max="3" width="16" style="535" customWidth="1"/>
    <col min="4" max="4" width="18.26953125" style="535" bestFit="1" customWidth="1"/>
    <col min="5" max="5" width="18.81640625" style="535" customWidth="1"/>
    <col min="6" max="7" width="15.1796875" style="535" customWidth="1"/>
    <col min="8" max="8" width="15.453125" style="535" customWidth="1"/>
    <col min="9" max="9" width="14.54296875" style="535" customWidth="1"/>
    <col min="10" max="10" width="16.453125" style="535" customWidth="1"/>
    <col min="11" max="11" width="17.1796875" style="535" customWidth="1"/>
    <col min="12" max="12" width="16.7265625" style="535" customWidth="1"/>
    <col min="13" max="13" width="24" style="535" customWidth="1"/>
    <col min="14" max="14" width="16.1796875" style="441" customWidth="1"/>
    <col min="15" max="15" width="16" style="441" customWidth="1"/>
    <col min="16" max="16" width="17.26953125" style="441" customWidth="1"/>
    <col min="17" max="17" width="14.81640625" style="441" customWidth="1"/>
    <col min="18" max="18" width="18.26953125" style="441" customWidth="1"/>
    <col min="19" max="19" width="18" style="441" customWidth="1"/>
    <col min="20" max="20" width="16" style="441" bestFit="1" customWidth="1"/>
    <col min="21" max="21" width="17.81640625" style="441" customWidth="1"/>
    <col min="22" max="22" width="17.7265625" style="441" customWidth="1"/>
    <col min="23" max="254" width="9.1796875" style="441"/>
    <col min="255" max="255" width="14.54296875" style="441" customWidth="1"/>
    <col min="256" max="257" width="9.1796875" style="441"/>
    <col min="258" max="258" width="14.7265625" style="441" customWidth="1"/>
    <col min="259" max="259" width="14.26953125" style="441" customWidth="1"/>
    <col min="260" max="260" width="13.81640625" style="441" customWidth="1"/>
    <col min="261" max="261" width="11.7265625" style="441" customWidth="1"/>
    <col min="262" max="262" width="12" style="441" customWidth="1"/>
    <col min="263" max="263" width="9.1796875" style="441"/>
    <col min="264" max="264" width="13.81640625" style="441" customWidth="1"/>
    <col min="265" max="265" width="13" style="441" customWidth="1"/>
    <col min="266" max="266" width="15.1796875" style="441" customWidth="1"/>
    <col min="267" max="267" width="14.7265625" style="441" customWidth="1"/>
    <col min="268" max="268" width="11.1796875" style="441" bestFit="1" customWidth="1"/>
    <col min="269" max="510" width="9.1796875" style="441"/>
    <col min="511" max="511" width="14.54296875" style="441" customWidth="1"/>
    <col min="512" max="513" width="9.1796875" style="441"/>
    <col min="514" max="514" width="14.7265625" style="441" customWidth="1"/>
    <col min="515" max="515" width="14.26953125" style="441" customWidth="1"/>
    <col min="516" max="516" width="13.81640625" style="441" customWidth="1"/>
    <col min="517" max="517" width="11.7265625" style="441" customWidth="1"/>
    <col min="518" max="518" width="12" style="441" customWidth="1"/>
    <col min="519" max="519" width="9.1796875" style="441"/>
    <col min="520" max="520" width="13.81640625" style="441" customWidth="1"/>
    <col min="521" max="521" width="13" style="441" customWidth="1"/>
    <col min="522" max="522" width="15.1796875" style="441" customWidth="1"/>
    <col min="523" max="523" width="14.7265625" style="441" customWidth="1"/>
    <col min="524" max="524" width="11.1796875" style="441" bestFit="1" customWidth="1"/>
    <col min="525" max="766" width="9.1796875" style="441"/>
    <col min="767" max="767" width="14.54296875" style="441" customWidth="1"/>
    <col min="768" max="769" width="9.1796875" style="441"/>
    <col min="770" max="770" width="14.7265625" style="441" customWidth="1"/>
    <col min="771" max="771" width="14.26953125" style="441" customWidth="1"/>
    <col min="772" max="772" width="13.81640625" style="441" customWidth="1"/>
    <col min="773" max="773" width="11.7265625" style="441" customWidth="1"/>
    <col min="774" max="774" width="12" style="441" customWidth="1"/>
    <col min="775" max="775" width="9.1796875" style="441"/>
    <col min="776" max="776" width="13.81640625" style="441" customWidth="1"/>
    <col min="777" max="777" width="13" style="441" customWidth="1"/>
    <col min="778" max="778" width="15.1796875" style="441" customWidth="1"/>
    <col min="779" max="779" width="14.7265625" style="441" customWidth="1"/>
    <col min="780" max="780" width="11.1796875" style="441" bestFit="1" customWidth="1"/>
    <col min="781" max="1022" width="9.1796875" style="441"/>
    <col min="1023" max="1023" width="14.54296875" style="441" customWidth="1"/>
    <col min="1024" max="1025" width="9.1796875" style="441"/>
    <col min="1026" max="1026" width="14.7265625" style="441" customWidth="1"/>
    <col min="1027" max="1027" width="14.26953125" style="441" customWidth="1"/>
    <col min="1028" max="1028" width="13.81640625" style="441" customWidth="1"/>
    <col min="1029" max="1029" width="11.7265625" style="441" customWidth="1"/>
    <col min="1030" max="1030" width="12" style="441" customWidth="1"/>
    <col min="1031" max="1031" width="9.1796875" style="441"/>
    <col min="1032" max="1032" width="13.81640625" style="441" customWidth="1"/>
    <col min="1033" max="1033" width="13" style="441" customWidth="1"/>
    <col min="1034" max="1034" width="15.1796875" style="441" customWidth="1"/>
    <col min="1035" max="1035" width="14.7265625" style="441" customWidth="1"/>
    <col min="1036" max="1036" width="11.1796875" style="441" bestFit="1" customWidth="1"/>
    <col min="1037" max="1278" width="9.1796875" style="441"/>
    <col min="1279" max="1279" width="14.54296875" style="441" customWidth="1"/>
    <col min="1280" max="1281" width="9.1796875" style="441"/>
    <col min="1282" max="1282" width="14.7265625" style="441" customWidth="1"/>
    <col min="1283" max="1283" width="14.26953125" style="441" customWidth="1"/>
    <col min="1284" max="1284" width="13.81640625" style="441" customWidth="1"/>
    <col min="1285" max="1285" width="11.7265625" style="441" customWidth="1"/>
    <col min="1286" max="1286" width="12" style="441" customWidth="1"/>
    <col min="1287" max="1287" width="9.1796875" style="441"/>
    <col min="1288" max="1288" width="13.81640625" style="441" customWidth="1"/>
    <col min="1289" max="1289" width="13" style="441" customWidth="1"/>
    <col min="1290" max="1290" width="15.1796875" style="441" customWidth="1"/>
    <col min="1291" max="1291" width="14.7265625" style="441" customWidth="1"/>
    <col min="1292" max="1292" width="11.1796875" style="441" bestFit="1" customWidth="1"/>
    <col min="1293" max="1534" width="9.1796875" style="441"/>
    <col min="1535" max="1535" width="14.54296875" style="441" customWidth="1"/>
    <col min="1536" max="1537" width="9.1796875" style="441"/>
    <col min="1538" max="1538" width="14.7265625" style="441" customWidth="1"/>
    <col min="1539" max="1539" width="14.26953125" style="441" customWidth="1"/>
    <col min="1540" max="1540" width="13.81640625" style="441" customWidth="1"/>
    <col min="1541" max="1541" width="11.7265625" style="441" customWidth="1"/>
    <col min="1542" max="1542" width="12" style="441" customWidth="1"/>
    <col min="1543" max="1543" width="9.1796875" style="441"/>
    <col min="1544" max="1544" width="13.81640625" style="441" customWidth="1"/>
    <col min="1545" max="1545" width="13" style="441" customWidth="1"/>
    <col min="1546" max="1546" width="15.1796875" style="441" customWidth="1"/>
    <col min="1547" max="1547" width="14.7265625" style="441" customWidth="1"/>
    <col min="1548" max="1548" width="11.1796875" style="441" bestFit="1" customWidth="1"/>
    <col min="1549" max="1790" width="9.1796875" style="441"/>
    <col min="1791" max="1791" width="14.54296875" style="441" customWidth="1"/>
    <col min="1792" max="1793" width="9.1796875" style="441"/>
    <col min="1794" max="1794" width="14.7265625" style="441" customWidth="1"/>
    <col min="1795" max="1795" width="14.26953125" style="441" customWidth="1"/>
    <col min="1796" max="1796" width="13.81640625" style="441" customWidth="1"/>
    <col min="1797" max="1797" width="11.7265625" style="441" customWidth="1"/>
    <col min="1798" max="1798" width="12" style="441" customWidth="1"/>
    <col min="1799" max="1799" width="9.1796875" style="441"/>
    <col min="1800" max="1800" width="13.81640625" style="441" customWidth="1"/>
    <col min="1801" max="1801" width="13" style="441" customWidth="1"/>
    <col min="1802" max="1802" width="15.1796875" style="441" customWidth="1"/>
    <col min="1803" max="1803" width="14.7265625" style="441" customWidth="1"/>
    <col min="1804" max="1804" width="11.1796875" style="441" bestFit="1" customWidth="1"/>
    <col min="1805" max="2046" width="9.1796875" style="441"/>
    <col min="2047" max="2047" width="14.54296875" style="441" customWidth="1"/>
    <col min="2048" max="2049" width="9.1796875" style="441"/>
    <col min="2050" max="2050" width="14.7265625" style="441" customWidth="1"/>
    <col min="2051" max="2051" width="14.26953125" style="441" customWidth="1"/>
    <col min="2052" max="2052" width="13.81640625" style="441" customWidth="1"/>
    <col min="2053" max="2053" width="11.7265625" style="441" customWidth="1"/>
    <col min="2054" max="2054" width="12" style="441" customWidth="1"/>
    <col min="2055" max="2055" width="9.1796875" style="441"/>
    <col min="2056" max="2056" width="13.81640625" style="441" customWidth="1"/>
    <col min="2057" max="2057" width="13" style="441" customWidth="1"/>
    <col min="2058" max="2058" width="15.1796875" style="441" customWidth="1"/>
    <col min="2059" max="2059" width="14.7265625" style="441" customWidth="1"/>
    <col min="2060" max="2060" width="11.1796875" style="441" bestFit="1" customWidth="1"/>
    <col min="2061" max="2302" width="9.1796875" style="441"/>
    <col min="2303" max="2303" width="14.54296875" style="441" customWidth="1"/>
    <col min="2304" max="2305" width="9.1796875" style="441"/>
    <col min="2306" max="2306" width="14.7265625" style="441" customWidth="1"/>
    <col min="2307" max="2307" width="14.26953125" style="441" customWidth="1"/>
    <col min="2308" max="2308" width="13.81640625" style="441" customWidth="1"/>
    <col min="2309" max="2309" width="11.7265625" style="441" customWidth="1"/>
    <col min="2310" max="2310" width="12" style="441" customWidth="1"/>
    <col min="2311" max="2311" width="9.1796875" style="441"/>
    <col min="2312" max="2312" width="13.81640625" style="441" customWidth="1"/>
    <col min="2313" max="2313" width="13" style="441" customWidth="1"/>
    <col min="2314" max="2314" width="15.1796875" style="441" customWidth="1"/>
    <col min="2315" max="2315" width="14.7265625" style="441" customWidth="1"/>
    <col min="2316" max="2316" width="11.1796875" style="441" bestFit="1" customWidth="1"/>
    <col min="2317" max="2558" width="9.1796875" style="441"/>
    <col min="2559" max="2559" width="14.54296875" style="441" customWidth="1"/>
    <col min="2560" max="2561" width="9.1796875" style="441"/>
    <col min="2562" max="2562" width="14.7265625" style="441" customWidth="1"/>
    <col min="2563" max="2563" width="14.26953125" style="441" customWidth="1"/>
    <col min="2564" max="2564" width="13.81640625" style="441" customWidth="1"/>
    <col min="2565" max="2565" width="11.7265625" style="441" customWidth="1"/>
    <col min="2566" max="2566" width="12" style="441" customWidth="1"/>
    <col min="2567" max="2567" width="9.1796875" style="441"/>
    <col min="2568" max="2568" width="13.81640625" style="441" customWidth="1"/>
    <col min="2569" max="2569" width="13" style="441" customWidth="1"/>
    <col min="2570" max="2570" width="15.1796875" style="441" customWidth="1"/>
    <col min="2571" max="2571" width="14.7265625" style="441" customWidth="1"/>
    <col min="2572" max="2572" width="11.1796875" style="441" bestFit="1" customWidth="1"/>
    <col min="2573" max="2814" width="9.1796875" style="441"/>
    <col min="2815" max="2815" width="14.54296875" style="441" customWidth="1"/>
    <col min="2816" max="2817" width="9.1796875" style="441"/>
    <col min="2818" max="2818" width="14.7265625" style="441" customWidth="1"/>
    <col min="2819" max="2819" width="14.26953125" style="441" customWidth="1"/>
    <col min="2820" max="2820" width="13.81640625" style="441" customWidth="1"/>
    <col min="2821" max="2821" width="11.7265625" style="441" customWidth="1"/>
    <col min="2822" max="2822" width="12" style="441" customWidth="1"/>
    <col min="2823" max="2823" width="9.1796875" style="441"/>
    <col min="2824" max="2824" width="13.81640625" style="441" customWidth="1"/>
    <col min="2825" max="2825" width="13" style="441" customWidth="1"/>
    <col min="2826" max="2826" width="15.1796875" style="441" customWidth="1"/>
    <col min="2827" max="2827" width="14.7265625" style="441" customWidth="1"/>
    <col min="2828" max="2828" width="11.1796875" style="441" bestFit="1" customWidth="1"/>
    <col min="2829" max="3070" width="9.1796875" style="441"/>
    <col min="3071" max="3071" width="14.54296875" style="441" customWidth="1"/>
    <col min="3072" max="3073" width="9.1796875" style="441"/>
    <col min="3074" max="3074" width="14.7265625" style="441" customWidth="1"/>
    <col min="3075" max="3075" width="14.26953125" style="441" customWidth="1"/>
    <col min="3076" max="3076" width="13.81640625" style="441" customWidth="1"/>
    <col min="3077" max="3077" width="11.7265625" style="441" customWidth="1"/>
    <col min="3078" max="3078" width="12" style="441" customWidth="1"/>
    <col min="3079" max="3079" width="9.1796875" style="441"/>
    <col min="3080" max="3080" width="13.81640625" style="441" customWidth="1"/>
    <col min="3081" max="3081" width="13" style="441" customWidth="1"/>
    <col min="3082" max="3082" width="15.1796875" style="441" customWidth="1"/>
    <col min="3083" max="3083" width="14.7265625" style="441" customWidth="1"/>
    <col min="3084" max="3084" width="11.1796875" style="441" bestFit="1" customWidth="1"/>
    <col min="3085" max="3326" width="9.1796875" style="441"/>
    <col min="3327" max="3327" width="14.54296875" style="441" customWidth="1"/>
    <col min="3328" max="3329" width="9.1796875" style="441"/>
    <col min="3330" max="3330" width="14.7265625" style="441" customWidth="1"/>
    <col min="3331" max="3331" width="14.26953125" style="441" customWidth="1"/>
    <col min="3332" max="3332" width="13.81640625" style="441" customWidth="1"/>
    <col min="3333" max="3333" width="11.7265625" style="441" customWidth="1"/>
    <col min="3334" max="3334" width="12" style="441" customWidth="1"/>
    <col min="3335" max="3335" width="9.1796875" style="441"/>
    <col min="3336" max="3336" width="13.81640625" style="441" customWidth="1"/>
    <col min="3337" max="3337" width="13" style="441" customWidth="1"/>
    <col min="3338" max="3338" width="15.1796875" style="441" customWidth="1"/>
    <col min="3339" max="3339" width="14.7265625" style="441" customWidth="1"/>
    <col min="3340" max="3340" width="11.1796875" style="441" bestFit="1" customWidth="1"/>
    <col min="3341" max="3582" width="9.1796875" style="441"/>
    <col min="3583" max="3583" width="14.54296875" style="441" customWidth="1"/>
    <col min="3584" max="3585" width="9.1796875" style="441"/>
    <col min="3586" max="3586" width="14.7265625" style="441" customWidth="1"/>
    <col min="3587" max="3587" width="14.26953125" style="441" customWidth="1"/>
    <col min="3588" max="3588" width="13.81640625" style="441" customWidth="1"/>
    <col min="3589" max="3589" width="11.7265625" style="441" customWidth="1"/>
    <col min="3590" max="3590" width="12" style="441" customWidth="1"/>
    <col min="3591" max="3591" width="9.1796875" style="441"/>
    <col min="3592" max="3592" width="13.81640625" style="441" customWidth="1"/>
    <col min="3593" max="3593" width="13" style="441" customWidth="1"/>
    <col min="3594" max="3594" width="15.1796875" style="441" customWidth="1"/>
    <col min="3595" max="3595" width="14.7265625" style="441" customWidth="1"/>
    <col min="3596" max="3596" width="11.1796875" style="441" bestFit="1" customWidth="1"/>
    <col min="3597" max="3838" width="9.1796875" style="441"/>
    <col min="3839" max="3839" width="14.54296875" style="441" customWidth="1"/>
    <col min="3840" max="3841" width="9.1796875" style="441"/>
    <col min="3842" max="3842" width="14.7265625" style="441" customWidth="1"/>
    <col min="3843" max="3843" width="14.26953125" style="441" customWidth="1"/>
    <col min="3844" max="3844" width="13.81640625" style="441" customWidth="1"/>
    <col min="3845" max="3845" width="11.7265625" style="441" customWidth="1"/>
    <col min="3846" max="3846" width="12" style="441" customWidth="1"/>
    <col min="3847" max="3847" width="9.1796875" style="441"/>
    <col min="3848" max="3848" width="13.81640625" style="441" customWidth="1"/>
    <col min="3849" max="3849" width="13" style="441" customWidth="1"/>
    <col min="3850" max="3850" width="15.1796875" style="441" customWidth="1"/>
    <col min="3851" max="3851" width="14.7265625" style="441" customWidth="1"/>
    <col min="3852" max="3852" width="11.1796875" style="441" bestFit="1" customWidth="1"/>
    <col min="3853" max="4094" width="9.1796875" style="441"/>
    <col min="4095" max="4095" width="14.54296875" style="441" customWidth="1"/>
    <col min="4096" max="4097" width="9.1796875" style="441"/>
    <col min="4098" max="4098" width="14.7265625" style="441" customWidth="1"/>
    <col min="4099" max="4099" width="14.26953125" style="441" customWidth="1"/>
    <col min="4100" max="4100" width="13.81640625" style="441" customWidth="1"/>
    <col min="4101" max="4101" width="11.7265625" style="441" customWidth="1"/>
    <col min="4102" max="4102" width="12" style="441" customWidth="1"/>
    <col min="4103" max="4103" width="9.1796875" style="441"/>
    <col min="4104" max="4104" width="13.81640625" style="441" customWidth="1"/>
    <col min="4105" max="4105" width="13" style="441" customWidth="1"/>
    <col min="4106" max="4106" width="15.1796875" style="441" customWidth="1"/>
    <col min="4107" max="4107" width="14.7265625" style="441" customWidth="1"/>
    <col min="4108" max="4108" width="11.1796875" style="441" bestFit="1" customWidth="1"/>
    <col min="4109" max="4350" width="9.1796875" style="441"/>
    <col min="4351" max="4351" width="14.54296875" style="441" customWidth="1"/>
    <col min="4352" max="4353" width="9.1796875" style="441"/>
    <col min="4354" max="4354" width="14.7265625" style="441" customWidth="1"/>
    <col min="4355" max="4355" width="14.26953125" style="441" customWidth="1"/>
    <col min="4356" max="4356" width="13.81640625" style="441" customWidth="1"/>
    <col min="4357" max="4357" width="11.7265625" style="441" customWidth="1"/>
    <col min="4358" max="4358" width="12" style="441" customWidth="1"/>
    <col min="4359" max="4359" width="9.1796875" style="441"/>
    <col min="4360" max="4360" width="13.81640625" style="441" customWidth="1"/>
    <col min="4361" max="4361" width="13" style="441" customWidth="1"/>
    <col min="4362" max="4362" width="15.1796875" style="441" customWidth="1"/>
    <col min="4363" max="4363" width="14.7265625" style="441" customWidth="1"/>
    <col min="4364" max="4364" width="11.1796875" style="441" bestFit="1" customWidth="1"/>
    <col min="4365" max="4606" width="9.1796875" style="441"/>
    <col min="4607" max="4607" width="14.54296875" style="441" customWidth="1"/>
    <col min="4608" max="4609" width="9.1796875" style="441"/>
    <col min="4610" max="4610" width="14.7265625" style="441" customWidth="1"/>
    <col min="4611" max="4611" width="14.26953125" style="441" customWidth="1"/>
    <col min="4612" max="4612" width="13.81640625" style="441" customWidth="1"/>
    <col min="4613" max="4613" width="11.7265625" style="441" customWidth="1"/>
    <col min="4614" max="4614" width="12" style="441" customWidth="1"/>
    <col min="4615" max="4615" width="9.1796875" style="441"/>
    <col min="4616" max="4616" width="13.81640625" style="441" customWidth="1"/>
    <col min="4617" max="4617" width="13" style="441" customWidth="1"/>
    <col min="4618" max="4618" width="15.1796875" style="441" customWidth="1"/>
    <col min="4619" max="4619" width="14.7265625" style="441" customWidth="1"/>
    <col min="4620" max="4620" width="11.1796875" style="441" bestFit="1" customWidth="1"/>
    <col min="4621" max="4862" width="9.1796875" style="441"/>
    <col min="4863" max="4863" width="14.54296875" style="441" customWidth="1"/>
    <col min="4864" max="4865" width="9.1796875" style="441"/>
    <col min="4866" max="4866" width="14.7265625" style="441" customWidth="1"/>
    <col min="4867" max="4867" width="14.26953125" style="441" customWidth="1"/>
    <col min="4868" max="4868" width="13.81640625" style="441" customWidth="1"/>
    <col min="4869" max="4869" width="11.7265625" style="441" customWidth="1"/>
    <col min="4870" max="4870" width="12" style="441" customWidth="1"/>
    <col min="4871" max="4871" width="9.1796875" style="441"/>
    <col min="4872" max="4872" width="13.81640625" style="441" customWidth="1"/>
    <col min="4873" max="4873" width="13" style="441" customWidth="1"/>
    <col min="4874" max="4874" width="15.1796875" style="441" customWidth="1"/>
    <col min="4875" max="4875" width="14.7265625" style="441" customWidth="1"/>
    <col min="4876" max="4876" width="11.1796875" style="441" bestFit="1" customWidth="1"/>
    <col min="4877" max="5118" width="9.1796875" style="441"/>
    <col min="5119" max="5119" width="14.54296875" style="441" customWidth="1"/>
    <col min="5120" max="5121" width="9.1796875" style="441"/>
    <col min="5122" max="5122" width="14.7265625" style="441" customWidth="1"/>
    <col min="5123" max="5123" width="14.26953125" style="441" customWidth="1"/>
    <col min="5124" max="5124" width="13.81640625" style="441" customWidth="1"/>
    <col min="5125" max="5125" width="11.7265625" style="441" customWidth="1"/>
    <col min="5126" max="5126" width="12" style="441" customWidth="1"/>
    <col min="5127" max="5127" width="9.1796875" style="441"/>
    <col min="5128" max="5128" width="13.81640625" style="441" customWidth="1"/>
    <col min="5129" max="5129" width="13" style="441" customWidth="1"/>
    <col min="5130" max="5130" width="15.1796875" style="441" customWidth="1"/>
    <col min="5131" max="5131" width="14.7265625" style="441" customWidth="1"/>
    <col min="5132" max="5132" width="11.1796875" style="441" bestFit="1" customWidth="1"/>
    <col min="5133" max="5374" width="9.1796875" style="441"/>
    <col min="5375" max="5375" width="14.54296875" style="441" customWidth="1"/>
    <col min="5376" max="5377" width="9.1796875" style="441"/>
    <col min="5378" max="5378" width="14.7265625" style="441" customWidth="1"/>
    <col min="5379" max="5379" width="14.26953125" style="441" customWidth="1"/>
    <col min="5380" max="5380" width="13.81640625" style="441" customWidth="1"/>
    <col min="5381" max="5381" width="11.7265625" style="441" customWidth="1"/>
    <col min="5382" max="5382" width="12" style="441" customWidth="1"/>
    <col min="5383" max="5383" width="9.1796875" style="441"/>
    <col min="5384" max="5384" width="13.81640625" style="441" customWidth="1"/>
    <col min="5385" max="5385" width="13" style="441" customWidth="1"/>
    <col min="5386" max="5386" width="15.1796875" style="441" customWidth="1"/>
    <col min="5387" max="5387" width="14.7265625" style="441" customWidth="1"/>
    <col min="5388" max="5388" width="11.1796875" style="441" bestFit="1" customWidth="1"/>
    <col min="5389" max="5630" width="9.1796875" style="441"/>
    <col min="5631" max="5631" width="14.54296875" style="441" customWidth="1"/>
    <col min="5632" max="5633" width="9.1796875" style="441"/>
    <col min="5634" max="5634" width="14.7265625" style="441" customWidth="1"/>
    <col min="5635" max="5635" width="14.26953125" style="441" customWidth="1"/>
    <col min="5636" max="5636" width="13.81640625" style="441" customWidth="1"/>
    <col min="5637" max="5637" width="11.7265625" style="441" customWidth="1"/>
    <col min="5638" max="5638" width="12" style="441" customWidth="1"/>
    <col min="5639" max="5639" width="9.1796875" style="441"/>
    <col min="5640" max="5640" width="13.81640625" style="441" customWidth="1"/>
    <col min="5641" max="5641" width="13" style="441" customWidth="1"/>
    <col min="5642" max="5642" width="15.1796875" style="441" customWidth="1"/>
    <col min="5643" max="5643" width="14.7265625" style="441" customWidth="1"/>
    <col min="5644" max="5644" width="11.1796875" style="441" bestFit="1" customWidth="1"/>
    <col min="5645" max="5886" width="9.1796875" style="441"/>
    <col min="5887" max="5887" width="14.54296875" style="441" customWidth="1"/>
    <col min="5888" max="5889" width="9.1796875" style="441"/>
    <col min="5890" max="5890" width="14.7265625" style="441" customWidth="1"/>
    <col min="5891" max="5891" width="14.26953125" style="441" customWidth="1"/>
    <col min="5892" max="5892" width="13.81640625" style="441" customWidth="1"/>
    <col min="5893" max="5893" width="11.7265625" style="441" customWidth="1"/>
    <col min="5894" max="5894" width="12" style="441" customWidth="1"/>
    <col min="5895" max="5895" width="9.1796875" style="441"/>
    <col min="5896" max="5896" width="13.81640625" style="441" customWidth="1"/>
    <col min="5897" max="5897" width="13" style="441" customWidth="1"/>
    <col min="5898" max="5898" width="15.1796875" style="441" customWidth="1"/>
    <col min="5899" max="5899" width="14.7265625" style="441" customWidth="1"/>
    <col min="5900" max="5900" width="11.1796875" style="441" bestFit="1" customWidth="1"/>
    <col min="5901" max="6142" width="9.1796875" style="441"/>
    <col min="6143" max="6143" width="14.54296875" style="441" customWidth="1"/>
    <col min="6144" max="6145" width="9.1796875" style="441"/>
    <col min="6146" max="6146" width="14.7265625" style="441" customWidth="1"/>
    <col min="6147" max="6147" width="14.26953125" style="441" customWidth="1"/>
    <col min="6148" max="6148" width="13.81640625" style="441" customWidth="1"/>
    <col min="6149" max="6149" width="11.7265625" style="441" customWidth="1"/>
    <col min="6150" max="6150" width="12" style="441" customWidth="1"/>
    <col min="6151" max="6151" width="9.1796875" style="441"/>
    <col min="6152" max="6152" width="13.81640625" style="441" customWidth="1"/>
    <col min="6153" max="6153" width="13" style="441" customWidth="1"/>
    <col min="6154" max="6154" width="15.1796875" style="441" customWidth="1"/>
    <col min="6155" max="6155" width="14.7265625" style="441" customWidth="1"/>
    <col min="6156" max="6156" width="11.1796875" style="441" bestFit="1" customWidth="1"/>
    <col min="6157" max="6398" width="9.1796875" style="441"/>
    <col min="6399" max="6399" width="14.54296875" style="441" customWidth="1"/>
    <col min="6400" max="6401" width="9.1796875" style="441"/>
    <col min="6402" max="6402" width="14.7265625" style="441" customWidth="1"/>
    <col min="6403" max="6403" width="14.26953125" style="441" customWidth="1"/>
    <col min="6404" max="6404" width="13.81640625" style="441" customWidth="1"/>
    <col min="6405" max="6405" width="11.7265625" style="441" customWidth="1"/>
    <col min="6406" max="6406" width="12" style="441" customWidth="1"/>
    <col min="6407" max="6407" width="9.1796875" style="441"/>
    <col min="6408" max="6408" width="13.81640625" style="441" customWidth="1"/>
    <col min="6409" max="6409" width="13" style="441" customWidth="1"/>
    <col min="6410" max="6410" width="15.1796875" style="441" customWidth="1"/>
    <col min="6411" max="6411" width="14.7265625" style="441" customWidth="1"/>
    <col min="6412" max="6412" width="11.1796875" style="441" bestFit="1" customWidth="1"/>
    <col min="6413" max="6654" width="9.1796875" style="441"/>
    <col min="6655" max="6655" width="14.54296875" style="441" customWidth="1"/>
    <col min="6656" max="6657" width="9.1796875" style="441"/>
    <col min="6658" max="6658" width="14.7265625" style="441" customWidth="1"/>
    <col min="6659" max="6659" width="14.26953125" style="441" customWidth="1"/>
    <col min="6660" max="6660" width="13.81640625" style="441" customWidth="1"/>
    <col min="6661" max="6661" width="11.7265625" style="441" customWidth="1"/>
    <col min="6662" max="6662" width="12" style="441" customWidth="1"/>
    <col min="6663" max="6663" width="9.1796875" style="441"/>
    <col min="6664" max="6664" width="13.81640625" style="441" customWidth="1"/>
    <col min="6665" max="6665" width="13" style="441" customWidth="1"/>
    <col min="6666" max="6666" width="15.1796875" style="441" customWidth="1"/>
    <col min="6667" max="6667" width="14.7265625" style="441" customWidth="1"/>
    <col min="6668" max="6668" width="11.1796875" style="441" bestFit="1" customWidth="1"/>
    <col min="6669" max="6910" width="9.1796875" style="441"/>
    <col min="6911" max="6911" width="14.54296875" style="441" customWidth="1"/>
    <col min="6912" max="6913" width="9.1796875" style="441"/>
    <col min="6914" max="6914" width="14.7265625" style="441" customWidth="1"/>
    <col min="6915" max="6915" width="14.26953125" style="441" customWidth="1"/>
    <col min="6916" max="6916" width="13.81640625" style="441" customWidth="1"/>
    <col min="6917" max="6917" width="11.7265625" style="441" customWidth="1"/>
    <col min="6918" max="6918" width="12" style="441" customWidth="1"/>
    <col min="6919" max="6919" width="9.1796875" style="441"/>
    <col min="6920" max="6920" width="13.81640625" style="441" customWidth="1"/>
    <col min="6921" max="6921" width="13" style="441" customWidth="1"/>
    <col min="6922" max="6922" width="15.1796875" style="441" customWidth="1"/>
    <col min="6923" max="6923" width="14.7265625" style="441" customWidth="1"/>
    <col min="6924" max="6924" width="11.1796875" style="441" bestFit="1" customWidth="1"/>
    <col min="6925" max="7166" width="9.1796875" style="441"/>
    <col min="7167" max="7167" width="14.54296875" style="441" customWidth="1"/>
    <col min="7168" max="7169" width="9.1796875" style="441"/>
    <col min="7170" max="7170" width="14.7265625" style="441" customWidth="1"/>
    <col min="7171" max="7171" width="14.26953125" style="441" customWidth="1"/>
    <col min="7172" max="7172" width="13.81640625" style="441" customWidth="1"/>
    <col min="7173" max="7173" width="11.7265625" style="441" customWidth="1"/>
    <col min="7174" max="7174" width="12" style="441" customWidth="1"/>
    <col min="7175" max="7175" width="9.1796875" style="441"/>
    <col min="7176" max="7176" width="13.81640625" style="441" customWidth="1"/>
    <col min="7177" max="7177" width="13" style="441" customWidth="1"/>
    <col min="7178" max="7178" width="15.1796875" style="441" customWidth="1"/>
    <col min="7179" max="7179" width="14.7265625" style="441" customWidth="1"/>
    <col min="7180" max="7180" width="11.1796875" style="441" bestFit="1" customWidth="1"/>
    <col min="7181" max="7422" width="9.1796875" style="441"/>
    <col min="7423" max="7423" width="14.54296875" style="441" customWidth="1"/>
    <col min="7424" max="7425" width="9.1796875" style="441"/>
    <col min="7426" max="7426" width="14.7265625" style="441" customWidth="1"/>
    <col min="7427" max="7427" width="14.26953125" style="441" customWidth="1"/>
    <col min="7428" max="7428" width="13.81640625" style="441" customWidth="1"/>
    <col min="7429" max="7429" width="11.7265625" style="441" customWidth="1"/>
    <col min="7430" max="7430" width="12" style="441" customWidth="1"/>
    <col min="7431" max="7431" width="9.1796875" style="441"/>
    <col min="7432" max="7432" width="13.81640625" style="441" customWidth="1"/>
    <col min="7433" max="7433" width="13" style="441" customWidth="1"/>
    <col min="7434" max="7434" width="15.1796875" style="441" customWidth="1"/>
    <col min="7435" max="7435" width="14.7265625" style="441" customWidth="1"/>
    <col min="7436" max="7436" width="11.1796875" style="441" bestFit="1" customWidth="1"/>
    <col min="7437" max="7678" width="9.1796875" style="441"/>
    <col min="7679" max="7679" width="14.54296875" style="441" customWidth="1"/>
    <col min="7680" max="7681" width="9.1796875" style="441"/>
    <col min="7682" max="7682" width="14.7265625" style="441" customWidth="1"/>
    <col min="7683" max="7683" width="14.26953125" style="441" customWidth="1"/>
    <col min="7684" max="7684" width="13.81640625" style="441" customWidth="1"/>
    <col min="7685" max="7685" width="11.7265625" style="441" customWidth="1"/>
    <col min="7686" max="7686" width="12" style="441" customWidth="1"/>
    <col min="7687" max="7687" width="9.1796875" style="441"/>
    <col min="7688" max="7688" width="13.81640625" style="441" customWidth="1"/>
    <col min="7689" max="7689" width="13" style="441" customWidth="1"/>
    <col min="7690" max="7690" width="15.1796875" style="441" customWidth="1"/>
    <col min="7691" max="7691" width="14.7265625" style="441" customWidth="1"/>
    <col min="7692" max="7692" width="11.1796875" style="441" bestFit="1" customWidth="1"/>
    <col min="7693" max="7934" width="9.1796875" style="441"/>
    <col min="7935" max="7935" width="14.54296875" style="441" customWidth="1"/>
    <col min="7936" max="7937" width="9.1796875" style="441"/>
    <col min="7938" max="7938" width="14.7265625" style="441" customWidth="1"/>
    <col min="7939" max="7939" width="14.26953125" style="441" customWidth="1"/>
    <col min="7940" max="7940" width="13.81640625" style="441" customWidth="1"/>
    <col min="7941" max="7941" width="11.7265625" style="441" customWidth="1"/>
    <col min="7942" max="7942" width="12" style="441" customWidth="1"/>
    <col min="7943" max="7943" width="9.1796875" style="441"/>
    <col min="7944" max="7944" width="13.81640625" style="441" customWidth="1"/>
    <col min="7945" max="7945" width="13" style="441" customWidth="1"/>
    <col min="7946" max="7946" width="15.1796875" style="441" customWidth="1"/>
    <col min="7947" max="7947" width="14.7265625" style="441" customWidth="1"/>
    <col min="7948" max="7948" width="11.1796875" style="441" bestFit="1" customWidth="1"/>
    <col min="7949" max="8190" width="9.1796875" style="441"/>
    <col min="8191" max="8191" width="14.54296875" style="441" customWidth="1"/>
    <col min="8192" max="8193" width="9.1796875" style="441"/>
    <col min="8194" max="8194" width="14.7265625" style="441" customWidth="1"/>
    <col min="8195" max="8195" width="14.26953125" style="441" customWidth="1"/>
    <col min="8196" max="8196" width="13.81640625" style="441" customWidth="1"/>
    <col min="8197" max="8197" width="11.7265625" style="441" customWidth="1"/>
    <col min="8198" max="8198" width="12" style="441" customWidth="1"/>
    <col min="8199" max="8199" width="9.1796875" style="441"/>
    <col min="8200" max="8200" width="13.81640625" style="441" customWidth="1"/>
    <col min="8201" max="8201" width="13" style="441" customWidth="1"/>
    <col min="8202" max="8202" width="15.1796875" style="441" customWidth="1"/>
    <col min="8203" max="8203" width="14.7265625" style="441" customWidth="1"/>
    <col min="8204" max="8204" width="11.1796875" style="441" bestFit="1" customWidth="1"/>
    <col min="8205" max="8446" width="9.1796875" style="441"/>
    <col min="8447" max="8447" width="14.54296875" style="441" customWidth="1"/>
    <col min="8448" max="8449" width="9.1796875" style="441"/>
    <col min="8450" max="8450" width="14.7265625" style="441" customWidth="1"/>
    <col min="8451" max="8451" width="14.26953125" style="441" customWidth="1"/>
    <col min="8452" max="8452" width="13.81640625" style="441" customWidth="1"/>
    <col min="8453" max="8453" width="11.7265625" style="441" customWidth="1"/>
    <col min="8454" max="8454" width="12" style="441" customWidth="1"/>
    <col min="8455" max="8455" width="9.1796875" style="441"/>
    <col min="8456" max="8456" width="13.81640625" style="441" customWidth="1"/>
    <col min="8457" max="8457" width="13" style="441" customWidth="1"/>
    <col min="8458" max="8458" width="15.1796875" style="441" customWidth="1"/>
    <col min="8459" max="8459" width="14.7265625" style="441" customWidth="1"/>
    <col min="8460" max="8460" width="11.1796875" style="441" bestFit="1" customWidth="1"/>
    <col min="8461" max="8702" width="9.1796875" style="441"/>
    <col min="8703" max="8703" width="14.54296875" style="441" customWidth="1"/>
    <col min="8704" max="8705" width="9.1796875" style="441"/>
    <col min="8706" max="8706" width="14.7265625" style="441" customWidth="1"/>
    <col min="8707" max="8707" width="14.26953125" style="441" customWidth="1"/>
    <col min="8708" max="8708" width="13.81640625" style="441" customWidth="1"/>
    <col min="8709" max="8709" width="11.7265625" style="441" customWidth="1"/>
    <col min="8710" max="8710" width="12" style="441" customWidth="1"/>
    <col min="8711" max="8711" width="9.1796875" style="441"/>
    <col min="8712" max="8712" width="13.81640625" style="441" customWidth="1"/>
    <col min="8713" max="8713" width="13" style="441" customWidth="1"/>
    <col min="8714" max="8714" width="15.1796875" style="441" customWidth="1"/>
    <col min="8715" max="8715" width="14.7265625" style="441" customWidth="1"/>
    <col min="8716" max="8716" width="11.1796875" style="441" bestFit="1" customWidth="1"/>
    <col min="8717" max="8958" width="9.1796875" style="441"/>
    <col min="8959" max="8959" width="14.54296875" style="441" customWidth="1"/>
    <col min="8960" max="8961" width="9.1796875" style="441"/>
    <col min="8962" max="8962" width="14.7265625" style="441" customWidth="1"/>
    <col min="8963" max="8963" width="14.26953125" style="441" customWidth="1"/>
    <col min="8964" max="8964" width="13.81640625" style="441" customWidth="1"/>
    <col min="8965" max="8965" width="11.7265625" style="441" customWidth="1"/>
    <col min="8966" max="8966" width="12" style="441" customWidth="1"/>
    <col min="8967" max="8967" width="9.1796875" style="441"/>
    <col min="8968" max="8968" width="13.81640625" style="441" customWidth="1"/>
    <col min="8969" max="8969" width="13" style="441" customWidth="1"/>
    <col min="8970" max="8970" width="15.1796875" style="441" customWidth="1"/>
    <col min="8971" max="8971" width="14.7265625" style="441" customWidth="1"/>
    <col min="8972" max="8972" width="11.1796875" style="441" bestFit="1" customWidth="1"/>
    <col min="8973" max="9214" width="9.1796875" style="441"/>
    <col min="9215" max="9215" width="14.54296875" style="441" customWidth="1"/>
    <col min="9216" max="9217" width="9.1796875" style="441"/>
    <col min="9218" max="9218" width="14.7265625" style="441" customWidth="1"/>
    <col min="9219" max="9219" width="14.26953125" style="441" customWidth="1"/>
    <col min="9220" max="9220" width="13.81640625" style="441" customWidth="1"/>
    <col min="9221" max="9221" width="11.7265625" style="441" customWidth="1"/>
    <col min="9222" max="9222" width="12" style="441" customWidth="1"/>
    <col min="9223" max="9223" width="9.1796875" style="441"/>
    <col min="9224" max="9224" width="13.81640625" style="441" customWidth="1"/>
    <col min="9225" max="9225" width="13" style="441" customWidth="1"/>
    <col min="9226" max="9226" width="15.1796875" style="441" customWidth="1"/>
    <col min="9227" max="9227" width="14.7265625" style="441" customWidth="1"/>
    <col min="9228" max="9228" width="11.1796875" style="441" bestFit="1" customWidth="1"/>
    <col min="9229" max="9470" width="9.1796875" style="441"/>
    <col min="9471" max="9471" width="14.54296875" style="441" customWidth="1"/>
    <col min="9472" max="9473" width="9.1796875" style="441"/>
    <col min="9474" max="9474" width="14.7265625" style="441" customWidth="1"/>
    <col min="9475" max="9475" width="14.26953125" style="441" customWidth="1"/>
    <col min="9476" max="9476" width="13.81640625" style="441" customWidth="1"/>
    <col min="9477" max="9477" width="11.7265625" style="441" customWidth="1"/>
    <col min="9478" max="9478" width="12" style="441" customWidth="1"/>
    <col min="9479" max="9479" width="9.1796875" style="441"/>
    <col min="9480" max="9480" width="13.81640625" style="441" customWidth="1"/>
    <col min="9481" max="9481" width="13" style="441" customWidth="1"/>
    <col min="9482" max="9482" width="15.1796875" style="441" customWidth="1"/>
    <col min="9483" max="9483" width="14.7265625" style="441" customWidth="1"/>
    <col min="9484" max="9484" width="11.1796875" style="441" bestFit="1" customWidth="1"/>
    <col min="9485" max="9726" width="9.1796875" style="441"/>
    <col min="9727" max="9727" width="14.54296875" style="441" customWidth="1"/>
    <col min="9728" max="9729" width="9.1796875" style="441"/>
    <col min="9730" max="9730" width="14.7265625" style="441" customWidth="1"/>
    <col min="9731" max="9731" width="14.26953125" style="441" customWidth="1"/>
    <col min="9732" max="9732" width="13.81640625" style="441" customWidth="1"/>
    <col min="9733" max="9733" width="11.7265625" style="441" customWidth="1"/>
    <col min="9734" max="9734" width="12" style="441" customWidth="1"/>
    <col min="9735" max="9735" width="9.1796875" style="441"/>
    <col min="9736" max="9736" width="13.81640625" style="441" customWidth="1"/>
    <col min="9737" max="9737" width="13" style="441" customWidth="1"/>
    <col min="9738" max="9738" width="15.1796875" style="441" customWidth="1"/>
    <col min="9739" max="9739" width="14.7265625" style="441" customWidth="1"/>
    <col min="9740" max="9740" width="11.1796875" style="441" bestFit="1" customWidth="1"/>
    <col min="9741" max="9982" width="9.1796875" style="441"/>
    <col min="9983" max="9983" width="14.54296875" style="441" customWidth="1"/>
    <col min="9984" max="9985" width="9.1796875" style="441"/>
    <col min="9986" max="9986" width="14.7265625" style="441" customWidth="1"/>
    <col min="9987" max="9987" width="14.26953125" style="441" customWidth="1"/>
    <col min="9988" max="9988" width="13.81640625" style="441" customWidth="1"/>
    <col min="9989" max="9989" width="11.7265625" style="441" customWidth="1"/>
    <col min="9990" max="9990" width="12" style="441" customWidth="1"/>
    <col min="9991" max="9991" width="9.1796875" style="441"/>
    <col min="9992" max="9992" width="13.81640625" style="441" customWidth="1"/>
    <col min="9993" max="9993" width="13" style="441" customWidth="1"/>
    <col min="9994" max="9994" width="15.1796875" style="441" customWidth="1"/>
    <col min="9995" max="9995" width="14.7265625" style="441" customWidth="1"/>
    <col min="9996" max="9996" width="11.1796875" style="441" bestFit="1" customWidth="1"/>
    <col min="9997" max="10238" width="9.1796875" style="441"/>
    <col min="10239" max="10239" width="14.54296875" style="441" customWidth="1"/>
    <col min="10240" max="10241" width="9.1796875" style="441"/>
    <col min="10242" max="10242" width="14.7265625" style="441" customWidth="1"/>
    <col min="10243" max="10243" width="14.26953125" style="441" customWidth="1"/>
    <col min="10244" max="10244" width="13.81640625" style="441" customWidth="1"/>
    <col min="10245" max="10245" width="11.7265625" style="441" customWidth="1"/>
    <col min="10246" max="10246" width="12" style="441" customWidth="1"/>
    <col min="10247" max="10247" width="9.1796875" style="441"/>
    <col min="10248" max="10248" width="13.81640625" style="441" customWidth="1"/>
    <col min="10249" max="10249" width="13" style="441" customWidth="1"/>
    <col min="10250" max="10250" width="15.1796875" style="441" customWidth="1"/>
    <col min="10251" max="10251" width="14.7265625" style="441" customWidth="1"/>
    <col min="10252" max="10252" width="11.1796875" style="441" bestFit="1" customWidth="1"/>
    <col min="10253" max="10494" width="9.1796875" style="441"/>
    <col min="10495" max="10495" width="14.54296875" style="441" customWidth="1"/>
    <col min="10496" max="10497" width="9.1796875" style="441"/>
    <col min="10498" max="10498" width="14.7265625" style="441" customWidth="1"/>
    <col min="10499" max="10499" width="14.26953125" style="441" customWidth="1"/>
    <col min="10500" max="10500" width="13.81640625" style="441" customWidth="1"/>
    <col min="10501" max="10501" width="11.7265625" style="441" customWidth="1"/>
    <col min="10502" max="10502" width="12" style="441" customWidth="1"/>
    <col min="10503" max="10503" width="9.1796875" style="441"/>
    <col min="10504" max="10504" width="13.81640625" style="441" customWidth="1"/>
    <col min="10505" max="10505" width="13" style="441" customWidth="1"/>
    <col min="10506" max="10506" width="15.1796875" style="441" customWidth="1"/>
    <col min="10507" max="10507" width="14.7265625" style="441" customWidth="1"/>
    <col min="10508" max="10508" width="11.1796875" style="441" bestFit="1" customWidth="1"/>
    <col min="10509" max="10750" width="9.1796875" style="441"/>
    <col min="10751" max="10751" width="14.54296875" style="441" customWidth="1"/>
    <col min="10752" max="10753" width="9.1796875" style="441"/>
    <col min="10754" max="10754" width="14.7265625" style="441" customWidth="1"/>
    <col min="10755" max="10755" width="14.26953125" style="441" customWidth="1"/>
    <col min="10756" max="10756" width="13.81640625" style="441" customWidth="1"/>
    <col min="10757" max="10757" width="11.7265625" style="441" customWidth="1"/>
    <col min="10758" max="10758" width="12" style="441" customWidth="1"/>
    <col min="10759" max="10759" width="9.1796875" style="441"/>
    <col min="10760" max="10760" width="13.81640625" style="441" customWidth="1"/>
    <col min="10761" max="10761" width="13" style="441" customWidth="1"/>
    <col min="10762" max="10762" width="15.1796875" style="441" customWidth="1"/>
    <col min="10763" max="10763" width="14.7265625" style="441" customWidth="1"/>
    <col min="10764" max="10764" width="11.1796875" style="441" bestFit="1" customWidth="1"/>
    <col min="10765" max="11006" width="9.1796875" style="441"/>
    <col min="11007" max="11007" width="14.54296875" style="441" customWidth="1"/>
    <col min="11008" max="11009" width="9.1796875" style="441"/>
    <col min="11010" max="11010" width="14.7265625" style="441" customWidth="1"/>
    <col min="11011" max="11011" width="14.26953125" style="441" customWidth="1"/>
    <col min="11012" max="11012" width="13.81640625" style="441" customWidth="1"/>
    <col min="11013" max="11013" width="11.7265625" style="441" customWidth="1"/>
    <col min="11014" max="11014" width="12" style="441" customWidth="1"/>
    <col min="11015" max="11015" width="9.1796875" style="441"/>
    <col min="11016" max="11016" width="13.81640625" style="441" customWidth="1"/>
    <col min="11017" max="11017" width="13" style="441" customWidth="1"/>
    <col min="11018" max="11018" width="15.1796875" style="441" customWidth="1"/>
    <col min="11019" max="11019" width="14.7265625" style="441" customWidth="1"/>
    <col min="11020" max="11020" width="11.1796875" style="441" bestFit="1" customWidth="1"/>
    <col min="11021" max="11262" width="9.1796875" style="441"/>
    <col min="11263" max="11263" width="14.54296875" style="441" customWidth="1"/>
    <col min="11264" max="11265" width="9.1796875" style="441"/>
    <col min="11266" max="11266" width="14.7265625" style="441" customWidth="1"/>
    <col min="11267" max="11267" width="14.26953125" style="441" customWidth="1"/>
    <col min="11268" max="11268" width="13.81640625" style="441" customWidth="1"/>
    <col min="11269" max="11269" width="11.7265625" style="441" customWidth="1"/>
    <col min="11270" max="11270" width="12" style="441" customWidth="1"/>
    <col min="11271" max="11271" width="9.1796875" style="441"/>
    <col min="11272" max="11272" width="13.81640625" style="441" customWidth="1"/>
    <col min="11273" max="11273" width="13" style="441" customWidth="1"/>
    <col min="11274" max="11274" width="15.1796875" style="441" customWidth="1"/>
    <col min="11275" max="11275" width="14.7265625" style="441" customWidth="1"/>
    <col min="11276" max="11276" width="11.1796875" style="441" bestFit="1" customWidth="1"/>
    <col min="11277" max="11518" width="9.1796875" style="441"/>
    <col min="11519" max="11519" width="14.54296875" style="441" customWidth="1"/>
    <col min="11520" max="11521" width="9.1796875" style="441"/>
    <col min="11522" max="11522" width="14.7265625" style="441" customWidth="1"/>
    <col min="11523" max="11523" width="14.26953125" style="441" customWidth="1"/>
    <col min="11524" max="11524" width="13.81640625" style="441" customWidth="1"/>
    <col min="11525" max="11525" width="11.7265625" style="441" customWidth="1"/>
    <col min="11526" max="11526" width="12" style="441" customWidth="1"/>
    <col min="11527" max="11527" width="9.1796875" style="441"/>
    <col min="11528" max="11528" width="13.81640625" style="441" customWidth="1"/>
    <col min="11529" max="11529" width="13" style="441" customWidth="1"/>
    <col min="11530" max="11530" width="15.1796875" style="441" customWidth="1"/>
    <col min="11531" max="11531" width="14.7265625" style="441" customWidth="1"/>
    <col min="11532" max="11532" width="11.1796875" style="441" bestFit="1" customWidth="1"/>
    <col min="11533" max="11774" width="9.1796875" style="441"/>
    <col min="11775" max="11775" width="14.54296875" style="441" customWidth="1"/>
    <col min="11776" max="11777" width="9.1796875" style="441"/>
    <col min="11778" max="11778" width="14.7265625" style="441" customWidth="1"/>
    <col min="11779" max="11779" width="14.26953125" style="441" customWidth="1"/>
    <col min="11780" max="11780" width="13.81640625" style="441" customWidth="1"/>
    <col min="11781" max="11781" width="11.7265625" style="441" customWidth="1"/>
    <col min="11782" max="11782" width="12" style="441" customWidth="1"/>
    <col min="11783" max="11783" width="9.1796875" style="441"/>
    <col min="11784" max="11784" width="13.81640625" style="441" customWidth="1"/>
    <col min="11785" max="11785" width="13" style="441" customWidth="1"/>
    <col min="11786" max="11786" width="15.1796875" style="441" customWidth="1"/>
    <col min="11787" max="11787" width="14.7265625" style="441" customWidth="1"/>
    <col min="11788" max="11788" width="11.1796875" style="441" bestFit="1" customWidth="1"/>
    <col min="11789" max="12030" width="9.1796875" style="441"/>
    <col min="12031" max="12031" width="14.54296875" style="441" customWidth="1"/>
    <col min="12032" max="12033" width="9.1796875" style="441"/>
    <col min="12034" max="12034" width="14.7265625" style="441" customWidth="1"/>
    <col min="12035" max="12035" width="14.26953125" style="441" customWidth="1"/>
    <col min="12036" max="12036" width="13.81640625" style="441" customWidth="1"/>
    <col min="12037" max="12037" width="11.7265625" style="441" customWidth="1"/>
    <col min="12038" max="12038" width="12" style="441" customWidth="1"/>
    <col min="12039" max="12039" width="9.1796875" style="441"/>
    <col min="12040" max="12040" width="13.81640625" style="441" customWidth="1"/>
    <col min="12041" max="12041" width="13" style="441" customWidth="1"/>
    <col min="12042" max="12042" width="15.1796875" style="441" customWidth="1"/>
    <col min="12043" max="12043" width="14.7265625" style="441" customWidth="1"/>
    <col min="12044" max="12044" width="11.1796875" style="441" bestFit="1" customWidth="1"/>
    <col min="12045" max="12286" width="9.1796875" style="441"/>
    <col min="12287" max="12287" width="14.54296875" style="441" customWidth="1"/>
    <col min="12288" max="12289" width="9.1796875" style="441"/>
    <col min="12290" max="12290" width="14.7265625" style="441" customWidth="1"/>
    <col min="12291" max="12291" width="14.26953125" style="441" customWidth="1"/>
    <col min="12292" max="12292" width="13.81640625" style="441" customWidth="1"/>
    <col min="12293" max="12293" width="11.7265625" style="441" customWidth="1"/>
    <col min="12294" max="12294" width="12" style="441" customWidth="1"/>
    <col min="12295" max="12295" width="9.1796875" style="441"/>
    <col min="12296" max="12296" width="13.81640625" style="441" customWidth="1"/>
    <col min="12297" max="12297" width="13" style="441" customWidth="1"/>
    <col min="12298" max="12298" width="15.1796875" style="441" customWidth="1"/>
    <col min="12299" max="12299" width="14.7265625" style="441" customWidth="1"/>
    <col min="12300" max="12300" width="11.1796875" style="441" bestFit="1" customWidth="1"/>
    <col min="12301" max="12542" width="9.1796875" style="441"/>
    <col min="12543" max="12543" width="14.54296875" style="441" customWidth="1"/>
    <col min="12544" max="12545" width="9.1796875" style="441"/>
    <col min="12546" max="12546" width="14.7265625" style="441" customWidth="1"/>
    <col min="12547" max="12547" width="14.26953125" style="441" customWidth="1"/>
    <col min="12548" max="12548" width="13.81640625" style="441" customWidth="1"/>
    <col min="12549" max="12549" width="11.7265625" style="441" customWidth="1"/>
    <col min="12550" max="12550" width="12" style="441" customWidth="1"/>
    <col min="12551" max="12551" width="9.1796875" style="441"/>
    <col min="12552" max="12552" width="13.81640625" style="441" customWidth="1"/>
    <col min="12553" max="12553" width="13" style="441" customWidth="1"/>
    <col min="12554" max="12554" width="15.1796875" style="441" customWidth="1"/>
    <col min="12555" max="12555" width="14.7265625" style="441" customWidth="1"/>
    <col min="12556" max="12556" width="11.1796875" style="441" bestFit="1" customWidth="1"/>
    <col min="12557" max="12798" width="9.1796875" style="441"/>
    <col min="12799" max="12799" width="14.54296875" style="441" customWidth="1"/>
    <col min="12800" max="12801" width="9.1796875" style="441"/>
    <col min="12802" max="12802" width="14.7265625" style="441" customWidth="1"/>
    <col min="12803" max="12803" width="14.26953125" style="441" customWidth="1"/>
    <col min="12804" max="12804" width="13.81640625" style="441" customWidth="1"/>
    <col min="12805" max="12805" width="11.7265625" style="441" customWidth="1"/>
    <col min="12806" max="12806" width="12" style="441" customWidth="1"/>
    <col min="12807" max="12807" width="9.1796875" style="441"/>
    <col min="12808" max="12808" width="13.81640625" style="441" customWidth="1"/>
    <col min="12809" max="12809" width="13" style="441" customWidth="1"/>
    <col min="12810" max="12810" width="15.1796875" style="441" customWidth="1"/>
    <col min="12811" max="12811" width="14.7265625" style="441" customWidth="1"/>
    <col min="12812" max="12812" width="11.1796875" style="441" bestFit="1" customWidth="1"/>
    <col min="12813" max="13054" width="9.1796875" style="441"/>
    <col min="13055" max="13055" width="14.54296875" style="441" customWidth="1"/>
    <col min="13056" max="13057" width="9.1796875" style="441"/>
    <col min="13058" max="13058" width="14.7265625" style="441" customWidth="1"/>
    <col min="13059" max="13059" width="14.26953125" style="441" customWidth="1"/>
    <col min="13060" max="13060" width="13.81640625" style="441" customWidth="1"/>
    <col min="13061" max="13061" width="11.7265625" style="441" customWidth="1"/>
    <col min="13062" max="13062" width="12" style="441" customWidth="1"/>
    <col min="13063" max="13063" width="9.1796875" style="441"/>
    <col min="13064" max="13064" width="13.81640625" style="441" customWidth="1"/>
    <col min="13065" max="13065" width="13" style="441" customWidth="1"/>
    <col min="13066" max="13066" width="15.1796875" style="441" customWidth="1"/>
    <col min="13067" max="13067" width="14.7265625" style="441" customWidth="1"/>
    <col min="13068" max="13068" width="11.1796875" style="441" bestFit="1" customWidth="1"/>
    <col min="13069" max="13310" width="9.1796875" style="441"/>
    <col min="13311" max="13311" width="14.54296875" style="441" customWidth="1"/>
    <col min="13312" max="13313" width="9.1796875" style="441"/>
    <col min="13314" max="13314" width="14.7265625" style="441" customWidth="1"/>
    <col min="13315" max="13315" width="14.26953125" style="441" customWidth="1"/>
    <col min="13316" max="13316" width="13.81640625" style="441" customWidth="1"/>
    <col min="13317" max="13317" width="11.7265625" style="441" customWidth="1"/>
    <col min="13318" max="13318" width="12" style="441" customWidth="1"/>
    <col min="13319" max="13319" width="9.1796875" style="441"/>
    <col min="13320" max="13320" width="13.81640625" style="441" customWidth="1"/>
    <col min="13321" max="13321" width="13" style="441" customWidth="1"/>
    <col min="13322" max="13322" width="15.1796875" style="441" customWidth="1"/>
    <col min="13323" max="13323" width="14.7265625" style="441" customWidth="1"/>
    <col min="13324" max="13324" width="11.1796875" style="441" bestFit="1" customWidth="1"/>
    <col min="13325" max="13566" width="9.1796875" style="441"/>
    <col min="13567" max="13567" width="14.54296875" style="441" customWidth="1"/>
    <col min="13568" max="13569" width="9.1796875" style="441"/>
    <col min="13570" max="13570" width="14.7265625" style="441" customWidth="1"/>
    <col min="13571" max="13571" width="14.26953125" style="441" customWidth="1"/>
    <col min="13572" max="13572" width="13.81640625" style="441" customWidth="1"/>
    <col min="13573" max="13573" width="11.7265625" style="441" customWidth="1"/>
    <col min="13574" max="13574" width="12" style="441" customWidth="1"/>
    <col min="13575" max="13575" width="9.1796875" style="441"/>
    <col min="13576" max="13576" width="13.81640625" style="441" customWidth="1"/>
    <col min="13577" max="13577" width="13" style="441" customWidth="1"/>
    <col min="13578" max="13578" width="15.1796875" style="441" customWidth="1"/>
    <col min="13579" max="13579" width="14.7265625" style="441" customWidth="1"/>
    <col min="13580" max="13580" width="11.1796875" style="441" bestFit="1" customWidth="1"/>
    <col min="13581" max="13822" width="9.1796875" style="441"/>
    <col min="13823" max="13823" width="14.54296875" style="441" customWidth="1"/>
    <col min="13824" max="13825" width="9.1796875" style="441"/>
    <col min="13826" max="13826" width="14.7265625" style="441" customWidth="1"/>
    <col min="13827" max="13827" width="14.26953125" style="441" customWidth="1"/>
    <col min="13828" max="13828" width="13.81640625" style="441" customWidth="1"/>
    <col min="13829" max="13829" width="11.7265625" style="441" customWidth="1"/>
    <col min="13830" max="13830" width="12" style="441" customWidth="1"/>
    <col min="13831" max="13831" width="9.1796875" style="441"/>
    <col min="13832" max="13832" width="13.81640625" style="441" customWidth="1"/>
    <col min="13833" max="13833" width="13" style="441" customWidth="1"/>
    <col min="13834" max="13834" width="15.1796875" style="441" customWidth="1"/>
    <col min="13835" max="13835" width="14.7265625" style="441" customWidth="1"/>
    <col min="13836" max="13836" width="11.1796875" style="441" bestFit="1" customWidth="1"/>
    <col min="13837" max="14078" width="9.1796875" style="441"/>
    <col min="14079" max="14079" width="14.54296875" style="441" customWidth="1"/>
    <col min="14080" max="14081" width="9.1796875" style="441"/>
    <col min="14082" max="14082" width="14.7265625" style="441" customWidth="1"/>
    <col min="14083" max="14083" width="14.26953125" style="441" customWidth="1"/>
    <col min="14084" max="14084" width="13.81640625" style="441" customWidth="1"/>
    <col min="14085" max="14085" width="11.7265625" style="441" customWidth="1"/>
    <col min="14086" max="14086" width="12" style="441" customWidth="1"/>
    <col min="14087" max="14087" width="9.1796875" style="441"/>
    <col min="14088" max="14088" width="13.81640625" style="441" customWidth="1"/>
    <col min="14089" max="14089" width="13" style="441" customWidth="1"/>
    <col min="14090" max="14090" width="15.1796875" style="441" customWidth="1"/>
    <col min="14091" max="14091" width="14.7265625" style="441" customWidth="1"/>
    <col min="14092" max="14092" width="11.1796875" style="441" bestFit="1" customWidth="1"/>
    <col min="14093" max="14334" width="9.1796875" style="441"/>
    <col min="14335" max="14335" width="14.54296875" style="441" customWidth="1"/>
    <col min="14336" max="14337" width="9.1796875" style="441"/>
    <col min="14338" max="14338" width="14.7265625" style="441" customWidth="1"/>
    <col min="14339" max="14339" width="14.26953125" style="441" customWidth="1"/>
    <col min="14340" max="14340" width="13.81640625" style="441" customWidth="1"/>
    <col min="14341" max="14341" width="11.7265625" style="441" customWidth="1"/>
    <col min="14342" max="14342" width="12" style="441" customWidth="1"/>
    <col min="14343" max="14343" width="9.1796875" style="441"/>
    <col min="14344" max="14344" width="13.81640625" style="441" customWidth="1"/>
    <col min="14345" max="14345" width="13" style="441" customWidth="1"/>
    <col min="14346" max="14346" width="15.1796875" style="441" customWidth="1"/>
    <col min="14347" max="14347" width="14.7265625" style="441" customWidth="1"/>
    <col min="14348" max="14348" width="11.1796875" style="441" bestFit="1" customWidth="1"/>
    <col min="14349" max="14590" width="9.1796875" style="441"/>
    <col min="14591" max="14591" width="14.54296875" style="441" customWidth="1"/>
    <col min="14592" max="14593" width="9.1796875" style="441"/>
    <col min="14594" max="14594" width="14.7265625" style="441" customWidth="1"/>
    <col min="14595" max="14595" width="14.26953125" style="441" customWidth="1"/>
    <col min="14596" max="14596" width="13.81640625" style="441" customWidth="1"/>
    <col min="14597" max="14597" width="11.7265625" style="441" customWidth="1"/>
    <col min="14598" max="14598" width="12" style="441" customWidth="1"/>
    <col min="14599" max="14599" width="9.1796875" style="441"/>
    <col min="14600" max="14600" width="13.81640625" style="441" customWidth="1"/>
    <col min="14601" max="14601" width="13" style="441" customWidth="1"/>
    <col min="14602" max="14602" width="15.1796875" style="441" customWidth="1"/>
    <col min="14603" max="14603" width="14.7265625" style="441" customWidth="1"/>
    <col min="14604" max="14604" width="11.1796875" style="441" bestFit="1" customWidth="1"/>
    <col min="14605" max="14846" width="9.1796875" style="441"/>
    <col min="14847" max="14847" width="14.54296875" style="441" customWidth="1"/>
    <col min="14848" max="14849" width="9.1796875" style="441"/>
    <col min="14850" max="14850" width="14.7265625" style="441" customWidth="1"/>
    <col min="14851" max="14851" width="14.26953125" style="441" customWidth="1"/>
    <col min="14852" max="14852" width="13.81640625" style="441" customWidth="1"/>
    <col min="14853" max="14853" width="11.7265625" style="441" customWidth="1"/>
    <col min="14854" max="14854" width="12" style="441" customWidth="1"/>
    <col min="14855" max="14855" width="9.1796875" style="441"/>
    <col min="14856" max="14856" width="13.81640625" style="441" customWidth="1"/>
    <col min="14857" max="14857" width="13" style="441" customWidth="1"/>
    <col min="14858" max="14858" width="15.1796875" style="441" customWidth="1"/>
    <col min="14859" max="14859" width="14.7265625" style="441" customWidth="1"/>
    <col min="14860" max="14860" width="11.1796875" style="441" bestFit="1" customWidth="1"/>
    <col min="14861" max="15102" width="9.1796875" style="441"/>
    <col min="15103" max="15103" width="14.54296875" style="441" customWidth="1"/>
    <col min="15104" max="15105" width="9.1796875" style="441"/>
    <col min="15106" max="15106" width="14.7265625" style="441" customWidth="1"/>
    <col min="15107" max="15107" width="14.26953125" style="441" customWidth="1"/>
    <col min="15108" max="15108" width="13.81640625" style="441" customWidth="1"/>
    <col min="15109" max="15109" width="11.7265625" style="441" customWidth="1"/>
    <col min="15110" max="15110" width="12" style="441" customWidth="1"/>
    <col min="15111" max="15111" width="9.1796875" style="441"/>
    <col min="15112" max="15112" width="13.81640625" style="441" customWidth="1"/>
    <col min="15113" max="15113" width="13" style="441" customWidth="1"/>
    <col min="15114" max="15114" width="15.1796875" style="441" customWidth="1"/>
    <col min="15115" max="15115" width="14.7265625" style="441" customWidth="1"/>
    <col min="15116" max="15116" width="11.1796875" style="441" bestFit="1" customWidth="1"/>
    <col min="15117" max="15358" width="9.1796875" style="441"/>
    <col min="15359" max="15359" width="14.54296875" style="441" customWidth="1"/>
    <col min="15360" max="15361" width="9.1796875" style="441"/>
    <col min="15362" max="15362" width="14.7265625" style="441" customWidth="1"/>
    <col min="15363" max="15363" width="14.26953125" style="441" customWidth="1"/>
    <col min="15364" max="15364" width="13.81640625" style="441" customWidth="1"/>
    <col min="15365" max="15365" width="11.7265625" style="441" customWidth="1"/>
    <col min="15366" max="15366" width="12" style="441" customWidth="1"/>
    <col min="15367" max="15367" width="9.1796875" style="441"/>
    <col min="15368" max="15368" width="13.81640625" style="441" customWidth="1"/>
    <col min="15369" max="15369" width="13" style="441" customWidth="1"/>
    <col min="15370" max="15370" width="15.1796875" style="441" customWidth="1"/>
    <col min="15371" max="15371" width="14.7265625" style="441" customWidth="1"/>
    <col min="15372" max="15372" width="11.1796875" style="441" bestFit="1" customWidth="1"/>
    <col min="15373" max="15614" width="9.1796875" style="441"/>
    <col min="15615" max="15615" width="14.54296875" style="441" customWidth="1"/>
    <col min="15616" max="15617" width="9.1796875" style="441"/>
    <col min="15618" max="15618" width="14.7265625" style="441" customWidth="1"/>
    <col min="15619" max="15619" width="14.26953125" style="441" customWidth="1"/>
    <col min="15620" max="15620" width="13.81640625" style="441" customWidth="1"/>
    <col min="15621" max="15621" width="11.7265625" style="441" customWidth="1"/>
    <col min="15622" max="15622" width="12" style="441" customWidth="1"/>
    <col min="15623" max="15623" width="9.1796875" style="441"/>
    <col min="15624" max="15624" width="13.81640625" style="441" customWidth="1"/>
    <col min="15625" max="15625" width="13" style="441" customWidth="1"/>
    <col min="15626" max="15626" width="15.1796875" style="441" customWidth="1"/>
    <col min="15627" max="15627" width="14.7265625" style="441" customWidth="1"/>
    <col min="15628" max="15628" width="11.1796875" style="441" bestFit="1" customWidth="1"/>
    <col min="15629" max="15870" width="9.1796875" style="441"/>
    <col min="15871" max="15871" width="14.54296875" style="441" customWidth="1"/>
    <col min="15872" max="15873" width="9.1796875" style="441"/>
    <col min="15874" max="15874" width="14.7265625" style="441" customWidth="1"/>
    <col min="15875" max="15875" width="14.26953125" style="441" customWidth="1"/>
    <col min="15876" max="15876" width="13.81640625" style="441" customWidth="1"/>
    <col min="15877" max="15877" width="11.7265625" style="441" customWidth="1"/>
    <col min="15878" max="15878" width="12" style="441" customWidth="1"/>
    <col min="15879" max="15879" width="9.1796875" style="441"/>
    <col min="15880" max="15880" width="13.81640625" style="441" customWidth="1"/>
    <col min="15881" max="15881" width="13" style="441" customWidth="1"/>
    <col min="15882" max="15882" width="15.1796875" style="441" customWidth="1"/>
    <col min="15883" max="15883" width="14.7265625" style="441" customWidth="1"/>
    <col min="15884" max="15884" width="11.1796875" style="441" bestFit="1" customWidth="1"/>
    <col min="15885" max="16126" width="9.1796875" style="441"/>
    <col min="16127" max="16127" width="14.54296875" style="441" customWidth="1"/>
    <col min="16128" max="16129" width="9.1796875" style="441"/>
    <col min="16130" max="16130" width="14.7265625" style="441" customWidth="1"/>
    <col min="16131" max="16131" width="14.26953125" style="441" customWidth="1"/>
    <col min="16132" max="16132" width="13.81640625" style="441" customWidth="1"/>
    <col min="16133" max="16133" width="11.7265625" style="441" customWidth="1"/>
    <col min="16134" max="16134" width="12" style="441" customWidth="1"/>
    <col min="16135" max="16135" width="9.1796875" style="441"/>
    <col min="16136" max="16136" width="13.81640625" style="441" customWidth="1"/>
    <col min="16137" max="16137" width="13" style="441" customWidth="1"/>
    <col min="16138" max="16138" width="15.1796875" style="441" customWidth="1"/>
    <col min="16139" max="16139" width="14.7265625" style="441" customWidth="1"/>
    <col min="16140" max="16140" width="11.1796875" style="441" bestFit="1" customWidth="1"/>
    <col min="16141" max="16384" width="9.1796875" style="441"/>
  </cols>
  <sheetData>
    <row r="4" spans="2:16" ht="12.5">
      <c r="B4" s="1068" t="s">
        <v>555</v>
      </c>
      <c r="C4" s="1068"/>
      <c r="D4" s="1068"/>
      <c r="E4" s="1068"/>
      <c r="F4" s="1068"/>
      <c r="G4" s="1068"/>
      <c r="H4" s="1068"/>
      <c r="I4" s="440" t="s">
        <v>556</v>
      </c>
      <c r="J4" s="1068" t="s">
        <v>557</v>
      </c>
      <c r="K4" s="1068"/>
      <c r="L4" s="1068"/>
      <c r="M4" s="440" t="s">
        <v>558</v>
      </c>
    </row>
    <row r="5" spans="2:16" ht="13">
      <c r="B5" s="442"/>
      <c r="C5" s="443" t="s">
        <v>559</v>
      </c>
      <c r="D5" s="444" t="s">
        <v>560</v>
      </c>
      <c r="E5" s="443" t="s">
        <v>561</v>
      </c>
      <c r="F5" s="444" t="s">
        <v>562</v>
      </c>
      <c r="G5" s="444" t="s">
        <v>563</v>
      </c>
      <c r="H5" s="444" t="s">
        <v>564</v>
      </c>
      <c r="I5" s="934"/>
      <c r="J5" s="446" t="s">
        <v>565</v>
      </c>
      <c r="K5" s="444" t="s">
        <v>566</v>
      </c>
      <c r="L5" s="444" t="s">
        <v>567</v>
      </c>
      <c r="M5" s="934"/>
      <c r="N5" s="935" t="s">
        <v>568</v>
      </c>
      <c r="O5" s="935" t="s">
        <v>569</v>
      </c>
      <c r="P5" s="936" t="s">
        <v>570</v>
      </c>
    </row>
    <row r="6" spans="2:16" ht="13.5" thickBot="1">
      <c r="B6" s="449" t="s">
        <v>571</v>
      </c>
      <c r="C6" s="450"/>
      <c r="D6" s="450"/>
      <c r="E6" s="451"/>
      <c r="F6" s="450"/>
      <c r="G6" s="450"/>
      <c r="H6" s="450"/>
      <c r="I6" s="450"/>
      <c r="J6" s="450"/>
      <c r="K6" s="450"/>
      <c r="L6" s="450"/>
      <c r="M6" s="452"/>
      <c r="N6" s="937" t="s">
        <v>572</v>
      </c>
      <c r="O6" s="937" t="s">
        <v>573</v>
      </c>
      <c r="P6" s="454" t="s">
        <v>574</v>
      </c>
    </row>
    <row r="7" spans="2:16">
      <c r="B7" s="455" t="s">
        <v>575</v>
      </c>
      <c r="C7" s="456">
        <v>44203</v>
      </c>
      <c r="D7" s="457">
        <v>3240</v>
      </c>
      <c r="E7" s="458" t="s">
        <v>576</v>
      </c>
      <c r="F7" s="459">
        <f>G7+H7</f>
        <v>485715000</v>
      </c>
      <c r="G7" s="459">
        <v>485715000</v>
      </c>
      <c r="H7" s="459">
        <v>0</v>
      </c>
      <c r="I7" s="459">
        <f t="shared" ref="I7:I29" si="0">+G7+H7</f>
        <v>485715000</v>
      </c>
      <c r="J7" s="460"/>
      <c r="K7" s="459"/>
      <c r="L7" s="459"/>
      <c r="M7" s="459"/>
      <c r="N7" s="461"/>
      <c r="O7" s="462"/>
      <c r="P7" s="462"/>
    </row>
    <row r="8" spans="2:16">
      <c r="B8" s="455" t="s">
        <v>577</v>
      </c>
      <c r="C8" s="456">
        <v>44203</v>
      </c>
      <c r="D8" s="457">
        <v>3240</v>
      </c>
      <c r="E8" s="458" t="s">
        <v>576</v>
      </c>
      <c r="F8" s="459">
        <f t="shared" ref="F8:F29" si="1">G8+H8</f>
        <v>214285000</v>
      </c>
      <c r="G8" s="459">
        <v>214285000</v>
      </c>
      <c r="H8" s="459">
        <v>0</v>
      </c>
      <c r="I8" s="459">
        <f t="shared" si="0"/>
        <v>214285000</v>
      </c>
      <c r="J8" s="460"/>
      <c r="K8" s="459"/>
      <c r="L8" s="459"/>
      <c r="M8" s="459"/>
      <c r="N8" s="461"/>
      <c r="O8" s="462"/>
      <c r="P8" s="462"/>
    </row>
    <row r="9" spans="2:16">
      <c r="B9" s="455" t="s">
        <v>578</v>
      </c>
      <c r="C9" s="456">
        <v>44208</v>
      </c>
      <c r="D9" s="457">
        <v>180</v>
      </c>
      <c r="E9" s="458" t="s">
        <v>579</v>
      </c>
      <c r="F9" s="459">
        <f t="shared" si="1"/>
        <v>50005000</v>
      </c>
      <c r="G9" s="459">
        <v>49756218.905472644</v>
      </c>
      <c r="H9" s="459">
        <v>248781.09452735633</v>
      </c>
      <c r="I9" s="459">
        <f t="shared" si="0"/>
        <v>50005000</v>
      </c>
      <c r="J9" s="460"/>
      <c r="K9" s="459"/>
      <c r="L9" s="459"/>
      <c r="M9" s="459"/>
      <c r="N9" s="461"/>
      <c r="O9" s="462"/>
      <c r="P9" s="462"/>
    </row>
    <row r="10" spans="2:16">
      <c r="B10" s="455" t="s">
        <v>580</v>
      </c>
      <c r="C10" s="456">
        <v>44208</v>
      </c>
      <c r="D10" s="457">
        <v>180</v>
      </c>
      <c r="E10" s="458" t="s">
        <v>579</v>
      </c>
      <c r="F10" s="459">
        <f t="shared" si="1"/>
        <v>49999000</v>
      </c>
      <c r="G10" s="459">
        <v>49750248.75621891</v>
      </c>
      <c r="H10" s="459">
        <v>248751.24378108978</v>
      </c>
      <c r="I10" s="459">
        <f t="shared" si="0"/>
        <v>49999000</v>
      </c>
      <c r="J10" s="460"/>
      <c r="K10" s="459"/>
      <c r="L10" s="459"/>
      <c r="M10" s="459"/>
      <c r="N10" s="461"/>
      <c r="O10" s="462"/>
      <c r="P10" s="462"/>
    </row>
    <row r="11" spans="2:16">
      <c r="B11" s="455" t="s">
        <v>581</v>
      </c>
      <c r="C11" s="456">
        <v>44208</v>
      </c>
      <c r="D11" s="457">
        <v>180</v>
      </c>
      <c r="E11" s="458" t="s">
        <v>579</v>
      </c>
      <c r="F11" s="459">
        <f t="shared" si="1"/>
        <v>49999000</v>
      </c>
      <c r="G11" s="459">
        <v>49750248.75621891</v>
      </c>
      <c r="H11" s="459">
        <v>248751.24378108978</v>
      </c>
      <c r="I11" s="459">
        <f t="shared" si="0"/>
        <v>49999000</v>
      </c>
      <c r="J11" s="460"/>
      <c r="K11" s="459"/>
      <c r="L11" s="459"/>
      <c r="M11" s="459"/>
      <c r="N11" s="461"/>
      <c r="O11" s="462"/>
      <c r="P11" s="462"/>
    </row>
    <row r="12" spans="2:16">
      <c r="B12" s="455" t="s">
        <v>577</v>
      </c>
      <c r="C12" s="456">
        <v>44208</v>
      </c>
      <c r="D12" s="457">
        <v>180</v>
      </c>
      <c r="E12" s="458" t="s">
        <v>579</v>
      </c>
      <c r="F12" s="459">
        <f t="shared" si="1"/>
        <v>49999000</v>
      </c>
      <c r="G12" s="459">
        <v>49750248.75621891</v>
      </c>
      <c r="H12" s="459">
        <v>248751.24378108978</v>
      </c>
      <c r="I12" s="459">
        <f t="shared" si="0"/>
        <v>49999000</v>
      </c>
      <c r="J12" s="460"/>
      <c r="K12" s="459"/>
      <c r="L12" s="459"/>
      <c r="M12" s="459"/>
      <c r="N12" s="461"/>
      <c r="O12" s="462"/>
      <c r="P12" s="462"/>
    </row>
    <row r="13" spans="2:16">
      <c r="B13" s="455" t="s">
        <v>575</v>
      </c>
      <c r="C13" s="456">
        <v>44208</v>
      </c>
      <c r="D13" s="457">
        <v>180</v>
      </c>
      <c r="E13" s="458" t="s">
        <v>579</v>
      </c>
      <c r="F13" s="459">
        <f t="shared" si="1"/>
        <v>49999000</v>
      </c>
      <c r="G13" s="459">
        <v>49750248.75621891</v>
      </c>
      <c r="H13" s="459">
        <v>248751.24378108978</v>
      </c>
      <c r="I13" s="459">
        <f t="shared" si="0"/>
        <v>49999000</v>
      </c>
      <c r="J13" s="460"/>
      <c r="K13" s="459"/>
      <c r="L13" s="459"/>
      <c r="M13" s="459"/>
      <c r="N13" s="461"/>
      <c r="O13" s="462"/>
      <c r="P13" s="462"/>
    </row>
    <row r="14" spans="2:16">
      <c r="B14" s="455" t="s">
        <v>575</v>
      </c>
      <c r="C14" s="456">
        <v>44211</v>
      </c>
      <c r="D14" s="457">
        <v>720</v>
      </c>
      <c r="E14" s="458" t="s">
        <v>576</v>
      </c>
      <c r="F14" s="459">
        <f t="shared" si="1"/>
        <v>201216000</v>
      </c>
      <c r="G14" s="459">
        <v>201216000</v>
      </c>
      <c r="H14" s="459">
        <v>0</v>
      </c>
      <c r="I14" s="459">
        <f t="shared" si="0"/>
        <v>201216000</v>
      </c>
      <c r="J14" s="460"/>
      <c r="K14" s="459"/>
      <c r="L14" s="459"/>
      <c r="M14" s="459"/>
      <c r="N14" s="461"/>
      <c r="O14" s="462"/>
      <c r="P14" s="462"/>
    </row>
    <row r="15" spans="2:16">
      <c r="B15" s="455" t="s">
        <v>578</v>
      </c>
      <c r="C15" s="456">
        <v>44211</v>
      </c>
      <c r="D15" s="457">
        <v>720</v>
      </c>
      <c r="E15" s="458" t="s">
        <v>576</v>
      </c>
      <c r="F15" s="459">
        <f t="shared" si="1"/>
        <v>43068000</v>
      </c>
      <c r="G15" s="459">
        <v>43068000</v>
      </c>
      <c r="H15" s="459">
        <v>0</v>
      </c>
      <c r="I15" s="459">
        <f t="shared" si="0"/>
        <v>43068000</v>
      </c>
      <c r="J15" s="460"/>
      <c r="K15" s="459"/>
      <c r="L15" s="459"/>
      <c r="M15" s="459"/>
      <c r="N15" s="461"/>
      <c r="O15" s="462"/>
      <c r="P15" s="462"/>
    </row>
    <row r="16" spans="2:16">
      <c r="B16" s="455" t="s">
        <v>577</v>
      </c>
      <c r="C16" s="456">
        <v>44211</v>
      </c>
      <c r="D16" s="457">
        <v>720</v>
      </c>
      <c r="E16" s="458" t="s">
        <v>576</v>
      </c>
      <c r="F16" s="459">
        <f t="shared" si="1"/>
        <v>39576000</v>
      </c>
      <c r="G16" s="459">
        <v>39576000</v>
      </c>
      <c r="H16" s="459">
        <v>0</v>
      </c>
      <c r="I16" s="459">
        <f t="shared" si="0"/>
        <v>39576000</v>
      </c>
      <c r="J16" s="460"/>
      <c r="K16" s="459"/>
      <c r="L16" s="459"/>
      <c r="M16" s="459"/>
      <c r="N16" s="461"/>
      <c r="O16" s="462"/>
      <c r="P16" s="462"/>
    </row>
    <row r="17" spans="2:16">
      <c r="B17" s="455" t="s">
        <v>582</v>
      </c>
      <c r="C17" s="456">
        <v>44211</v>
      </c>
      <c r="D17" s="457">
        <v>720</v>
      </c>
      <c r="E17" s="458" t="s">
        <v>576</v>
      </c>
      <c r="F17" s="459">
        <f t="shared" si="1"/>
        <v>30000000</v>
      </c>
      <c r="G17" s="459">
        <v>30000000</v>
      </c>
      <c r="H17" s="459">
        <v>0</v>
      </c>
      <c r="I17" s="459">
        <f t="shared" si="0"/>
        <v>30000000</v>
      </c>
      <c r="J17" s="460"/>
      <c r="K17" s="459"/>
      <c r="L17" s="459"/>
      <c r="M17" s="459"/>
      <c r="N17" s="461"/>
      <c r="O17" s="462"/>
      <c r="P17" s="462"/>
    </row>
    <row r="18" spans="2:16">
      <c r="B18" s="455" t="s">
        <v>582</v>
      </c>
      <c r="C18" s="456">
        <v>44211</v>
      </c>
      <c r="D18" s="457">
        <v>720</v>
      </c>
      <c r="E18" s="458" t="s">
        <v>576</v>
      </c>
      <c r="F18" s="459">
        <f t="shared" si="1"/>
        <v>5000000</v>
      </c>
      <c r="G18" s="459">
        <v>5000000</v>
      </c>
      <c r="H18" s="459">
        <v>0</v>
      </c>
      <c r="I18" s="459">
        <f t="shared" si="0"/>
        <v>5000000</v>
      </c>
      <c r="J18" s="460"/>
      <c r="K18" s="459"/>
      <c r="L18" s="459"/>
      <c r="M18" s="459"/>
      <c r="N18" s="461"/>
      <c r="O18" s="462"/>
      <c r="P18" s="462"/>
    </row>
    <row r="19" spans="2:16">
      <c r="B19" s="455" t="s">
        <v>583</v>
      </c>
      <c r="C19" s="456">
        <v>44211</v>
      </c>
      <c r="D19" s="457">
        <v>720</v>
      </c>
      <c r="E19" s="458" t="s">
        <v>576</v>
      </c>
      <c r="F19" s="459">
        <f t="shared" si="1"/>
        <v>15000000</v>
      </c>
      <c r="G19" s="459">
        <v>15000000</v>
      </c>
      <c r="H19" s="459">
        <v>0</v>
      </c>
      <c r="I19" s="459">
        <f t="shared" si="0"/>
        <v>15000000</v>
      </c>
      <c r="J19" s="460"/>
      <c r="K19" s="459"/>
      <c r="L19" s="459"/>
      <c r="M19" s="459"/>
      <c r="N19" s="461"/>
      <c r="O19" s="462"/>
      <c r="P19" s="462"/>
    </row>
    <row r="20" spans="2:16">
      <c r="B20" s="455" t="s">
        <v>580</v>
      </c>
      <c r="C20" s="456">
        <v>44215</v>
      </c>
      <c r="D20" s="457">
        <v>270</v>
      </c>
      <c r="E20" s="458" t="s">
        <v>579</v>
      </c>
      <c r="F20" s="459">
        <f t="shared" si="1"/>
        <v>72729000</v>
      </c>
      <c r="G20" s="459">
        <v>72187593.052109182</v>
      </c>
      <c r="H20" s="459">
        <v>541406.94789081812</v>
      </c>
      <c r="I20" s="459">
        <f t="shared" si="0"/>
        <v>72729000</v>
      </c>
      <c r="J20" s="460"/>
      <c r="K20" s="459"/>
      <c r="L20" s="459"/>
      <c r="M20" s="459"/>
      <c r="N20" s="461"/>
      <c r="O20" s="462"/>
      <c r="P20" s="462"/>
    </row>
    <row r="21" spans="2:16">
      <c r="B21" s="455" t="s">
        <v>577</v>
      </c>
      <c r="C21" s="456">
        <v>44215</v>
      </c>
      <c r="D21" s="457">
        <v>270</v>
      </c>
      <c r="E21" s="458" t="s">
        <v>579</v>
      </c>
      <c r="F21" s="459">
        <f t="shared" si="1"/>
        <v>72727000</v>
      </c>
      <c r="G21" s="459">
        <v>72185607.940446645</v>
      </c>
      <c r="H21" s="459">
        <v>541392.05955335498</v>
      </c>
      <c r="I21" s="459">
        <f t="shared" si="0"/>
        <v>72727000</v>
      </c>
      <c r="J21" s="460"/>
      <c r="K21" s="459"/>
      <c r="L21" s="459"/>
      <c r="M21" s="459"/>
      <c r="N21" s="461"/>
      <c r="O21" s="462"/>
      <c r="P21" s="462"/>
    </row>
    <row r="22" spans="2:16">
      <c r="B22" s="455" t="s">
        <v>575</v>
      </c>
      <c r="C22" s="456">
        <v>44215</v>
      </c>
      <c r="D22" s="457">
        <v>270</v>
      </c>
      <c r="E22" s="458" t="s">
        <v>579</v>
      </c>
      <c r="F22" s="459">
        <f t="shared" si="1"/>
        <v>72727000</v>
      </c>
      <c r="G22" s="459">
        <v>72185607.940446645</v>
      </c>
      <c r="H22" s="459">
        <v>541392.05955335498</v>
      </c>
      <c r="I22" s="459">
        <f t="shared" si="0"/>
        <v>72727000</v>
      </c>
      <c r="J22" s="460"/>
      <c r="K22" s="459"/>
      <c r="L22" s="459"/>
      <c r="M22" s="459"/>
      <c r="N22" s="461"/>
      <c r="O22" s="462"/>
      <c r="P22" s="462"/>
    </row>
    <row r="23" spans="2:16">
      <c r="B23" s="455" t="s">
        <v>581</v>
      </c>
      <c r="C23" s="456">
        <v>44215</v>
      </c>
      <c r="D23" s="457">
        <v>270</v>
      </c>
      <c r="E23" s="458" t="s">
        <v>579</v>
      </c>
      <c r="F23" s="459">
        <f t="shared" si="1"/>
        <v>36363000</v>
      </c>
      <c r="G23" s="459">
        <v>36092307.692307688</v>
      </c>
      <c r="H23" s="459">
        <v>270692.3076923117</v>
      </c>
      <c r="I23" s="459">
        <f t="shared" si="0"/>
        <v>36363000</v>
      </c>
      <c r="J23" s="460"/>
      <c r="K23" s="459"/>
      <c r="L23" s="459"/>
      <c r="M23" s="459"/>
      <c r="N23" s="461"/>
      <c r="O23" s="462"/>
      <c r="P23" s="462"/>
    </row>
    <row r="24" spans="2:16">
      <c r="B24" s="455" t="s">
        <v>578</v>
      </c>
      <c r="C24" s="456">
        <v>44215</v>
      </c>
      <c r="D24" s="457">
        <v>270</v>
      </c>
      <c r="E24" s="458" t="s">
        <v>579</v>
      </c>
      <c r="F24" s="459">
        <f t="shared" si="1"/>
        <v>72727000</v>
      </c>
      <c r="G24" s="459">
        <v>72185607.940446645</v>
      </c>
      <c r="H24" s="459">
        <v>541392.05955335498</v>
      </c>
      <c r="I24" s="459">
        <f t="shared" si="0"/>
        <v>72727000</v>
      </c>
      <c r="J24" s="460"/>
      <c r="K24" s="459"/>
      <c r="L24" s="459"/>
      <c r="M24" s="459"/>
      <c r="N24" s="461"/>
      <c r="O24" s="462"/>
      <c r="P24" s="462"/>
    </row>
    <row r="25" spans="2:16">
      <c r="B25" s="455" t="s">
        <v>578</v>
      </c>
      <c r="C25" s="456">
        <v>44218</v>
      </c>
      <c r="D25" s="457">
        <v>1800</v>
      </c>
      <c r="E25" s="458" t="s">
        <v>576</v>
      </c>
      <c r="F25" s="459">
        <f t="shared" si="1"/>
        <v>271264000</v>
      </c>
      <c r="G25" s="459">
        <v>271264000</v>
      </c>
      <c r="H25" s="459">
        <v>0</v>
      </c>
      <c r="I25" s="459">
        <f t="shared" si="0"/>
        <v>271264000</v>
      </c>
      <c r="J25" s="460"/>
      <c r="K25" s="459"/>
      <c r="L25" s="459"/>
      <c r="M25" s="459"/>
      <c r="N25" s="461"/>
      <c r="O25" s="462"/>
      <c r="P25" s="462"/>
    </row>
    <row r="26" spans="2:16">
      <c r="B26" s="455" t="s">
        <v>581</v>
      </c>
      <c r="C26" s="456">
        <v>44218</v>
      </c>
      <c r="D26" s="457">
        <v>1800</v>
      </c>
      <c r="E26" s="458" t="s">
        <v>576</v>
      </c>
      <c r="F26" s="459">
        <f t="shared" si="1"/>
        <v>42103000</v>
      </c>
      <c r="G26" s="459">
        <v>42103000</v>
      </c>
      <c r="H26" s="459">
        <v>0</v>
      </c>
      <c r="I26" s="459">
        <f t="shared" si="0"/>
        <v>42103000</v>
      </c>
      <c r="J26" s="460"/>
      <c r="K26" s="459"/>
      <c r="L26" s="459"/>
      <c r="M26" s="459"/>
      <c r="N26" s="461"/>
      <c r="O26" s="462"/>
      <c r="P26" s="462"/>
    </row>
    <row r="27" spans="2:16">
      <c r="B27" s="455" t="s">
        <v>580</v>
      </c>
      <c r="C27" s="456">
        <v>44218</v>
      </c>
      <c r="D27" s="457">
        <v>1800</v>
      </c>
      <c r="E27" s="458" t="s">
        <v>576</v>
      </c>
      <c r="F27" s="459">
        <f t="shared" si="1"/>
        <v>84633000</v>
      </c>
      <c r="G27" s="459">
        <v>84633000</v>
      </c>
      <c r="H27" s="459">
        <v>0</v>
      </c>
      <c r="I27" s="459">
        <f t="shared" si="0"/>
        <v>84633000</v>
      </c>
      <c r="J27" s="460"/>
      <c r="K27" s="459"/>
      <c r="L27" s="459"/>
      <c r="M27" s="459"/>
      <c r="N27" s="461"/>
      <c r="O27" s="462"/>
      <c r="P27" s="462"/>
    </row>
    <row r="28" spans="2:16">
      <c r="B28" s="455" t="s">
        <v>583</v>
      </c>
      <c r="C28" s="456">
        <v>44218</v>
      </c>
      <c r="D28" s="457">
        <v>1800</v>
      </c>
      <c r="E28" s="458" t="s">
        <v>576</v>
      </c>
      <c r="F28" s="459">
        <f t="shared" si="1"/>
        <v>10000000</v>
      </c>
      <c r="G28" s="459">
        <v>10000000</v>
      </c>
      <c r="H28" s="459">
        <v>0</v>
      </c>
      <c r="I28" s="459">
        <f t="shared" si="0"/>
        <v>10000000</v>
      </c>
      <c r="J28" s="460"/>
      <c r="K28" s="459"/>
      <c r="L28" s="459"/>
      <c r="M28" s="459"/>
      <c r="N28" s="461"/>
      <c r="O28" s="462"/>
      <c r="P28" s="462"/>
    </row>
    <row r="29" spans="2:16">
      <c r="B29" s="455" t="s">
        <v>582</v>
      </c>
      <c r="C29" s="456">
        <v>44218</v>
      </c>
      <c r="D29" s="457">
        <v>1800</v>
      </c>
      <c r="E29" s="458" t="s">
        <v>576</v>
      </c>
      <c r="F29" s="459">
        <f t="shared" si="1"/>
        <v>30000000</v>
      </c>
      <c r="G29" s="459">
        <v>30000000</v>
      </c>
      <c r="H29" s="459">
        <v>0</v>
      </c>
      <c r="I29" s="459">
        <f t="shared" si="0"/>
        <v>30000000</v>
      </c>
      <c r="J29" s="460"/>
      <c r="K29" s="459"/>
      <c r="L29" s="459"/>
      <c r="M29" s="459"/>
      <c r="N29" s="461"/>
      <c r="O29" s="462"/>
      <c r="P29" s="462"/>
    </row>
    <row r="30" spans="2:16">
      <c r="B30" s="455" t="s">
        <v>575</v>
      </c>
      <c r="C30" s="463"/>
      <c r="D30" s="464"/>
      <c r="E30" s="458" t="s">
        <v>576</v>
      </c>
      <c r="F30" s="459"/>
      <c r="G30" s="465"/>
      <c r="H30" s="465"/>
      <c r="I30" s="465"/>
      <c r="J30" s="456">
        <v>44200</v>
      </c>
      <c r="K30" s="459">
        <v>0</v>
      </c>
      <c r="L30" s="459">
        <v>4668958</v>
      </c>
      <c r="M30" s="459">
        <f t="shared" ref="M30:M81" si="2">+K30+L30</f>
        <v>4668958</v>
      </c>
      <c r="N30" s="461"/>
      <c r="O30" s="462"/>
      <c r="P30" s="462"/>
    </row>
    <row r="31" spans="2:16">
      <c r="B31" s="455" t="s">
        <v>584</v>
      </c>
      <c r="C31" s="463"/>
      <c r="D31" s="464"/>
      <c r="E31" s="458" t="s">
        <v>576</v>
      </c>
      <c r="F31" s="459"/>
      <c r="G31" s="465"/>
      <c r="H31" s="465"/>
      <c r="I31" s="465"/>
      <c r="J31" s="456">
        <v>44200</v>
      </c>
      <c r="K31" s="459">
        <v>0</v>
      </c>
      <c r="L31" s="459">
        <v>36724</v>
      </c>
      <c r="M31" s="459">
        <f t="shared" si="2"/>
        <v>36724</v>
      </c>
      <c r="N31" s="461"/>
      <c r="O31" s="462"/>
      <c r="P31" s="462"/>
    </row>
    <row r="32" spans="2:16">
      <c r="B32" s="455" t="s">
        <v>580</v>
      </c>
      <c r="C32" s="463"/>
      <c r="D32" s="464"/>
      <c r="E32" s="458" t="s">
        <v>576</v>
      </c>
      <c r="F32" s="459"/>
      <c r="G32" s="465"/>
      <c r="H32" s="465"/>
      <c r="I32" s="465"/>
      <c r="J32" s="456">
        <v>44200</v>
      </c>
      <c r="K32" s="459">
        <v>0</v>
      </c>
      <c r="L32" s="459">
        <v>3632824</v>
      </c>
      <c r="M32" s="459">
        <f t="shared" si="2"/>
        <v>3632824</v>
      </c>
      <c r="N32" s="461"/>
      <c r="O32" s="462"/>
      <c r="P32" s="462"/>
    </row>
    <row r="33" spans="2:16">
      <c r="B33" s="455" t="s">
        <v>577</v>
      </c>
      <c r="C33" s="463"/>
      <c r="D33" s="464"/>
      <c r="E33" s="458" t="s">
        <v>576</v>
      </c>
      <c r="F33" s="459"/>
      <c r="G33" s="465"/>
      <c r="H33" s="465"/>
      <c r="I33" s="465"/>
      <c r="J33" s="456">
        <v>44200</v>
      </c>
      <c r="K33" s="459">
        <v>0</v>
      </c>
      <c r="L33" s="459">
        <v>21887800</v>
      </c>
      <c r="M33" s="459">
        <f t="shared" si="2"/>
        <v>21887800</v>
      </c>
      <c r="N33" s="461"/>
      <c r="O33" s="462"/>
      <c r="P33" s="462"/>
    </row>
    <row r="34" spans="2:16">
      <c r="B34" s="455" t="s">
        <v>580</v>
      </c>
      <c r="C34" s="463"/>
      <c r="D34" s="464"/>
      <c r="E34" s="458" t="s">
        <v>576</v>
      </c>
      <c r="F34" s="459"/>
      <c r="G34" s="465"/>
      <c r="H34" s="465"/>
      <c r="I34" s="465"/>
      <c r="J34" s="456">
        <v>44204</v>
      </c>
      <c r="K34" s="459">
        <v>0</v>
      </c>
      <c r="L34" s="459">
        <v>6762525</v>
      </c>
      <c r="M34" s="459">
        <f t="shared" si="2"/>
        <v>6762525</v>
      </c>
      <c r="N34" s="461"/>
      <c r="O34" s="462"/>
      <c r="P34" s="462"/>
    </row>
    <row r="35" spans="2:16">
      <c r="B35" s="455" t="s">
        <v>575</v>
      </c>
      <c r="C35" s="463"/>
      <c r="D35" s="464"/>
      <c r="E35" s="458" t="s">
        <v>576</v>
      </c>
      <c r="F35" s="459"/>
      <c r="G35" s="465"/>
      <c r="H35" s="465"/>
      <c r="I35" s="465"/>
      <c r="J35" s="456">
        <v>44204</v>
      </c>
      <c r="K35" s="459">
        <v>0</v>
      </c>
      <c r="L35" s="459">
        <v>5624975</v>
      </c>
      <c r="M35" s="459">
        <f t="shared" si="2"/>
        <v>5624975</v>
      </c>
      <c r="N35" s="461"/>
      <c r="O35" s="462"/>
      <c r="P35" s="462"/>
    </row>
    <row r="36" spans="2:16">
      <c r="B36" s="455" t="s">
        <v>575</v>
      </c>
      <c r="C36" s="463"/>
      <c r="D36" s="464"/>
      <c r="E36" s="458" t="s">
        <v>576</v>
      </c>
      <c r="F36" s="459"/>
      <c r="G36" s="465"/>
      <c r="H36" s="465"/>
      <c r="I36" s="465"/>
      <c r="J36" s="456">
        <v>44204</v>
      </c>
      <c r="K36" s="466">
        <v>224999000</v>
      </c>
      <c r="L36" s="466">
        <v>0</v>
      </c>
      <c r="M36" s="466">
        <f t="shared" si="2"/>
        <v>224999000</v>
      </c>
      <c r="N36" s="461"/>
      <c r="O36" s="462"/>
      <c r="P36" s="462"/>
    </row>
    <row r="37" spans="2:16">
      <c r="B37" s="455" t="s">
        <v>580</v>
      </c>
      <c r="C37" s="463"/>
      <c r="D37" s="464"/>
      <c r="E37" s="458" t="s">
        <v>576</v>
      </c>
      <c r="F37" s="459"/>
      <c r="G37" s="465"/>
      <c r="H37" s="465"/>
      <c r="I37" s="465"/>
      <c r="J37" s="456">
        <v>44204</v>
      </c>
      <c r="K37" s="466">
        <v>270501000</v>
      </c>
      <c r="L37" s="466">
        <v>0</v>
      </c>
      <c r="M37" s="466">
        <f t="shared" si="2"/>
        <v>270501000</v>
      </c>
      <c r="N37" s="461"/>
      <c r="O37" s="462"/>
      <c r="P37" s="462"/>
    </row>
    <row r="38" spans="2:16">
      <c r="B38" s="455" t="s">
        <v>577</v>
      </c>
      <c r="C38" s="463"/>
      <c r="D38" s="464"/>
      <c r="E38" s="458" t="s">
        <v>576</v>
      </c>
      <c r="F38" s="459"/>
      <c r="G38" s="465"/>
      <c r="H38" s="465"/>
      <c r="I38" s="465"/>
      <c r="J38" s="456">
        <v>44207</v>
      </c>
      <c r="K38" s="459">
        <v>0</v>
      </c>
      <c r="L38" s="459">
        <v>8932500</v>
      </c>
      <c r="M38" s="459">
        <f t="shared" si="2"/>
        <v>8932500</v>
      </c>
      <c r="N38" s="461"/>
      <c r="O38" s="462"/>
      <c r="P38" s="462"/>
    </row>
    <row r="39" spans="2:16">
      <c r="B39" s="455" t="s">
        <v>575</v>
      </c>
      <c r="C39" s="463"/>
      <c r="D39" s="464"/>
      <c r="E39" s="458" t="s">
        <v>576</v>
      </c>
      <c r="F39" s="459"/>
      <c r="G39" s="465"/>
      <c r="H39" s="465"/>
      <c r="I39" s="465"/>
      <c r="J39" s="456">
        <v>44207</v>
      </c>
      <c r="K39" s="459">
        <v>0</v>
      </c>
      <c r="L39" s="459">
        <v>10625000</v>
      </c>
      <c r="M39" s="459">
        <f t="shared" si="2"/>
        <v>10625000</v>
      </c>
      <c r="N39" s="461"/>
      <c r="O39" s="462"/>
      <c r="P39" s="462"/>
    </row>
    <row r="40" spans="2:16">
      <c r="B40" s="455" t="s">
        <v>575</v>
      </c>
      <c r="C40" s="463"/>
      <c r="D40" s="464"/>
      <c r="E40" s="458" t="s">
        <v>576</v>
      </c>
      <c r="F40" s="459"/>
      <c r="G40" s="465"/>
      <c r="H40" s="465"/>
      <c r="I40" s="465"/>
      <c r="J40" s="456">
        <v>44208</v>
      </c>
      <c r="K40" s="459">
        <v>0</v>
      </c>
      <c r="L40" s="459">
        <v>9010938</v>
      </c>
      <c r="M40" s="459">
        <f t="shared" si="2"/>
        <v>9010938</v>
      </c>
      <c r="N40" s="461"/>
      <c r="O40" s="462"/>
      <c r="P40" s="462"/>
    </row>
    <row r="41" spans="2:16">
      <c r="B41" s="455" t="s">
        <v>582</v>
      </c>
      <c r="C41" s="463"/>
      <c r="D41" s="464"/>
      <c r="E41" s="458" t="s">
        <v>576</v>
      </c>
      <c r="F41" s="459"/>
      <c r="G41" s="465"/>
      <c r="H41" s="465"/>
      <c r="I41" s="465"/>
      <c r="J41" s="456">
        <v>44208</v>
      </c>
      <c r="K41" s="459">
        <v>0</v>
      </c>
      <c r="L41" s="459">
        <v>33281</v>
      </c>
      <c r="M41" s="459">
        <f t="shared" si="2"/>
        <v>33281</v>
      </c>
      <c r="N41" s="461"/>
      <c r="O41" s="462"/>
      <c r="P41" s="462"/>
    </row>
    <row r="42" spans="2:16">
      <c r="B42" s="455" t="s">
        <v>575</v>
      </c>
      <c r="C42" s="463"/>
      <c r="D42" s="464"/>
      <c r="E42" s="458" t="s">
        <v>576</v>
      </c>
      <c r="F42" s="459"/>
      <c r="G42" s="465"/>
      <c r="H42" s="465"/>
      <c r="I42" s="465"/>
      <c r="J42" s="456">
        <v>44208</v>
      </c>
      <c r="K42" s="459">
        <v>0</v>
      </c>
      <c r="L42" s="459">
        <v>6343768</v>
      </c>
      <c r="M42" s="459">
        <f t="shared" si="2"/>
        <v>6343768</v>
      </c>
      <c r="N42" s="461"/>
      <c r="O42" s="462"/>
      <c r="P42" s="462"/>
    </row>
    <row r="43" spans="2:16">
      <c r="B43" s="455" t="s">
        <v>575</v>
      </c>
      <c r="C43" s="463"/>
      <c r="D43" s="464"/>
      <c r="E43" s="458" t="s">
        <v>576</v>
      </c>
      <c r="F43" s="459"/>
      <c r="G43" s="465"/>
      <c r="H43" s="465"/>
      <c r="I43" s="465"/>
      <c r="J43" s="456">
        <v>44208</v>
      </c>
      <c r="K43" s="459">
        <v>0</v>
      </c>
      <c r="L43" s="459">
        <v>1893860</v>
      </c>
      <c r="M43" s="459">
        <f t="shared" si="2"/>
        <v>1893860</v>
      </c>
      <c r="N43" s="461"/>
      <c r="O43" s="462"/>
      <c r="P43" s="462"/>
    </row>
    <row r="44" spans="2:16">
      <c r="B44" s="455" t="s">
        <v>585</v>
      </c>
      <c r="C44" s="463"/>
      <c r="D44" s="464"/>
      <c r="E44" s="458" t="s">
        <v>576</v>
      </c>
      <c r="F44" s="459"/>
      <c r="G44" s="465"/>
      <c r="H44" s="465"/>
      <c r="I44" s="465"/>
      <c r="J44" s="456">
        <v>44208</v>
      </c>
      <c r="K44" s="459">
        <v>0</v>
      </c>
      <c r="L44" s="459">
        <v>6552302</v>
      </c>
      <c r="M44" s="459">
        <f t="shared" si="2"/>
        <v>6552302</v>
      </c>
      <c r="N44" s="461"/>
      <c r="O44" s="462"/>
      <c r="P44" s="462"/>
    </row>
    <row r="45" spans="2:16">
      <c r="B45" s="455" t="s">
        <v>582</v>
      </c>
      <c r="C45" s="463"/>
      <c r="D45" s="464"/>
      <c r="E45" s="458" t="s">
        <v>576</v>
      </c>
      <c r="F45" s="459"/>
      <c r="G45" s="465"/>
      <c r="H45" s="465"/>
      <c r="I45" s="465"/>
      <c r="J45" s="456">
        <v>44210</v>
      </c>
      <c r="K45" s="459">
        <v>0</v>
      </c>
      <c r="L45" s="459">
        <v>143438</v>
      </c>
      <c r="M45" s="459">
        <f t="shared" si="2"/>
        <v>143438</v>
      </c>
      <c r="N45" s="461"/>
      <c r="O45" s="462"/>
      <c r="P45" s="462"/>
    </row>
    <row r="46" spans="2:16">
      <c r="B46" s="455" t="s">
        <v>582</v>
      </c>
      <c r="C46" s="463"/>
      <c r="D46" s="464"/>
      <c r="E46" s="458" t="s">
        <v>576</v>
      </c>
      <c r="F46" s="459"/>
      <c r="G46" s="465"/>
      <c r="H46" s="465"/>
      <c r="I46" s="465"/>
      <c r="J46" s="456">
        <v>44210</v>
      </c>
      <c r="K46" s="459">
        <v>0</v>
      </c>
      <c r="L46" s="459">
        <v>108281</v>
      </c>
      <c r="M46" s="459">
        <f t="shared" si="2"/>
        <v>108281</v>
      </c>
      <c r="N46" s="461"/>
      <c r="O46" s="462"/>
      <c r="P46" s="462"/>
    </row>
    <row r="47" spans="2:16">
      <c r="B47" s="455" t="s">
        <v>585</v>
      </c>
      <c r="C47" s="463"/>
      <c r="D47" s="464"/>
      <c r="E47" s="458" t="s">
        <v>576</v>
      </c>
      <c r="F47" s="459"/>
      <c r="G47" s="465"/>
      <c r="H47" s="465"/>
      <c r="I47" s="465"/>
      <c r="J47" s="456">
        <v>44210</v>
      </c>
      <c r="K47" s="459">
        <v>0</v>
      </c>
      <c r="L47" s="459">
        <v>6115247</v>
      </c>
      <c r="M47" s="459">
        <f t="shared" si="2"/>
        <v>6115247</v>
      </c>
      <c r="N47" s="461"/>
      <c r="O47" s="462"/>
      <c r="P47" s="462"/>
    </row>
    <row r="48" spans="2:16">
      <c r="B48" s="455" t="s">
        <v>577</v>
      </c>
      <c r="C48" s="463"/>
      <c r="D48" s="464"/>
      <c r="E48" s="458" t="s">
        <v>576</v>
      </c>
      <c r="F48" s="459"/>
      <c r="G48" s="465"/>
      <c r="H48" s="465"/>
      <c r="I48" s="465"/>
      <c r="J48" s="456">
        <v>44210</v>
      </c>
      <c r="K48" s="459">
        <v>0</v>
      </c>
      <c r="L48" s="459">
        <v>11910938</v>
      </c>
      <c r="M48" s="459">
        <f t="shared" si="2"/>
        <v>11910938</v>
      </c>
      <c r="N48" s="461"/>
      <c r="O48" s="462"/>
      <c r="P48" s="462"/>
    </row>
    <row r="49" spans="2:16">
      <c r="B49" s="455" t="s">
        <v>586</v>
      </c>
      <c r="C49" s="463"/>
      <c r="D49" s="464"/>
      <c r="E49" s="458" t="s">
        <v>576</v>
      </c>
      <c r="F49" s="459"/>
      <c r="G49" s="465"/>
      <c r="H49" s="465"/>
      <c r="I49" s="465"/>
      <c r="J49" s="456">
        <v>44210</v>
      </c>
      <c r="K49" s="459">
        <v>0</v>
      </c>
      <c r="L49" s="459">
        <v>38125</v>
      </c>
      <c r="M49" s="459">
        <f t="shared" si="2"/>
        <v>38125</v>
      </c>
      <c r="N49" s="461"/>
      <c r="O49" s="462"/>
      <c r="P49" s="462"/>
    </row>
    <row r="50" spans="2:16">
      <c r="B50" s="455" t="s">
        <v>586</v>
      </c>
      <c r="C50" s="463"/>
      <c r="D50" s="464"/>
      <c r="E50" s="458" t="s">
        <v>576</v>
      </c>
      <c r="F50" s="459"/>
      <c r="G50" s="465"/>
      <c r="H50" s="465"/>
      <c r="I50" s="465"/>
      <c r="J50" s="456">
        <v>44210</v>
      </c>
      <c r="K50" s="459">
        <v>0</v>
      </c>
      <c r="L50" s="459">
        <v>32406</v>
      </c>
      <c r="M50" s="459">
        <f t="shared" si="2"/>
        <v>32406</v>
      </c>
      <c r="N50" s="461"/>
      <c r="O50" s="462"/>
      <c r="P50" s="462"/>
    </row>
    <row r="51" spans="2:16">
      <c r="B51" s="455" t="s">
        <v>577</v>
      </c>
      <c r="C51" s="463"/>
      <c r="D51" s="464"/>
      <c r="E51" s="458" t="s">
        <v>576</v>
      </c>
      <c r="F51" s="459"/>
      <c r="G51" s="465"/>
      <c r="H51" s="465"/>
      <c r="I51" s="465"/>
      <c r="J51" s="456">
        <v>44214</v>
      </c>
      <c r="K51" s="459">
        <v>0</v>
      </c>
      <c r="L51" s="459">
        <v>2684825</v>
      </c>
      <c r="M51" s="459">
        <f t="shared" si="2"/>
        <v>2684825</v>
      </c>
      <c r="N51" s="461"/>
      <c r="O51" s="462"/>
      <c r="P51" s="462"/>
    </row>
    <row r="52" spans="2:16">
      <c r="B52" s="455" t="s">
        <v>585</v>
      </c>
      <c r="C52" s="463"/>
      <c r="D52" s="464"/>
      <c r="E52" s="458" t="s">
        <v>576</v>
      </c>
      <c r="F52" s="459"/>
      <c r="G52" s="465"/>
      <c r="H52" s="465"/>
      <c r="I52" s="465"/>
      <c r="J52" s="456">
        <v>44214</v>
      </c>
      <c r="K52" s="459">
        <v>0</v>
      </c>
      <c r="L52" s="459">
        <v>2617408</v>
      </c>
      <c r="M52" s="459">
        <f t="shared" si="2"/>
        <v>2617408</v>
      </c>
      <c r="N52" s="461"/>
      <c r="O52" s="462"/>
      <c r="P52" s="462"/>
    </row>
    <row r="53" spans="2:16">
      <c r="B53" s="455" t="s">
        <v>577</v>
      </c>
      <c r="C53" s="463"/>
      <c r="D53" s="464"/>
      <c r="E53" s="458" t="s">
        <v>576</v>
      </c>
      <c r="F53" s="459"/>
      <c r="G53" s="465"/>
      <c r="H53" s="465"/>
      <c r="I53" s="465"/>
      <c r="J53" s="456">
        <v>44214</v>
      </c>
      <c r="K53" s="459">
        <v>0</v>
      </c>
      <c r="L53" s="459">
        <v>5664062</v>
      </c>
      <c r="M53" s="459">
        <f t="shared" si="2"/>
        <v>5664062</v>
      </c>
      <c r="N53" s="461"/>
      <c r="O53" s="462"/>
      <c r="P53" s="462"/>
    </row>
    <row r="54" spans="2:16">
      <c r="B54" s="455" t="s">
        <v>585</v>
      </c>
      <c r="C54" s="463"/>
      <c r="D54" s="464"/>
      <c r="E54" s="458" t="s">
        <v>576</v>
      </c>
      <c r="F54" s="459"/>
      <c r="G54" s="465"/>
      <c r="H54" s="465"/>
      <c r="I54" s="465"/>
      <c r="J54" s="456">
        <v>44214</v>
      </c>
      <c r="K54" s="459">
        <v>0</v>
      </c>
      <c r="L54" s="459">
        <v>2599066</v>
      </c>
      <c r="M54" s="459">
        <f t="shared" si="2"/>
        <v>2599066</v>
      </c>
      <c r="N54" s="461"/>
      <c r="O54" s="462"/>
      <c r="P54" s="462"/>
    </row>
    <row r="55" spans="2:16">
      <c r="B55" s="455" t="s">
        <v>575</v>
      </c>
      <c r="C55" s="463"/>
      <c r="D55" s="464"/>
      <c r="E55" s="458" t="s">
        <v>576</v>
      </c>
      <c r="F55" s="459"/>
      <c r="G55" s="465"/>
      <c r="H55" s="465"/>
      <c r="I55" s="465"/>
      <c r="J55" s="456">
        <v>44214</v>
      </c>
      <c r="K55" s="459">
        <v>0</v>
      </c>
      <c r="L55" s="459">
        <v>8510267</v>
      </c>
      <c r="M55" s="459">
        <f t="shared" si="2"/>
        <v>8510267</v>
      </c>
      <c r="N55" s="461"/>
      <c r="O55" s="462"/>
      <c r="P55" s="462"/>
    </row>
    <row r="56" spans="2:16">
      <c r="B56" s="455" t="s">
        <v>577</v>
      </c>
      <c r="C56" s="463"/>
      <c r="D56" s="464"/>
      <c r="E56" s="458" t="s">
        <v>576</v>
      </c>
      <c r="F56" s="459"/>
      <c r="G56" s="465"/>
      <c r="H56" s="465"/>
      <c r="I56" s="465"/>
      <c r="J56" s="456">
        <v>44214</v>
      </c>
      <c r="K56" s="459">
        <v>0</v>
      </c>
      <c r="L56" s="459">
        <v>5851177</v>
      </c>
      <c r="M56" s="459">
        <f t="shared" si="2"/>
        <v>5851177</v>
      </c>
      <c r="N56" s="461"/>
      <c r="O56" s="462"/>
      <c r="P56" s="462"/>
    </row>
    <row r="57" spans="2:16">
      <c r="B57" s="455" t="s">
        <v>580</v>
      </c>
      <c r="C57" s="463"/>
      <c r="D57" s="464"/>
      <c r="E57" s="458" t="s">
        <v>576</v>
      </c>
      <c r="F57" s="459"/>
      <c r="G57" s="465"/>
      <c r="H57" s="465"/>
      <c r="I57" s="465"/>
      <c r="J57" s="456">
        <v>44214</v>
      </c>
      <c r="K57" s="459">
        <v>0</v>
      </c>
      <c r="L57" s="459">
        <v>2599133</v>
      </c>
      <c r="M57" s="459">
        <f t="shared" si="2"/>
        <v>2599133</v>
      </c>
      <c r="N57" s="461"/>
      <c r="O57" s="462"/>
      <c r="P57" s="462"/>
    </row>
    <row r="58" spans="2:16">
      <c r="B58" s="455" t="s">
        <v>580</v>
      </c>
      <c r="C58" s="463"/>
      <c r="D58" s="464"/>
      <c r="E58" s="458" t="s">
        <v>576</v>
      </c>
      <c r="F58" s="459"/>
      <c r="G58" s="465"/>
      <c r="H58" s="465"/>
      <c r="I58" s="465"/>
      <c r="J58" s="456">
        <v>44214</v>
      </c>
      <c r="K58" s="459">
        <v>0</v>
      </c>
      <c r="L58" s="459">
        <v>3398438</v>
      </c>
      <c r="M58" s="459">
        <f t="shared" si="2"/>
        <v>3398438</v>
      </c>
      <c r="N58" s="461"/>
      <c r="O58" s="462"/>
      <c r="P58" s="462"/>
    </row>
    <row r="59" spans="2:16">
      <c r="B59" s="455" t="s">
        <v>585</v>
      </c>
      <c r="C59" s="463"/>
      <c r="D59" s="464"/>
      <c r="E59" s="458" t="s">
        <v>576</v>
      </c>
      <c r="F59" s="459"/>
      <c r="G59" s="465"/>
      <c r="H59" s="465"/>
      <c r="I59" s="465"/>
      <c r="J59" s="456">
        <v>44214</v>
      </c>
      <c r="K59" s="459">
        <v>0</v>
      </c>
      <c r="L59" s="459">
        <v>2441221</v>
      </c>
      <c r="M59" s="459">
        <f t="shared" si="2"/>
        <v>2441221</v>
      </c>
      <c r="N59" s="461"/>
      <c r="O59" s="462"/>
      <c r="P59" s="462"/>
    </row>
    <row r="60" spans="2:16">
      <c r="B60" s="455" t="s">
        <v>575</v>
      </c>
      <c r="C60" s="463"/>
      <c r="D60" s="464"/>
      <c r="E60" s="458" t="s">
        <v>576</v>
      </c>
      <c r="F60" s="459"/>
      <c r="G60" s="465"/>
      <c r="H60" s="465"/>
      <c r="I60" s="465"/>
      <c r="J60" s="456">
        <v>44214</v>
      </c>
      <c r="K60" s="459">
        <v>0</v>
      </c>
      <c r="L60" s="459">
        <v>8951279</v>
      </c>
      <c r="M60" s="459">
        <f t="shared" si="2"/>
        <v>8951279</v>
      </c>
      <c r="N60" s="461"/>
      <c r="O60" s="462"/>
      <c r="P60" s="462"/>
    </row>
    <row r="61" spans="2:16">
      <c r="B61" s="455" t="s">
        <v>585</v>
      </c>
      <c r="C61" s="463"/>
      <c r="D61" s="464"/>
      <c r="E61" s="458" t="s">
        <v>576</v>
      </c>
      <c r="F61" s="459"/>
      <c r="G61" s="465"/>
      <c r="H61" s="465"/>
      <c r="I61" s="465"/>
      <c r="J61" s="456">
        <v>44214</v>
      </c>
      <c r="K61" s="466">
        <v>83999000</v>
      </c>
      <c r="L61" s="466">
        <v>0</v>
      </c>
      <c r="M61" s="466">
        <f t="shared" si="2"/>
        <v>83999000</v>
      </c>
      <c r="N61" s="461"/>
      <c r="O61" s="462"/>
      <c r="P61" s="462"/>
    </row>
    <row r="62" spans="2:16">
      <c r="B62" s="455" t="s">
        <v>575</v>
      </c>
      <c r="C62" s="463"/>
      <c r="D62" s="464"/>
      <c r="E62" s="458" t="s">
        <v>576</v>
      </c>
      <c r="F62" s="459"/>
      <c r="G62" s="465"/>
      <c r="H62" s="465"/>
      <c r="I62" s="465"/>
      <c r="J62" s="456">
        <v>44214</v>
      </c>
      <c r="K62" s="466">
        <v>308001000</v>
      </c>
      <c r="L62" s="466">
        <v>0</v>
      </c>
      <c r="M62" s="466">
        <f t="shared" si="2"/>
        <v>308001000</v>
      </c>
      <c r="N62" s="461"/>
      <c r="O62" s="462"/>
      <c r="P62" s="462"/>
    </row>
    <row r="63" spans="2:16">
      <c r="B63" s="455" t="s">
        <v>580</v>
      </c>
      <c r="C63" s="463"/>
      <c r="D63" s="464"/>
      <c r="E63" s="458" t="s">
        <v>576</v>
      </c>
      <c r="F63" s="459"/>
      <c r="G63" s="465"/>
      <c r="H63" s="465"/>
      <c r="I63" s="465"/>
      <c r="J63" s="456">
        <v>44217</v>
      </c>
      <c r="K63" s="459">
        <v>0</v>
      </c>
      <c r="L63" s="459">
        <v>7006250</v>
      </c>
      <c r="M63" s="459">
        <f t="shared" si="2"/>
        <v>7006250</v>
      </c>
      <c r="N63" s="461"/>
      <c r="O63" s="462"/>
      <c r="P63" s="462"/>
    </row>
    <row r="64" spans="2:16">
      <c r="B64" s="455" t="s">
        <v>577</v>
      </c>
      <c r="C64" s="463"/>
      <c r="D64" s="464"/>
      <c r="E64" s="458" t="s">
        <v>576</v>
      </c>
      <c r="F64" s="459"/>
      <c r="G64" s="465"/>
      <c r="H64" s="465"/>
      <c r="I64" s="465"/>
      <c r="J64" s="456">
        <v>44217</v>
      </c>
      <c r="K64" s="459">
        <v>0</v>
      </c>
      <c r="L64" s="459">
        <v>5925258</v>
      </c>
      <c r="M64" s="459">
        <f t="shared" si="2"/>
        <v>5925258</v>
      </c>
      <c r="N64" s="461"/>
      <c r="O64" s="462"/>
      <c r="P64" s="462"/>
    </row>
    <row r="65" spans="2:16">
      <c r="B65" s="455" t="s">
        <v>587</v>
      </c>
      <c r="C65" s="463"/>
      <c r="D65" s="464"/>
      <c r="E65" s="458" t="s">
        <v>576</v>
      </c>
      <c r="F65" s="459"/>
      <c r="G65" s="465"/>
      <c r="H65" s="465"/>
      <c r="I65" s="465"/>
      <c r="J65" s="456">
        <v>44217</v>
      </c>
      <c r="K65" s="459">
        <v>0</v>
      </c>
      <c r="L65" s="459">
        <v>5563</v>
      </c>
      <c r="M65" s="459">
        <f t="shared" si="2"/>
        <v>5563</v>
      </c>
      <c r="N65" s="461"/>
      <c r="O65" s="462"/>
      <c r="P65" s="462"/>
    </row>
    <row r="66" spans="2:16">
      <c r="B66" s="455" t="s">
        <v>586</v>
      </c>
      <c r="C66" s="463"/>
      <c r="D66" s="464"/>
      <c r="E66" s="458" t="s">
        <v>576</v>
      </c>
      <c r="F66" s="459"/>
      <c r="G66" s="465"/>
      <c r="H66" s="465"/>
      <c r="I66" s="465"/>
      <c r="J66" s="456">
        <v>44217</v>
      </c>
      <c r="K66" s="459">
        <v>0</v>
      </c>
      <c r="L66" s="459">
        <v>3563</v>
      </c>
      <c r="M66" s="459">
        <f t="shared" si="2"/>
        <v>3563</v>
      </c>
      <c r="N66" s="461"/>
      <c r="O66" s="462"/>
      <c r="P66" s="462"/>
    </row>
    <row r="67" spans="2:16">
      <c r="B67" s="455" t="s">
        <v>584</v>
      </c>
      <c r="C67" s="463"/>
      <c r="D67" s="464"/>
      <c r="E67" s="458" t="s">
        <v>576</v>
      </c>
      <c r="F67" s="459"/>
      <c r="G67" s="465"/>
      <c r="H67" s="465"/>
      <c r="I67" s="465"/>
      <c r="J67" s="456">
        <v>44221</v>
      </c>
      <c r="K67" s="459">
        <v>0</v>
      </c>
      <c r="L67" s="459">
        <v>513124</v>
      </c>
      <c r="M67" s="459">
        <f t="shared" si="2"/>
        <v>513124</v>
      </c>
      <c r="N67" s="461"/>
      <c r="O67" s="462"/>
      <c r="P67" s="462"/>
    </row>
    <row r="68" spans="2:16">
      <c r="B68" s="455" t="s">
        <v>577</v>
      </c>
      <c r="C68" s="463"/>
      <c r="D68" s="464"/>
      <c r="E68" s="458" t="s">
        <v>576</v>
      </c>
      <c r="F68" s="459"/>
      <c r="G68" s="465"/>
      <c r="H68" s="465"/>
      <c r="I68" s="465"/>
      <c r="J68" s="456">
        <v>44221</v>
      </c>
      <c r="K68" s="459">
        <v>0</v>
      </c>
      <c r="L68" s="459">
        <v>743647</v>
      </c>
      <c r="M68" s="459">
        <f t="shared" si="2"/>
        <v>743647</v>
      </c>
      <c r="N68" s="461"/>
      <c r="O68" s="462"/>
      <c r="P68" s="462"/>
    </row>
    <row r="69" spans="2:16">
      <c r="B69" s="455" t="s">
        <v>585</v>
      </c>
      <c r="C69" s="463"/>
      <c r="D69" s="464"/>
      <c r="E69" s="458" t="s">
        <v>576</v>
      </c>
      <c r="F69" s="459"/>
      <c r="G69" s="465"/>
      <c r="H69" s="465"/>
      <c r="I69" s="465"/>
      <c r="J69" s="456">
        <v>44221</v>
      </c>
      <c r="K69" s="459">
        <v>0</v>
      </c>
      <c r="L69" s="459">
        <v>3456435</v>
      </c>
      <c r="M69" s="459">
        <f t="shared" si="2"/>
        <v>3456435</v>
      </c>
      <c r="N69" s="461"/>
      <c r="O69" s="462"/>
      <c r="P69" s="462"/>
    </row>
    <row r="70" spans="2:16">
      <c r="B70" s="455" t="s">
        <v>577</v>
      </c>
      <c r="C70" s="463"/>
      <c r="D70" s="464"/>
      <c r="E70" s="458" t="s">
        <v>576</v>
      </c>
      <c r="F70" s="459"/>
      <c r="G70" s="465"/>
      <c r="H70" s="465"/>
      <c r="I70" s="465"/>
      <c r="J70" s="456">
        <v>44221</v>
      </c>
      <c r="K70" s="459">
        <v>0</v>
      </c>
      <c r="L70" s="459">
        <v>680158</v>
      </c>
      <c r="M70" s="459">
        <f t="shared" si="2"/>
        <v>680158</v>
      </c>
      <c r="N70" s="461"/>
      <c r="O70" s="462"/>
      <c r="P70" s="462"/>
    </row>
    <row r="71" spans="2:16">
      <c r="B71" s="455" t="s">
        <v>580</v>
      </c>
      <c r="C71" s="463"/>
      <c r="D71" s="464"/>
      <c r="E71" s="458" t="s">
        <v>576</v>
      </c>
      <c r="F71" s="459"/>
      <c r="G71" s="465"/>
      <c r="H71" s="465"/>
      <c r="I71" s="465"/>
      <c r="J71" s="456">
        <v>44221</v>
      </c>
      <c r="K71" s="459">
        <v>0</v>
      </c>
      <c r="L71" s="459">
        <v>3456391</v>
      </c>
      <c r="M71" s="459">
        <f t="shared" si="2"/>
        <v>3456391</v>
      </c>
      <c r="N71" s="461"/>
      <c r="O71" s="462"/>
      <c r="P71" s="462"/>
    </row>
    <row r="72" spans="2:16">
      <c r="B72" s="455" t="s">
        <v>577</v>
      </c>
      <c r="C72" s="463"/>
      <c r="D72" s="464"/>
      <c r="E72" s="458" t="s">
        <v>576</v>
      </c>
      <c r="F72" s="459"/>
      <c r="G72" s="465"/>
      <c r="H72" s="465"/>
      <c r="I72" s="465"/>
      <c r="J72" s="456">
        <v>44221</v>
      </c>
      <c r="K72" s="459">
        <v>0</v>
      </c>
      <c r="L72" s="459">
        <v>6264188</v>
      </c>
      <c r="M72" s="459">
        <f t="shared" si="2"/>
        <v>6264188</v>
      </c>
      <c r="N72" s="461"/>
      <c r="O72" s="462"/>
      <c r="P72" s="462"/>
    </row>
    <row r="73" spans="2:16">
      <c r="B73" s="455" t="s">
        <v>575</v>
      </c>
      <c r="C73" s="463"/>
      <c r="D73" s="464"/>
      <c r="E73" s="458" t="s">
        <v>576</v>
      </c>
      <c r="F73" s="459"/>
      <c r="G73" s="465"/>
      <c r="H73" s="465"/>
      <c r="I73" s="465"/>
      <c r="J73" s="456">
        <v>44221</v>
      </c>
      <c r="K73" s="459">
        <v>0</v>
      </c>
      <c r="L73" s="459">
        <v>3431250</v>
      </c>
      <c r="M73" s="459">
        <f t="shared" si="2"/>
        <v>3431250</v>
      </c>
      <c r="N73" s="461"/>
      <c r="O73" s="462"/>
      <c r="P73" s="462"/>
    </row>
    <row r="74" spans="2:16">
      <c r="B74" s="455" t="s">
        <v>577</v>
      </c>
      <c r="C74" s="463"/>
      <c r="D74" s="464"/>
      <c r="E74" s="458" t="s">
        <v>576</v>
      </c>
      <c r="F74" s="459"/>
      <c r="G74" s="465"/>
      <c r="H74" s="465"/>
      <c r="I74" s="465"/>
      <c r="J74" s="456">
        <v>44221</v>
      </c>
      <c r="K74" s="459">
        <v>0</v>
      </c>
      <c r="L74" s="459">
        <v>2287500</v>
      </c>
      <c r="M74" s="459">
        <f t="shared" si="2"/>
        <v>2287500</v>
      </c>
      <c r="N74" s="461"/>
      <c r="O74" s="462"/>
      <c r="P74" s="462"/>
    </row>
    <row r="75" spans="2:16">
      <c r="B75" s="455" t="s">
        <v>575</v>
      </c>
      <c r="C75" s="463"/>
      <c r="D75" s="464"/>
      <c r="E75" s="458" t="s">
        <v>576</v>
      </c>
      <c r="F75" s="459"/>
      <c r="G75" s="465"/>
      <c r="H75" s="465"/>
      <c r="I75" s="465"/>
      <c r="J75" s="456">
        <v>44221</v>
      </c>
      <c r="K75" s="459">
        <v>0</v>
      </c>
      <c r="L75" s="459">
        <v>894915</v>
      </c>
      <c r="M75" s="459">
        <f t="shared" si="2"/>
        <v>894915</v>
      </c>
      <c r="N75" s="461"/>
      <c r="O75" s="462"/>
      <c r="P75" s="462"/>
    </row>
    <row r="76" spans="2:16">
      <c r="B76" s="455" t="s">
        <v>575</v>
      </c>
      <c r="C76" s="463"/>
      <c r="D76" s="464"/>
      <c r="E76" s="458" t="s">
        <v>576</v>
      </c>
      <c r="F76" s="459"/>
      <c r="G76" s="465"/>
      <c r="H76" s="465"/>
      <c r="I76" s="465"/>
      <c r="J76" s="456">
        <v>44221</v>
      </c>
      <c r="K76" s="459">
        <v>0</v>
      </c>
      <c r="L76" s="459">
        <v>2230980</v>
      </c>
      <c r="M76" s="459">
        <f t="shared" si="2"/>
        <v>2230980</v>
      </c>
      <c r="N76" s="461"/>
      <c r="O76" s="462"/>
      <c r="P76" s="462"/>
    </row>
    <row r="77" spans="2:16">
      <c r="B77" s="455" t="s">
        <v>575</v>
      </c>
      <c r="C77" s="463"/>
      <c r="D77" s="464"/>
      <c r="E77" s="458" t="s">
        <v>576</v>
      </c>
      <c r="F77" s="459"/>
      <c r="G77" s="465"/>
      <c r="H77" s="465"/>
      <c r="I77" s="465"/>
      <c r="J77" s="456">
        <v>44222</v>
      </c>
      <c r="K77" s="459">
        <v>0</v>
      </c>
      <c r="L77" s="459">
        <v>1607130</v>
      </c>
      <c r="M77" s="459">
        <f t="shared" si="2"/>
        <v>1607130</v>
      </c>
      <c r="N77" s="461"/>
      <c r="O77" s="462"/>
      <c r="P77" s="462"/>
    </row>
    <row r="78" spans="2:16">
      <c r="B78" s="455" t="s">
        <v>583</v>
      </c>
      <c r="C78" s="463"/>
      <c r="D78" s="464"/>
      <c r="E78" s="458" t="s">
        <v>576</v>
      </c>
      <c r="F78" s="459"/>
      <c r="G78" s="465"/>
      <c r="H78" s="465"/>
      <c r="I78" s="465"/>
      <c r="J78" s="456">
        <v>44225</v>
      </c>
      <c r="K78" s="459">
        <v>0</v>
      </c>
      <c r="L78" s="459">
        <v>126250</v>
      </c>
      <c r="M78" s="459">
        <f t="shared" si="2"/>
        <v>126250</v>
      </c>
      <c r="N78" s="461"/>
      <c r="O78" s="462"/>
      <c r="P78" s="462"/>
    </row>
    <row r="79" spans="2:16">
      <c r="B79" s="455" t="s">
        <v>575</v>
      </c>
      <c r="C79" s="463"/>
      <c r="D79" s="464"/>
      <c r="E79" s="458" t="s">
        <v>576</v>
      </c>
      <c r="F79" s="459"/>
      <c r="G79" s="465"/>
      <c r="H79" s="465"/>
      <c r="I79" s="465"/>
      <c r="J79" s="456">
        <v>44225</v>
      </c>
      <c r="K79" s="459">
        <v>0</v>
      </c>
      <c r="L79" s="459">
        <v>4937500</v>
      </c>
      <c r="M79" s="459">
        <f t="shared" si="2"/>
        <v>4937500</v>
      </c>
      <c r="N79" s="461"/>
      <c r="O79" s="462"/>
      <c r="P79" s="462"/>
    </row>
    <row r="80" spans="2:16">
      <c r="B80" s="455" t="s">
        <v>585</v>
      </c>
      <c r="C80" s="463"/>
      <c r="D80" s="464"/>
      <c r="E80" s="458" t="s">
        <v>576</v>
      </c>
      <c r="F80" s="459"/>
      <c r="G80" s="465"/>
      <c r="H80" s="465"/>
      <c r="I80" s="465"/>
      <c r="J80" s="456">
        <v>44225</v>
      </c>
      <c r="K80" s="459">
        <v>0</v>
      </c>
      <c r="L80" s="459">
        <v>5937500</v>
      </c>
      <c r="M80" s="459">
        <f t="shared" si="2"/>
        <v>5937500</v>
      </c>
      <c r="N80" s="461"/>
      <c r="O80" s="462"/>
      <c r="P80" s="462"/>
    </row>
    <row r="81" spans="2:16">
      <c r="B81" s="455" t="s">
        <v>582</v>
      </c>
      <c r="C81" s="463"/>
      <c r="D81" s="464"/>
      <c r="E81" s="458" t="s">
        <v>576</v>
      </c>
      <c r="F81" s="459"/>
      <c r="G81" s="465"/>
      <c r="H81" s="465"/>
      <c r="I81" s="465"/>
      <c r="J81" s="456">
        <v>44225</v>
      </c>
      <c r="K81" s="459">
        <v>0</v>
      </c>
      <c r="L81" s="459">
        <v>75000</v>
      </c>
      <c r="M81" s="459">
        <f t="shared" si="2"/>
        <v>75000</v>
      </c>
      <c r="N81" s="461"/>
      <c r="O81" s="462"/>
      <c r="P81" s="462"/>
    </row>
    <row r="82" spans="2:16">
      <c r="B82" s="467" t="s">
        <v>588</v>
      </c>
      <c r="C82" s="468"/>
      <c r="D82" s="469"/>
      <c r="E82" s="470"/>
      <c r="F82" s="459"/>
      <c r="G82" s="471">
        <f>(D803-C803)*1000000</f>
        <v>673634.0000004475</v>
      </c>
      <c r="H82" s="465"/>
      <c r="I82" s="465"/>
      <c r="J82" s="472"/>
      <c r="K82" s="473"/>
      <c r="L82" s="473"/>
      <c r="M82" s="473"/>
      <c r="N82" s="461"/>
      <c r="O82" s="462"/>
      <c r="P82" s="462"/>
    </row>
    <row r="83" spans="2:16">
      <c r="B83" s="467" t="s">
        <v>589</v>
      </c>
      <c r="C83" s="468"/>
      <c r="D83" s="469"/>
      <c r="E83" s="470" t="s">
        <v>590</v>
      </c>
      <c r="F83" s="459"/>
      <c r="G83" s="471"/>
      <c r="H83" s="465"/>
      <c r="I83" s="465"/>
      <c r="J83" s="472">
        <v>44212</v>
      </c>
      <c r="K83" s="473">
        <v>57074265.179068856</v>
      </c>
      <c r="L83" s="473">
        <v>15713710.980220115</v>
      </c>
      <c r="M83" s="473">
        <f t="shared" ref="M83:M84" si="3">+K83+L83</f>
        <v>72787976.159288973</v>
      </c>
      <c r="N83" s="461"/>
      <c r="O83" s="462"/>
      <c r="P83" s="462"/>
    </row>
    <row r="84" spans="2:16">
      <c r="B84" s="467" t="s">
        <v>591</v>
      </c>
      <c r="C84" s="468"/>
      <c r="D84" s="469"/>
      <c r="E84" s="470" t="s">
        <v>592</v>
      </c>
      <c r="F84" s="459"/>
      <c r="G84" s="471"/>
      <c r="H84" s="465"/>
      <c r="I84" s="465"/>
      <c r="J84" s="472">
        <v>44216</v>
      </c>
      <c r="K84" s="473">
        <v>17803435.591066342</v>
      </c>
      <c r="L84" s="473">
        <v>8822395.0373320319</v>
      </c>
      <c r="M84" s="473">
        <f t="shared" si="3"/>
        <v>26625830.628398374</v>
      </c>
      <c r="N84" s="461"/>
      <c r="O84" s="462"/>
      <c r="P84" s="462"/>
    </row>
    <row r="85" spans="2:16" ht="12.5">
      <c r="B85" s="938" t="s">
        <v>593</v>
      </c>
      <c r="C85" s="939"/>
      <c r="D85" s="939"/>
      <c r="E85" s="940"/>
      <c r="F85" s="941">
        <f>SUM(F7:F84)</f>
        <v>2049134000</v>
      </c>
      <c r="G85" s="941">
        <f t="shared" ref="G85:I85" si="4">SUM(G7:G84)</f>
        <v>2046127572.4961057</v>
      </c>
      <c r="H85" s="941">
        <f t="shared" si="4"/>
        <v>3680061.5038949102</v>
      </c>
      <c r="I85" s="941">
        <f t="shared" si="4"/>
        <v>2049134000</v>
      </c>
      <c r="J85" s="941"/>
      <c r="K85" s="941">
        <f>SUM(K7:K84)</f>
        <v>962377700.77013516</v>
      </c>
      <c r="L85" s="941">
        <f>SUM(L7:L84)</f>
        <v>223789474.01755214</v>
      </c>
      <c r="M85" s="941">
        <f t="shared" ref="M85" si="5">SUM(M7:M84)</f>
        <v>1186167174.7876873</v>
      </c>
      <c r="N85" s="942">
        <f>+G85-K85</f>
        <v>1083749871.7259705</v>
      </c>
      <c r="O85" s="942">
        <f>+(D793-C793)*1000000</f>
        <v>1299142316.1930289</v>
      </c>
      <c r="P85" s="942">
        <f>N85-O85</f>
        <v>-215392444.46705842</v>
      </c>
    </row>
    <row r="86" spans="2:16" ht="12.5">
      <c r="B86" s="455" t="s">
        <v>594</v>
      </c>
      <c r="C86" s="479">
        <v>44208</v>
      </c>
      <c r="D86" s="457">
        <v>180</v>
      </c>
      <c r="E86" s="480" t="s">
        <v>579</v>
      </c>
      <c r="F86" s="459">
        <f t="shared" ref="F86:F89" si="6">G86+H86</f>
        <v>49999000</v>
      </c>
      <c r="G86" s="459">
        <v>49750248.75621891</v>
      </c>
      <c r="H86" s="459">
        <v>248751.24378108978</v>
      </c>
      <c r="I86" s="459">
        <f t="shared" ref="I86:I89" si="7">+G86+H86</f>
        <v>49999000</v>
      </c>
      <c r="J86" s="468"/>
      <c r="K86" s="481"/>
      <c r="L86" s="481"/>
      <c r="M86" s="481"/>
      <c r="N86" s="482"/>
      <c r="O86" s="482"/>
      <c r="P86" s="483"/>
    </row>
    <row r="87" spans="2:16" ht="12.5">
      <c r="B87" s="455" t="s">
        <v>594</v>
      </c>
      <c r="C87" s="479">
        <v>44211</v>
      </c>
      <c r="D87" s="457">
        <v>720</v>
      </c>
      <c r="E87" s="480" t="s">
        <v>576</v>
      </c>
      <c r="F87" s="459">
        <f t="shared" si="6"/>
        <v>86140000</v>
      </c>
      <c r="G87" s="459">
        <v>86140000</v>
      </c>
      <c r="H87" s="459">
        <v>0</v>
      </c>
      <c r="I87" s="459">
        <f t="shared" si="7"/>
        <v>86140000</v>
      </c>
      <c r="J87" s="468"/>
      <c r="K87" s="481"/>
      <c r="L87" s="481"/>
      <c r="M87" s="481"/>
      <c r="N87" s="482"/>
      <c r="O87" s="482"/>
      <c r="P87" s="483"/>
    </row>
    <row r="88" spans="2:16" ht="12.5">
      <c r="B88" s="455" t="s">
        <v>594</v>
      </c>
      <c r="C88" s="479">
        <v>44215</v>
      </c>
      <c r="D88" s="457">
        <v>270</v>
      </c>
      <c r="E88" s="480" t="s">
        <v>579</v>
      </c>
      <c r="F88" s="459">
        <f t="shared" si="6"/>
        <v>72727000</v>
      </c>
      <c r="G88" s="459">
        <v>72185607.940446645</v>
      </c>
      <c r="H88" s="459">
        <v>541392.05955335498</v>
      </c>
      <c r="I88" s="459">
        <f t="shared" si="7"/>
        <v>72727000</v>
      </c>
      <c r="J88" s="468"/>
      <c r="K88" s="481"/>
      <c r="L88" s="481"/>
      <c r="M88" s="481"/>
      <c r="N88" s="482"/>
      <c r="O88" s="482"/>
      <c r="P88" s="483"/>
    </row>
    <row r="89" spans="2:16" ht="12.5">
      <c r="B89" s="455" t="s">
        <v>594</v>
      </c>
      <c r="C89" s="479">
        <v>44224</v>
      </c>
      <c r="D89" s="457">
        <v>3600</v>
      </c>
      <c r="E89" s="480" t="s">
        <v>576</v>
      </c>
      <c r="F89" s="459">
        <f t="shared" si="6"/>
        <v>800000000</v>
      </c>
      <c r="G89" s="459">
        <v>800000000</v>
      </c>
      <c r="H89" s="459">
        <v>0</v>
      </c>
      <c r="I89" s="459">
        <f t="shared" si="7"/>
        <v>800000000</v>
      </c>
      <c r="J89" s="468"/>
      <c r="K89" s="481"/>
      <c r="L89" s="481"/>
      <c r="M89" s="481"/>
      <c r="N89" s="482"/>
      <c r="O89" s="482"/>
      <c r="P89" s="483"/>
    </row>
    <row r="90" spans="2:16" ht="12.5">
      <c r="B90" s="455" t="s">
        <v>594</v>
      </c>
      <c r="C90" s="468"/>
      <c r="D90" s="469"/>
      <c r="E90" s="480" t="s">
        <v>576</v>
      </c>
      <c r="F90" s="465"/>
      <c r="G90" s="465"/>
      <c r="H90" s="465"/>
      <c r="I90" s="465"/>
      <c r="J90" s="456">
        <v>44200</v>
      </c>
      <c r="K90" s="459">
        <v>0</v>
      </c>
      <c r="L90" s="459">
        <v>135947</v>
      </c>
      <c r="M90" s="484">
        <f t="shared" ref="M90:M104" si="8">+K90+L90</f>
        <v>135947</v>
      </c>
      <c r="N90" s="481"/>
      <c r="O90" s="462"/>
      <c r="P90" s="482"/>
    </row>
    <row r="91" spans="2:16" ht="12.5">
      <c r="B91" s="455" t="s">
        <v>594</v>
      </c>
      <c r="C91" s="468"/>
      <c r="D91" s="469"/>
      <c r="E91" s="480" t="s">
        <v>576</v>
      </c>
      <c r="F91" s="465"/>
      <c r="G91" s="465"/>
      <c r="H91" s="465"/>
      <c r="I91" s="465"/>
      <c r="J91" s="456">
        <v>44207</v>
      </c>
      <c r="K91" s="459">
        <v>0</v>
      </c>
      <c r="L91" s="459">
        <v>2537482</v>
      </c>
      <c r="M91" s="484">
        <f t="shared" si="8"/>
        <v>2537482</v>
      </c>
      <c r="N91" s="481"/>
      <c r="O91" s="462"/>
      <c r="P91" s="482"/>
    </row>
    <row r="92" spans="2:16" ht="12.5">
      <c r="B92" s="455" t="s">
        <v>594</v>
      </c>
      <c r="C92" s="468"/>
      <c r="D92" s="469"/>
      <c r="E92" s="480" t="s">
        <v>576</v>
      </c>
      <c r="F92" s="465"/>
      <c r="G92" s="465"/>
      <c r="H92" s="465"/>
      <c r="I92" s="465"/>
      <c r="J92" s="456">
        <v>44207</v>
      </c>
      <c r="K92" s="459">
        <v>0</v>
      </c>
      <c r="L92" s="459">
        <v>3812500</v>
      </c>
      <c r="M92" s="484">
        <f t="shared" si="8"/>
        <v>3812500</v>
      </c>
      <c r="N92" s="481"/>
      <c r="O92" s="462"/>
      <c r="P92" s="482"/>
    </row>
    <row r="93" spans="2:16" ht="12.5">
      <c r="B93" s="455" t="s">
        <v>594</v>
      </c>
      <c r="C93" s="468"/>
      <c r="D93" s="469"/>
      <c r="E93" s="480" t="s">
        <v>576</v>
      </c>
      <c r="F93" s="465"/>
      <c r="G93" s="465"/>
      <c r="H93" s="465"/>
      <c r="I93" s="465"/>
      <c r="J93" s="456">
        <v>44208</v>
      </c>
      <c r="K93" s="459">
        <v>0</v>
      </c>
      <c r="L93" s="459">
        <v>1887188</v>
      </c>
      <c r="M93" s="484">
        <f t="shared" si="8"/>
        <v>1887188</v>
      </c>
      <c r="N93" s="481"/>
      <c r="O93" s="462"/>
      <c r="P93" s="482"/>
    </row>
    <row r="94" spans="2:16" ht="12.5">
      <c r="B94" s="455" t="s">
        <v>594</v>
      </c>
      <c r="C94" s="468"/>
      <c r="D94" s="469"/>
      <c r="E94" s="480" t="s">
        <v>576</v>
      </c>
      <c r="F94" s="465"/>
      <c r="G94" s="465"/>
      <c r="H94" s="465"/>
      <c r="I94" s="465"/>
      <c r="J94" s="456">
        <v>44208</v>
      </c>
      <c r="K94" s="459">
        <v>0</v>
      </c>
      <c r="L94" s="459">
        <v>2289417</v>
      </c>
      <c r="M94" s="484">
        <f t="shared" si="8"/>
        <v>2289417</v>
      </c>
      <c r="N94" s="481"/>
      <c r="O94" s="462"/>
      <c r="P94" s="482"/>
    </row>
    <row r="95" spans="2:16" ht="12.5">
      <c r="B95" s="455" t="s">
        <v>594</v>
      </c>
      <c r="C95" s="468"/>
      <c r="D95" s="469"/>
      <c r="E95" s="480" t="s">
        <v>576</v>
      </c>
      <c r="F95" s="465"/>
      <c r="G95" s="465"/>
      <c r="H95" s="465"/>
      <c r="I95" s="465"/>
      <c r="J95" s="456">
        <v>44210</v>
      </c>
      <c r="K95" s="459">
        <v>0</v>
      </c>
      <c r="L95" s="459">
        <v>4994128</v>
      </c>
      <c r="M95" s="484">
        <f t="shared" si="8"/>
        <v>4994128</v>
      </c>
      <c r="N95" s="481"/>
      <c r="O95" s="462"/>
      <c r="P95" s="482"/>
    </row>
    <row r="96" spans="2:16" ht="12.5">
      <c r="B96" s="455" t="s">
        <v>594</v>
      </c>
      <c r="C96" s="468"/>
      <c r="D96" s="469"/>
      <c r="E96" s="480" t="s">
        <v>576</v>
      </c>
      <c r="F96" s="465"/>
      <c r="G96" s="465"/>
      <c r="H96" s="465"/>
      <c r="I96" s="465"/>
      <c r="J96" s="456">
        <v>44210</v>
      </c>
      <c r="K96" s="459">
        <v>0</v>
      </c>
      <c r="L96" s="459">
        <v>9340625</v>
      </c>
      <c r="M96" s="484">
        <f t="shared" si="8"/>
        <v>9340625</v>
      </c>
      <c r="N96" s="481"/>
      <c r="O96" s="462"/>
      <c r="P96" s="482"/>
    </row>
    <row r="97" spans="2:16" ht="12.5">
      <c r="B97" s="455" t="s">
        <v>594</v>
      </c>
      <c r="C97" s="468"/>
      <c r="D97" s="469"/>
      <c r="E97" s="480" t="s">
        <v>576</v>
      </c>
      <c r="F97" s="465"/>
      <c r="G97" s="465"/>
      <c r="H97" s="465"/>
      <c r="I97" s="465"/>
      <c r="J97" s="456">
        <v>44214</v>
      </c>
      <c r="K97" s="459">
        <v>0</v>
      </c>
      <c r="L97" s="459">
        <v>9687500</v>
      </c>
      <c r="M97" s="484">
        <f t="shared" si="8"/>
        <v>9687500</v>
      </c>
      <c r="N97" s="481"/>
      <c r="O97" s="462"/>
      <c r="P97" s="482"/>
    </row>
    <row r="98" spans="2:16" ht="12.5">
      <c r="B98" s="455" t="s">
        <v>594</v>
      </c>
      <c r="C98" s="468"/>
      <c r="D98" s="469"/>
      <c r="E98" s="480" t="s">
        <v>576</v>
      </c>
      <c r="F98" s="465"/>
      <c r="G98" s="465"/>
      <c r="H98" s="465"/>
      <c r="I98" s="465"/>
      <c r="J98" s="456">
        <v>44217</v>
      </c>
      <c r="K98" s="459">
        <v>0</v>
      </c>
      <c r="L98" s="459">
        <v>7702867</v>
      </c>
      <c r="M98" s="484">
        <f t="shared" si="8"/>
        <v>7702867</v>
      </c>
      <c r="N98" s="481"/>
      <c r="O98" s="462"/>
      <c r="P98" s="482"/>
    </row>
    <row r="99" spans="2:16" ht="12.5">
      <c r="B99" s="455" t="s">
        <v>594</v>
      </c>
      <c r="C99" s="468"/>
      <c r="D99" s="469"/>
      <c r="E99" s="480" t="s">
        <v>576</v>
      </c>
      <c r="F99" s="465"/>
      <c r="G99" s="465"/>
      <c r="H99" s="465"/>
      <c r="I99" s="465"/>
      <c r="J99" s="456">
        <v>44218</v>
      </c>
      <c r="K99" s="459">
        <v>0</v>
      </c>
      <c r="L99" s="459">
        <v>8932500</v>
      </c>
      <c r="M99" s="484">
        <f t="shared" si="8"/>
        <v>8932500</v>
      </c>
      <c r="N99" s="481"/>
      <c r="O99" s="462"/>
      <c r="P99" s="482"/>
    </row>
    <row r="100" spans="2:16" ht="12.5">
      <c r="B100" s="455" t="s">
        <v>594</v>
      </c>
      <c r="C100" s="468"/>
      <c r="D100" s="469"/>
      <c r="E100" s="480" t="s">
        <v>576</v>
      </c>
      <c r="F100" s="465"/>
      <c r="G100" s="465"/>
      <c r="H100" s="465"/>
      <c r="I100" s="465"/>
      <c r="J100" s="456">
        <v>44221</v>
      </c>
      <c r="K100" s="459">
        <v>0</v>
      </c>
      <c r="L100" s="459">
        <v>2684647</v>
      </c>
      <c r="M100" s="484">
        <f t="shared" si="8"/>
        <v>2684647</v>
      </c>
      <c r="N100" s="481"/>
      <c r="O100" s="462"/>
      <c r="P100" s="482"/>
    </row>
    <row r="101" spans="2:16" ht="12.5">
      <c r="B101" s="455" t="s">
        <v>594</v>
      </c>
      <c r="C101" s="468"/>
      <c r="D101" s="469"/>
      <c r="E101" s="480" t="s">
        <v>576</v>
      </c>
      <c r="F101" s="465"/>
      <c r="G101" s="465"/>
      <c r="H101" s="465"/>
      <c r="I101" s="465"/>
      <c r="J101" s="456">
        <v>44221</v>
      </c>
      <c r="K101" s="459">
        <v>0</v>
      </c>
      <c r="L101" s="459">
        <v>3456391</v>
      </c>
      <c r="M101" s="484">
        <f t="shared" si="8"/>
        <v>3456391</v>
      </c>
      <c r="N101" s="481"/>
      <c r="O101" s="462"/>
      <c r="P101" s="482"/>
    </row>
    <row r="102" spans="2:16" ht="12.5">
      <c r="B102" s="455" t="s">
        <v>594</v>
      </c>
      <c r="C102" s="468"/>
      <c r="D102" s="469"/>
      <c r="E102" s="480" t="s">
        <v>576</v>
      </c>
      <c r="F102" s="465"/>
      <c r="G102" s="465"/>
      <c r="H102" s="465"/>
      <c r="I102" s="465"/>
      <c r="J102" s="456">
        <v>44221</v>
      </c>
      <c r="K102" s="459">
        <v>0</v>
      </c>
      <c r="L102" s="459">
        <v>2230999</v>
      </c>
      <c r="M102" s="484">
        <f t="shared" si="8"/>
        <v>2230999</v>
      </c>
      <c r="N102" s="481"/>
      <c r="O102" s="462"/>
      <c r="P102" s="482"/>
    </row>
    <row r="103" spans="2:16" ht="12.5">
      <c r="B103" s="455" t="s">
        <v>594</v>
      </c>
      <c r="C103" s="468"/>
      <c r="D103" s="469"/>
      <c r="E103" s="480" t="s">
        <v>576</v>
      </c>
      <c r="F103" s="465"/>
      <c r="G103" s="465"/>
      <c r="H103" s="465"/>
      <c r="I103" s="465"/>
      <c r="J103" s="456">
        <v>44222</v>
      </c>
      <c r="K103" s="459">
        <v>0</v>
      </c>
      <c r="L103" s="459">
        <v>7347870</v>
      </c>
      <c r="M103" s="484">
        <f t="shared" si="8"/>
        <v>7347870</v>
      </c>
      <c r="N103" s="481"/>
      <c r="O103" s="462"/>
      <c r="P103" s="482"/>
    </row>
    <row r="104" spans="2:16" ht="12.5">
      <c r="B104" s="455" t="s">
        <v>594</v>
      </c>
      <c r="C104" s="468"/>
      <c r="D104" s="469"/>
      <c r="E104" s="480" t="s">
        <v>576</v>
      </c>
      <c r="F104" s="465"/>
      <c r="G104" s="465"/>
      <c r="H104" s="465"/>
      <c r="I104" s="465"/>
      <c r="J104" s="456">
        <v>44225</v>
      </c>
      <c r="K104" s="459">
        <v>0</v>
      </c>
      <c r="L104" s="459">
        <v>4937500</v>
      </c>
      <c r="M104" s="484">
        <f t="shared" si="8"/>
        <v>4937500</v>
      </c>
      <c r="N104" s="481"/>
      <c r="O104" s="462"/>
      <c r="P104" s="482"/>
    </row>
    <row r="105" spans="2:16" ht="12.5">
      <c r="B105" s="943" t="s">
        <v>595</v>
      </c>
      <c r="C105" s="944"/>
      <c r="D105" s="944"/>
      <c r="E105" s="945"/>
      <c r="F105" s="946">
        <f>SUM(F86:F104)</f>
        <v>1008866000</v>
      </c>
      <c r="G105" s="946">
        <f t="shared" ref="G105:I105" si="9">SUM(G86:G104)</f>
        <v>1008075856.6966655</v>
      </c>
      <c r="H105" s="946">
        <f t="shared" si="9"/>
        <v>790143.30333444476</v>
      </c>
      <c r="I105" s="946">
        <f t="shared" si="9"/>
        <v>1008866000</v>
      </c>
      <c r="J105" s="946"/>
      <c r="K105" s="946">
        <f>SUM(K86:K104)</f>
        <v>0</v>
      </c>
      <c r="L105" s="946">
        <f>SUM(L86:L104)</f>
        <v>71977561</v>
      </c>
      <c r="M105" s="946">
        <f>SUM(M86:M104)</f>
        <v>71977561</v>
      </c>
      <c r="N105" s="942">
        <f>+G105-K105</f>
        <v>1008075856.6966655</v>
      </c>
      <c r="O105" s="942"/>
      <c r="P105" s="942">
        <f>+N105-O105</f>
        <v>1008075856.6966655</v>
      </c>
    </row>
    <row r="106" spans="2:16">
      <c r="B106" s="455" t="s">
        <v>580</v>
      </c>
      <c r="C106" s="456">
        <v>44229</v>
      </c>
      <c r="D106" s="457">
        <v>2160</v>
      </c>
      <c r="E106" s="458" t="s">
        <v>576</v>
      </c>
      <c r="F106" s="459">
        <f t="shared" ref="F106:F125" si="10">G106+H106</f>
        <v>242465000</v>
      </c>
      <c r="G106" s="459">
        <v>242465000</v>
      </c>
      <c r="H106" s="459">
        <v>0</v>
      </c>
      <c r="I106" s="459">
        <f t="shared" ref="I106:I125" si="11">+G106+H106</f>
        <v>242465000</v>
      </c>
      <c r="J106" s="460"/>
      <c r="K106" s="460"/>
      <c r="L106" s="460"/>
      <c r="M106" s="459"/>
      <c r="N106" s="461"/>
      <c r="O106" s="462"/>
      <c r="P106" s="462"/>
    </row>
    <row r="107" spans="2:16">
      <c r="B107" s="455" t="s">
        <v>577</v>
      </c>
      <c r="C107" s="456">
        <v>44229</v>
      </c>
      <c r="D107" s="457">
        <v>2160</v>
      </c>
      <c r="E107" s="458" t="s">
        <v>576</v>
      </c>
      <c r="F107" s="459">
        <f t="shared" si="10"/>
        <v>63013000</v>
      </c>
      <c r="G107" s="459">
        <v>63013000</v>
      </c>
      <c r="H107" s="459">
        <v>0</v>
      </c>
      <c r="I107" s="459">
        <f t="shared" si="11"/>
        <v>63013000</v>
      </c>
      <c r="J107" s="460"/>
      <c r="K107" s="460"/>
      <c r="L107" s="460"/>
      <c r="M107" s="459"/>
      <c r="N107" s="461"/>
      <c r="O107" s="462"/>
      <c r="P107" s="462"/>
    </row>
    <row r="108" spans="2:16">
      <c r="B108" s="455" t="s">
        <v>575</v>
      </c>
      <c r="C108" s="456">
        <v>44229</v>
      </c>
      <c r="D108" s="457">
        <v>2160</v>
      </c>
      <c r="E108" s="458" t="s">
        <v>576</v>
      </c>
      <c r="F108" s="459">
        <f t="shared" si="10"/>
        <v>94522000</v>
      </c>
      <c r="G108" s="459">
        <v>94522000</v>
      </c>
      <c r="H108" s="459">
        <v>0</v>
      </c>
      <c r="I108" s="459">
        <f t="shared" si="11"/>
        <v>94522000</v>
      </c>
      <c r="J108" s="460"/>
      <c r="K108" s="460"/>
      <c r="L108" s="460"/>
      <c r="M108" s="459"/>
      <c r="N108" s="461"/>
      <c r="O108" s="462"/>
      <c r="P108" s="462"/>
    </row>
    <row r="109" spans="2:16">
      <c r="B109" s="455" t="s">
        <v>577</v>
      </c>
      <c r="C109" s="456">
        <v>44232</v>
      </c>
      <c r="D109" s="457">
        <v>180</v>
      </c>
      <c r="E109" s="458" t="s">
        <v>579</v>
      </c>
      <c r="F109" s="459">
        <f t="shared" si="10"/>
        <v>49999000</v>
      </c>
      <c r="G109" s="459">
        <v>49750248.75621891</v>
      </c>
      <c r="H109" s="459">
        <v>248751.24378108978</v>
      </c>
      <c r="I109" s="459">
        <f t="shared" si="11"/>
        <v>49999000</v>
      </c>
      <c r="J109" s="460"/>
      <c r="K109" s="460"/>
      <c r="L109" s="460"/>
      <c r="M109" s="459"/>
      <c r="N109" s="461"/>
      <c r="O109" s="462"/>
      <c r="P109" s="462"/>
    </row>
    <row r="110" spans="2:16">
      <c r="B110" s="455" t="s">
        <v>575</v>
      </c>
      <c r="C110" s="456">
        <v>44232</v>
      </c>
      <c r="D110" s="457">
        <v>180</v>
      </c>
      <c r="E110" s="458" t="s">
        <v>579</v>
      </c>
      <c r="F110" s="459">
        <f t="shared" si="10"/>
        <v>49999000</v>
      </c>
      <c r="G110" s="459">
        <v>49750248.75621891</v>
      </c>
      <c r="H110" s="459">
        <v>248751.24378108978</v>
      </c>
      <c r="I110" s="459">
        <f t="shared" si="11"/>
        <v>49999000</v>
      </c>
      <c r="J110" s="460"/>
      <c r="K110" s="460"/>
      <c r="L110" s="460"/>
      <c r="M110" s="459"/>
      <c r="N110" s="461"/>
      <c r="O110" s="462"/>
      <c r="P110" s="462"/>
    </row>
    <row r="111" spans="2:16">
      <c r="B111" s="455" t="s">
        <v>580</v>
      </c>
      <c r="C111" s="456">
        <v>44232</v>
      </c>
      <c r="D111" s="457">
        <v>180</v>
      </c>
      <c r="E111" s="458" t="s">
        <v>579</v>
      </c>
      <c r="F111" s="459">
        <f t="shared" si="10"/>
        <v>49999000</v>
      </c>
      <c r="G111" s="459">
        <v>49750248.75621891</v>
      </c>
      <c r="H111" s="459">
        <v>248751.24378108978</v>
      </c>
      <c r="I111" s="459">
        <f t="shared" si="11"/>
        <v>49999000</v>
      </c>
      <c r="J111" s="460"/>
      <c r="K111" s="460"/>
      <c r="L111" s="460"/>
      <c r="M111" s="459"/>
      <c r="N111" s="461"/>
      <c r="O111" s="462"/>
      <c r="P111" s="462"/>
    </row>
    <row r="112" spans="2:16">
      <c r="B112" s="455" t="s">
        <v>581</v>
      </c>
      <c r="C112" s="456">
        <v>44232</v>
      </c>
      <c r="D112" s="457">
        <v>180</v>
      </c>
      <c r="E112" s="458" t="s">
        <v>579</v>
      </c>
      <c r="F112" s="459">
        <f t="shared" si="10"/>
        <v>49999000</v>
      </c>
      <c r="G112" s="459">
        <v>49750248.75621891</v>
      </c>
      <c r="H112" s="459">
        <v>248751.24378108978</v>
      </c>
      <c r="I112" s="459">
        <f t="shared" si="11"/>
        <v>49999000</v>
      </c>
      <c r="J112" s="460"/>
      <c r="K112" s="459"/>
      <c r="L112" s="459"/>
      <c r="M112" s="459"/>
      <c r="N112" s="461"/>
      <c r="O112" s="462"/>
      <c r="P112" s="462"/>
    </row>
    <row r="113" spans="2:16">
      <c r="B113" s="455" t="s">
        <v>578</v>
      </c>
      <c r="C113" s="456">
        <v>44232</v>
      </c>
      <c r="D113" s="457">
        <v>180</v>
      </c>
      <c r="E113" s="458" t="s">
        <v>579</v>
      </c>
      <c r="F113" s="459">
        <f t="shared" si="10"/>
        <v>49999000</v>
      </c>
      <c r="G113" s="459">
        <v>49750248.75621891</v>
      </c>
      <c r="H113" s="459">
        <v>248751.24378108978</v>
      </c>
      <c r="I113" s="459">
        <f t="shared" si="11"/>
        <v>49999000</v>
      </c>
      <c r="J113" s="460"/>
      <c r="K113" s="459"/>
      <c r="L113" s="459"/>
      <c r="M113" s="459"/>
      <c r="N113" s="461"/>
      <c r="O113" s="462"/>
      <c r="P113" s="462"/>
    </row>
    <row r="114" spans="2:16">
      <c r="B114" s="455" t="s">
        <v>575</v>
      </c>
      <c r="C114" s="456">
        <v>44236</v>
      </c>
      <c r="D114" s="457">
        <v>2520</v>
      </c>
      <c r="E114" s="458" t="s">
        <v>576</v>
      </c>
      <c r="F114" s="459">
        <f t="shared" si="10"/>
        <v>239888000</v>
      </c>
      <c r="G114" s="459">
        <v>239888000</v>
      </c>
      <c r="H114" s="459">
        <v>0</v>
      </c>
      <c r="I114" s="459">
        <f t="shared" si="11"/>
        <v>239888000</v>
      </c>
      <c r="J114" s="460"/>
      <c r="K114" s="459"/>
      <c r="L114" s="459"/>
      <c r="M114" s="459"/>
      <c r="N114" s="461"/>
      <c r="O114" s="462"/>
      <c r="P114" s="462"/>
    </row>
    <row r="115" spans="2:16">
      <c r="B115" s="455" t="s">
        <v>577</v>
      </c>
      <c r="C115" s="456">
        <v>44236</v>
      </c>
      <c r="D115" s="457">
        <v>2520</v>
      </c>
      <c r="E115" s="458" t="s">
        <v>576</v>
      </c>
      <c r="F115" s="459">
        <f t="shared" si="10"/>
        <v>110112000</v>
      </c>
      <c r="G115" s="459">
        <v>110112000</v>
      </c>
      <c r="H115" s="459">
        <v>0</v>
      </c>
      <c r="I115" s="459">
        <f t="shared" si="11"/>
        <v>110112000</v>
      </c>
      <c r="J115" s="460"/>
      <c r="K115" s="459"/>
      <c r="L115" s="459"/>
      <c r="M115" s="459"/>
      <c r="N115" s="461"/>
      <c r="O115" s="462"/>
      <c r="P115" s="462"/>
    </row>
    <row r="116" spans="2:16">
      <c r="B116" s="455" t="s">
        <v>581</v>
      </c>
      <c r="C116" s="456">
        <v>44239</v>
      </c>
      <c r="D116" s="457">
        <v>210</v>
      </c>
      <c r="E116" s="458" t="s">
        <v>579</v>
      </c>
      <c r="F116" s="459">
        <f t="shared" si="10"/>
        <v>70000000</v>
      </c>
      <c r="G116" s="459">
        <v>69594034.797017395</v>
      </c>
      <c r="H116" s="459">
        <v>405965.2029826045</v>
      </c>
      <c r="I116" s="459">
        <f t="shared" si="11"/>
        <v>70000000</v>
      </c>
      <c r="J116" s="460"/>
      <c r="K116" s="459"/>
      <c r="L116" s="459"/>
      <c r="M116" s="459"/>
      <c r="N116" s="461"/>
      <c r="O116" s="462"/>
      <c r="P116" s="462"/>
    </row>
    <row r="117" spans="2:16">
      <c r="B117" s="455" t="s">
        <v>575</v>
      </c>
      <c r="C117" s="456">
        <v>44239</v>
      </c>
      <c r="D117" s="457">
        <v>210</v>
      </c>
      <c r="E117" s="458" t="s">
        <v>579</v>
      </c>
      <c r="F117" s="459">
        <f t="shared" si="10"/>
        <v>70000000</v>
      </c>
      <c r="G117" s="459">
        <v>69594034.797017395</v>
      </c>
      <c r="H117" s="459">
        <v>405965.2029826045</v>
      </c>
      <c r="I117" s="459">
        <f t="shared" si="11"/>
        <v>70000000</v>
      </c>
      <c r="J117" s="460"/>
      <c r="K117" s="459"/>
      <c r="L117" s="459"/>
      <c r="M117" s="459"/>
      <c r="N117" s="461"/>
      <c r="O117" s="462"/>
      <c r="P117" s="462"/>
    </row>
    <row r="118" spans="2:16">
      <c r="B118" s="455" t="s">
        <v>577</v>
      </c>
      <c r="C118" s="456">
        <v>44239</v>
      </c>
      <c r="D118" s="457">
        <v>210</v>
      </c>
      <c r="E118" s="458" t="s">
        <v>579</v>
      </c>
      <c r="F118" s="459">
        <f t="shared" si="10"/>
        <v>70000000</v>
      </c>
      <c r="G118" s="459">
        <v>69594034.797017395</v>
      </c>
      <c r="H118" s="459">
        <v>405965.2029826045</v>
      </c>
      <c r="I118" s="459">
        <f t="shared" si="11"/>
        <v>70000000</v>
      </c>
      <c r="J118" s="460"/>
      <c r="K118" s="459"/>
      <c r="L118" s="459"/>
      <c r="M118" s="459"/>
      <c r="N118" s="461"/>
      <c r="O118" s="462"/>
      <c r="P118" s="462"/>
    </row>
    <row r="119" spans="2:16">
      <c r="B119" s="455" t="s">
        <v>580</v>
      </c>
      <c r="C119" s="456">
        <v>44239</v>
      </c>
      <c r="D119" s="457">
        <v>210</v>
      </c>
      <c r="E119" s="458" t="s">
        <v>579</v>
      </c>
      <c r="F119" s="459">
        <f t="shared" si="10"/>
        <v>70000000</v>
      </c>
      <c r="G119" s="459">
        <v>69594034.797017395</v>
      </c>
      <c r="H119" s="459">
        <v>405965.2029826045</v>
      </c>
      <c r="I119" s="459">
        <f t="shared" si="11"/>
        <v>70000000</v>
      </c>
      <c r="J119" s="460"/>
      <c r="K119" s="459"/>
      <c r="L119" s="459"/>
      <c r="M119" s="459"/>
      <c r="N119" s="461"/>
      <c r="O119" s="462"/>
      <c r="P119" s="462"/>
    </row>
    <row r="120" spans="2:16">
      <c r="B120" s="455" t="s">
        <v>575</v>
      </c>
      <c r="C120" s="456">
        <v>44243</v>
      </c>
      <c r="D120" s="457">
        <v>3240</v>
      </c>
      <c r="E120" s="458" t="s">
        <v>576</v>
      </c>
      <c r="F120" s="459">
        <f t="shared" si="10"/>
        <v>240000000</v>
      </c>
      <c r="G120" s="459">
        <v>240000000</v>
      </c>
      <c r="H120" s="459">
        <v>0</v>
      </c>
      <c r="I120" s="459">
        <f t="shared" si="11"/>
        <v>240000000</v>
      </c>
      <c r="J120" s="460"/>
      <c r="K120" s="459"/>
      <c r="L120" s="459"/>
      <c r="M120" s="459"/>
      <c r="N120" s="461"/>
      <c r="O120" s="462"/>
      <c r="P120" s="462"/>
    </row>
    <row r="121" spans="2:16">
      <c r="B121" s="455" t="s">
        <v>578</v>
      </c>
      <c r="C121" s="456">
        <v>44250</v>
      </c>
      <c r="D121" s="457">
        <v>270</v>
      </c>
      <c r="E121" s="458" t="s">
        <v>579</v>
      </c>
      <c r="F121" s="459">
        <f t="shared" si="10"/>
        <v>69567000</v>
      </c>
      <c r="G121" s="459">
        <v>69049131.513647646</v>
      </c>
      <c r="H121" s="459">
        <v>517868.48635235429</v>
      </c>
      <c r="I121" s="459">
        <f t="shared" si="11"/>
        <v>69567000</v>
      </c>
      <c r="J121" s="460"/>
      <c r="K121" s="459"/>
      <c r="L121" s="459"/>
      <c r="M121" s="459"/>
      <c r="N121" s="461"/>
      <c r="O121" s="462"/>
      <c r="P121" s="462"/>
    </row>
    <row r="122" spans="2:16">
      <c r="B122" s="455" t="s">
        <v>581</v>
      </c>
      <c r="C122" s="456">
        <v>44250</v>
      </c>
      <c r="D122" s="457">
        <v>270</v>
      </c>
      <c r="E122" s="458" t="s">
        <v>579</v>
      </c>
      <c r="F122" s="459">
        <f t="shared" si="10"/>
        <v>69565000</v>
      </c>
      <c r="G122" s="459">
        <v>69047146.401985109</v>
      </c>
      <c r="H122" s="459">
        <v>517853.59801489115</v>
      </c>
      <c r="I122" s="459">
        <f t="shared" si="11"/>
        <v>69565000</v>
      </c>
      <c r="J122" s="460"/>
      <c r="K122" s="459"/>
      <c r="L122" s="459"/>
      <c r="M122" s="459"/>
      <c r="N122" s="461"/>
      <c r="O122" s="462"/>
      <c r="P122" s="462"/>
    </row>
    <row r="123" spans="2:16">
      <c r="B123" s="455" t="s">
        <v>577</v>
      </c>
      <c r="C123" s="456">
        <v>44250</v>
      </c>
      <c r="D123" s="457">
        <v>270</v>
      </c>
      <c r="E123" s="458" t="s">
        <v>579</v>
      </c>
      <c r="F123" s="459">
        <f t="shared" si="10"/>
        <v>69565000</v>
      </c>
      <c r="G123" s="459">
        <v>69047146.401985109</v>
      </c>
      <c r="H123" s="459">
        <v>517853.59801489115</v>
      </c>
      <c r="I123" s="459">
        <f t="shared" si="11"/>
        <v>69565000</v>
      </c>
      <c r="J123" s="460"/>
      <c r="K123" s="459"/>
      <c r="L123" s="459"/>
      <c r="M123" s="459"/>
      <c r="N123" s="461"/>
      <c r="O123" s="462"/>
      <c r="P123" s="462"/>
    </row>
    <row r="124" spans="2:16">
      <c r="B124" s="455" t="s">
        <v>580</v>
      </c>
      <c r="C124" s="456">
        <v>44250</v>
      </c>
      <c r="D124" s="457">
        <v>270</v>
      </c>
      <c r="E124" s="458" t="s">
        <v>579</v>
      </c>
      <c r="F124" s="459">
        <f t="shared" si="10"/>
        <v>69565000</v>
      </c>
      <c r="G124" s="459">
        <v>69047146.401985109</v>
      </c>
      <c r="H124" s="459">
        <v>517853.59801489115</v>
      </c>
      <c r="I124" s="459">
        <f t="shared" si="11"/>
        <v>69565000</v>
      </c>
      <c r="J124" s="460"/>
      <c r="K124" s="459"/>
      <c r="L124" s="459"/>
      <c r="M124" s="459"/>
      <c r="N124" s="461"/>
      <c r="O124" s="462"/>
      <c r="P124" s="462"/>
    </row>
    <row r="125" spans="2:16">
      <c r="B125" s="455" t="s">
        <v>575</v>
      </c>
      <c r="C125" s="456">
        <v>44250</v>
      </c>
      <c r="D125" s="457">
        <v>270</v>
      </c>
      <c r="E125" s="458" t="s">
        <v>579</v>
      </c>
      <c r="F125" s="459">
        <f t="shared" si="10"/>
        <v>52173000</v>
      </c>
      <c r="G125" s="459">
        <v>51784615.384615384</v>
      </c>
      <c r="H125" s="459">
        <v>388384.61538461596</v>
      </c>
      <c r="I125" s="459">
        <f t="shared" si="11"/>
        <v>52173000</v>
      </c>
      <c r="J125" s="460"/>
      <c r="K125" s="459"/>
      <c r="L125" s="459"/>
      <c r="M125" s="459"/>
      <c r="N125" s="461"/>
      <c r="O125" s="462"/>
      <c r="P125" s="462"/>
    </row>
    <row r="126" spans="2:16">
      <c r="B126" s="455" t="s">
        <v>582</v>
      </c>
      <c r="C126" s="456"/>
      <c r="D126" s="457"/>
      <c r="E126" s="458" t="s">
        <v>576</v>
      </c>
      <c r="F126" s="459"/>
      <c r="G126" s="459"/>
      <c r="H126" s="459"/>
      <c r="I126" s="459"/>
      <c r="J126" s="456">
        <v>44228</v>
      </c>
      <c r="K126" s="459">
        <v>0</v>
      </c>
      <c r="L126" s="459">
        <v>190625</v>
      </c>
      <c r="M126" s="459">
        <f t="shared" ref="M126:M183" si="12">+K126+L126</f>
        <v>190625</v>
      </c>
      <c r="N126" s="461"/>
      <c r="O126" s="462"/>
      <c r="P126" s="462"/>
    </row>
    <row r="127" spans="2:16">
      <c r="B127" s="455" t="s">
        <v>575</v>
      </c>
      <c r="C127" s="456"/>
      <c r="D127" s="457"/>
      <c r="E127" s="458" t="s">
        <v>576</v>
      </c>
      <c r="F127" s="459"/>
      <c r="G127" s="459"/>
      <c r="H127" s="459"/>
      <c r="I127" s="459"/>
      <c r="J127" s="456">
        <v>44228</v>
      </c>
      <c r="K127" s="459">
        <v>0</v>
      </c>
      <c r="L127" s="459">
        <v>7625000</v>
      </c>
      <c r="M127" s="459">
        <f t="shared" si="12"/>
        <v>7625000</v>
      </c>
      <c r="N127" s="461"/>
      <c r="O127" s="462"/>
      <c r="P127" s="462"/>
    </row>
    <row r="128" spans="2:16">
      <c r="B128" s="455" t="s">
        <v>575</v>
      </c>
      <c r="C128" s="456"/>
      <c r="D128" s="457"/>
      <c r="E128" s="458" t="s">
        <v>576</v>
      </c>
      <c r="F128" s="459"/>
      <c r="G128" s="459"/>
      <c r="H128" s="459"/>
      <c r="I128" s="459"/>
      <c r="J128" s="456">
        <v>44229</v>
      </c>
      <c r="K128" s="459">
        <v>0</v>
      </c>
      <c r="L128" s="459">
        <v>4477500</v>
      </c>
      <c r="M128" s="459">
        <f t="shared" si="12"/>
        <v>4477500</v>
      </c>
      <c r="N128" s="461"/>
      <c r="O128" s="462"/>
      <c r="P128" s="462"/>
    </row>
    <row r="129" spans="2:16">
      <c r="B129" s="455" t="s">
        <v>583</v>
      </c>
      <c r="C129" s="456"/>
      <c r="D129" s="457"/>
      <c r="E129" s="458" t="s">
        <v>576</v>
      </c>
      <c r="F129" s="459"/>
      <c r="G129" s="459"/>
      <c r="H129" s="459"/>
      <c r="I129" s="459"/>
      <c r="J129" s="456">
        <v>44230</v>
      </c>
      <c r="K129" s="459">
        <v>0</v>
      </c>
      <c r="L129" s="459">
        <v>139063</v>
      </c>
      <c r="M129" s="459">
        <f t="shared" si="12"/>
        <v>139063</v>
      </c>
      <c r="N129" s="461"/>
      <c r="O129" s="462"/>
      <c r="P129" s="462"/>
    </row>
    <row r="130" spans="2:16">
      <c r="B130" s="455" t="s">
        <v>577</v>
      </c>
      <c r="C130" s="456"/>
      <c r="D130" s="457"/>
      <c r="E130" s="458" t="s">
        <v>576</v>
      </c>
      <c r="F130" s="459"/>
      <c r="G130" s="459"/>
      <c r="H130" s="459"/>
      <c r="I130" s="459"/>
      <c r="J130" s="456">
        <v>44230</v>
      </c>
      <c r="K130" s="459">
        <v>0</v>
      </c>
      <c r="L130" s="459">
        <v>4102344</v>
      </c>
      <c r="M130" s="459">
        <f t="shared" si="12"/>
        <v>4102344</v>
      </c>
      <c r="N130" s="461"/>
      <c r="O130" s="462"/>
      <c r="P130" s="462"/>
    </row>
    <row r="131" spans="2:16">
      <c r="B131" s="455" t="s">
        <v>575</v>
      </c>
      <c r="C131" s="456"/>
      <c r="D131" s="457"/>
      <c r="E131" s="458" t="s">
        <v>576</v>
      </c>
      <c r="F131" s="459"/>
      <c r="G131" s="459"/>
      <c r="H131" s="459"/>
      <c r="I131" s="459"/>
      <c r="J131" s="456">
        <v>44230</v>
      </c>
      <c r="K131" s="459">
        <v>0</v>
      </c>
      <c r="L131" s="459">
        <v>4102344</v>
      </c>
      <c r="M131" s="459">
        <f t="shared" si="12"/>
        <v>4102344</v>
      </c>
      <c r="N131" s="461"/>
      <c r="O131" s="462"/>
      <c r="P131" s="462"/>
    </row>
    <row r="132" spans="2:16">
      <c r="B132" s="455" t="s">
        <v>586</v>
      </c>
      <c r="C132" s="456"/>
      <c r="D132" s="457"/>
      <c r="E132" s="458" t="s">
        <v>576</v>
      </c>
      <c r="F132" s="459"/>
      <c r="G132" s="459"/>
      <c r="H132" s="459"/>
      <c r="I132" s="459"/>
      <c r="J132" s="456">
        <v>44230</v>
      </c>
      <c r="K132" s="459">
        <v>0</v>
      </c>
      <c r="L132" s="459">
        <v>236406</v>
      </c>
      <c r="M132" s="459">
        <f t="shared" si="12"/>
        <v>236406</v>
      </c>
      <c r="N132" s="461"/>
      <c r="O132" s="462"/>
      <c r="P132" s="462"/>
    </row>
    <row r="133" spans="2:16">
      <c r="B133" s="455" t="s">
        <v>582</v>
      </c>
      <c r="C133" s="456"/>
      <c r="D133" s="457"/>
      <c r="E133" s="458" t="s">
        <v>576</v>
      </c>
      <c r="F133" s="459"/>
      <c r="G133" s="459"/>
      <c r="H133" s="459"/>
      <c r="I133" s="459"/>
      <c r="J133" s="456">
        <v>44230</v>
      </c>
      <c r="K133" s="459">
        <v>0</v>
      </c>
      <c r="L133" s="459">
        <v>21416</v>
      </c>
      <c r="M133" s="459">
        <f t="shared" si="12"/>
        <v>21416</v>
      </c>
      <c r="N133" s="461"/>
      <c r="O133" s="462"/>
      <c r="P133" s="462"/>
    </row>
    <row r="134" spans="2:16">
      <c r="B134" s="455" t="s">
        <v>582</v>
      </c>
      <c r="C134" s="456"/>
      <c r="D134" s="457"/>
      <c r="E134" s="458" t="s">
        <v>576</v>
      </c>
      <c r="F134" s="459"/>
      <c r="G134" s="459"/>
      <c r="H134" s="459"/>
      <c r="I134" s="459"/>
      <c r="J134" s="456">
        <v>44230</v>
      </c>
      <c r="K134" s="459">
        <v>0</v>
      </c>
      <c r="L134" s="459">
        <v>139063</v>
      </c>
      <c r="M134" s="459">
        <f t="shared" si="12"/>
        <v>139063</v>
      </c>
      <c r="N134" s="461"/>
      <c r="O134" s="462"/>
      <c r="P134" s="462"/>
    </row>
    <row r="135" spans="2:16">
      <c r="B135" s="455" t="s">
        <v>584</v>
      </c>
      <c r="C135" s="456"/>
      <c r="D135" s="457"/>
      <c r="E135" s="458" t="s">
        <v>576</v>
      </c>
      <c r="F135" s="459"/>
      <c r="G135" s="459"/>
      <c r="H135" s="459"/>
      <c r="I135" s="459"/>
      <c r="J135" s="456">
        <v>44232</v>
      </c>
      <c r="K135" s="459">
        <v>0</v>
      </c>
      <c r="L135" s="459">
        <v>1952025</v>
      </c>
      <c r="M135" s="459">
        <f t="shared" si="12"/>
        <v>1952025</v>
      </c>
      <c r="N135" s="461"/>
      <c r="O135" s="462"/>
      <c r="P135" s="462"/>
    </row>
    <row r="136" spans="2:16">
      <c r="B136" s="455" t="s">
        <v>575</v>
      </c>
      <c r="C136" s="456"/>
      <c r="D136" s="457"/>
      <c r="E136" s="458" t="s">
        <v>576</v>
      </c>
      <c r="F136" s="459"/>
      <c r="G136" s="459"/>
      <c r="H136" s="459"/>
      <c r="I136" s="459"/>
      <c r="J136" s="456">
        <v>44232</v>
      </c>
      <c r="K136" s="459">
        <v>0</v>
      </c>
      <c r="L136" s="459">
        <v>3961500</v>
      </c>
      <c r="M136" s="459">
        <f t="shared" si="12"/>
        <v>3961500</v>
      </c>
      <c r="N136" s="461"/>
      <c r="O136" s="462"/>
      <c r="P136" s="462"/>
    </row>
    <row r="137" spans="2:16">
      <c r="B137" s="455" t="s">
        <v>585</v>
      </c>
      <c r="C137" s="456"/>
      <c r="D137" s="457"/>
      <c r="E137" s="458" t="s">
        <v>576</v>
      </c>
      <c r="F137" s="459"/>
      <c r="G137" s="459"/>
      <c r="H137" s="459"/>
      <c r="I137" s="459"/>
      <c r="J137" s="456">
        <v>44235</v>
      </c>
      <c r="K137" s="459">
        <v>0</v>
      </c>
      <c r="L137" s="459">
        <v>1887735</v>
      </c>
      <c r="M137" s="459">
        <f t="shared" si="12"/>
        <v>1887735</v>
      </c>
      <c r="N137" s="461"/>
      <c r="O137" s="462"/>
      <c r="P137" s="462"/>
    </row>
    <row r="138" spans="2:16">
      <c r="B138" s="455" t="s">
        <v>577</v>
      </c>
      <c r="C138" s="456"/>
      <c r="D138" s="457"/>
      <c r="E138" s="458" t="s">
        <v>576</v>
      </c>
      <c r="F138" s="459"/>
      <c r="G138" s="459"/>
      <c r="H138" s="459"/>
      <c r="I138" s="459"/>
      <c r="J138" s="456">
        <v>44235</v>
      </c>
      <c r="K138" s="459">
        <v>0</v>
      </c>
      <c r="L138" s="459">
        <v>3167354</v>
      </c>
      <c r="M138" s="459">
        <f t="shared" si="12"/>
        <v>3167354</v>
      </c>
      <c r="N138" s="461"/>
      <c r="O138" s="462"/>
      <c r="P138" s="462"/>
    </row>
    <row r="139" spans="2:16">
      <c r="B139" s="455" t="s">
        <v>575</v>
      </c>
      <c r="C139" s="456"/>
      <c r="D139" s="457"/>
      <c r="E139" s="458" t="s">
        <v>576</v>
      </c>
      <c r="F139" s="459"/>
      <c r="G139" s="459"/>
      <c r="H139" s="459"/>
      <c r="I139" s="459"/>
      <c r="J139" s="456">
        <v>44235</v>
      </c>
      <c r="K139" s="459">
        <v>0</v>
      </c>
      <c r="L139" s="459">
        <v>6000000</v>
      </c>
      <c r="M139" s="459">
        <f t="shared" si="12"/>
        <v>6000000</v>
      </c>
      <c r="N139" s="461"/>
      <c r="O139" s="462"/>
      <c r="P139" s="462"/>
    </row>
    <row r="140" spans="2:16">
      <c r="B140" s="455" t="s">
        <v>582</v>
      </c>
      <c r="C140" s="456"/>
      <c r="D140" s="457"/>
      <c r="E140" s="458" t="s">
        <v>576</v>
      </c>
      <c r="F140" s="459"/>
      <c r="G140" s="459"/>
      <c r="H140" s="459"/>
      <c r="I140" s="459"/>
      <c r="J140" s="456">
        <v>44235</v>
      </c>
      <c r="K140" s="459">
        <v>0</v>
      </c>
      <c r="L140" s="459">
        <v>44375</v>
      </c>
      <c r="M140" s="459">
        <f t="shared" si="12"/>
        <v>44375</v>
      </c>
      <c r="N140" s="461"/>
      <c r="O140" s="462"/>
      <c r="P140" s="462"/>
    </row>
    <row r="141" spans="2:16">
      <c r="B141" s="455" t="s">
        <v>577</v>
      </c>
      <c r="C141" s="456"/>
      <c r="D141" s="457"/>
      <c r="E141" s="458" t="s">
        <v>576</v>
      </c>
      <c r="F141" s="459"/>
      <c r="G141" s="459"/>
      <c r="H141" s="459"/>
      <c r="I141" s="459"/>
      <c r="J141" s="456">
        <v>44235</v>
      </c>
      <c r="K141" s="459">
        <v>0</v>
      </c>
      <c r="L141" s="459">
        <v>1359375</v>
      </c>
      <c r="M141" s="459">
        <f t="shared" si="12"/>
        <v>1359375</v>
      </c>
      <c r="N141" s="461"/>
      <c r="O141" s="462"/>
      <c r="P141" s="462"/>
    </row>
    <row r="142" spans="2:16">
      <c r="B142" s="455" t="s">
        <v>580</v>
      </c>
      <c r="C142" s="456"/>
      <c r="D142" s="457"/>
      <c r="E142" s="458" t="s">
        <v>576</v>
      </c>
      <c r="F142" s="459"/>
      <c r="G142" s="459"/>
      <c r="H142" s="459"/>
      <c r="I142" s="459"/>
      <c r="J142" s="456">
        <v>44235</v>
      </c>
      <c r="K142" s="459">
        <v>0</v>
      </c>
      <c r="L142" s="459">
        <v>1887801</v>
      </c>
      <c r="M142" s="459">
        <f t="shared" si="12"/>
        <v>1887801</v>
      </c>
      <c r="N142" s="461"/>
      <c r="O142" s="462"/>
      <c r="P142" s="462"/>
    </row>
    <row r="143" spans="2:16">
      <c r="B143" s="455" t="s">
        <v>575</v>
      </c>
      <c r="C143" s="456"/>
      <c r="D143" s="457"/>
      <c r="E143" s="458" t="s">
        <v>576</v>
      </c>
      <c r="F143" s="459"/>
      <c r="G143" s="459"/>
      <c r="H143" s="459"/>
      <c r="I143" s="459"/>
      <c r="J143" s="456">
        <v>44235</v>
      </c>
      <c r="K143" s="459">
        <v>0</v>
      </c>
      <c r="L143" s="459">
        <v>2039063</v>
      </c>
      <c r="M143" s="459">
        <f t="shared" si="12"/>
        <v>2039063</v>
      </c>
      <c r="N143" s="461"/>
      <c r="O143" s="462"/>
      <c r="P143" s="462"/>
    </row>
    <row r="144" spans="2:16">
      <c r="B144" s="455" t="s">
        <v>582</v>
      </c>
      <c r="C144" s="456"/>
      <c r="D144" s="457"/>
      <c r="E144" s="458" t="s">
        <v>576</v>
      </c>
      <c r="F144" s="459"/>
      <c r="G144" s="459"/>
      <c r="H144" s="459"/>
      <c r="I144" s="459"/>
      <c r="J144" s="456">
        <v>44235</v>
      </c>
      <c r="K144" s="466">
        <v>2000000</v>
      </c>
      <c r="L144" s="466">
        <v>0</v>
      </c>
      <c r="M144" s="466">
        <f t="shared" si="12"/>
        <v>2000000</v>
      </c>
      <c r="N144" s="461"/>
      <c r="O144" s="462"/>
      <c r="P144" s="462"/>
    </row>
    <row r="145" spans="2:16">
      <c r="B145" s="455" t="s">
        <v>582</v>
      </c>
      <c r="C145" s="456"/>
      <c r="D145" s="457"/>
      <c r="E145" s="458" t="s">
        <v>576</v>
      </c>
      <c r="F145" s="459"/>
      <c r="G145" s="459"/>
      <c r="H145" s="459"/>
      <c r="I145" s="459"/>
      <c r="J145" s="456">
        <v>44235</v>
      </c>
      <c r="K145" s="466">
        <v>100000</v>
      </c>
      <c r="L145" s="466">
        <v>0</v>
      </c>
      <c r="M145" s="466">
        <f t="shared" si="12"/>
        <v>100000</v>
      </c>
      <c r="N145" s="461"/>
      <c r="O145" s="462"/>
      <c r="P145" s="462"/>
    </row>
    <row r="146" spans="2:16">
      <c r="B146" s="455" t="s">
        <v>575</v>
      </c>
      <c r="C146" s="456"/>
      <c r="D146" s="457"/>
      <c r="E146" s="458" t="s">
        <v>576</v>
      </c>
      <c r="F146" s="459"/>
      <c r="G146" s="459"/>
      <c r="H146" s="459"/>
      <c r="I146" s="459"/>
      <c r="J146" s="456">
        <v>44235</v>
      </c>
      <c r="K146" s="466">
        <v>200000000</v>
      </c>
      <c r="L146" s="466">
        <v>0</v>
      </c>
      <c r="M146" s="466">
        <f t="shared" si="12"/>
        <v>200000000</v>
      </c>
      <c r="N146" s="461"/>
      <c r="O146" s="462"/>
      <c r="P146" s="462"/>
    </row>
    <row r="147" spans="2:16">
      <c r="B147" s="455" t="s">
        <v>582</v>
      </c>
      <c r="C147" s="456"/>
      <c r="D147" s="457"/>
      <c r="E147" s="458" t="s">
        <v>576</v>
      </c>
      <c r="F147" s="459"/>
      <c r="G147" s="459"/>
      <c r="H147" s="459"/>
      <c r="I147" s="459"/>
      <c r="J147" s="456">
        <v>44235</v>
      </c>
      <c r="K147" s="459">
        <v>0</v>
      </c>
      <c r="L147" s="459">
        <v>60000</v>
      </c>
      <c r="M147" s="459">
        <f t="shared" si="12"/>
        <v>60000</v>
      </c>
      <c r="N147" s="461"/>
      <c r="O147" s="462"/>
      <c r="P147" s="462"/>
    </row>
    <row r="148" spans="2:16">
      <c r="B148" s="455" t="s">
        <v>582</v>
      </c>
      <c r="C148" s="456"/>
      <c r="D148" s="457"/>
      <c r="E148" s="458" t="s">
        <v>576</v>
      </c>
      <c r="F148" s="459"/>
      <c r="G148" s="459"/>
      <c r="H148" s="459"/>
      <c r="I148" s="459"/>
      <c r="J148" s="456">
        <v>44235</v>
      </c>
      <c r="K148" s="459">
        <v>0</v>
      </c>
      <c r="L148" s="459">
        <v>3000</v>
      </c>
      <c r="M148" s="459">
        <f t="shared" si="12"/>
        <v>3000</v>
      </c>
      <c r="N148" s="461"/>
      <c r="O148" s="462"/>
      <c r="P148" s="462"/>
    </row>
    <row r="149" spans="2:16">
      <c r="B149" s="455" t="s">
        <v>586</v>
      </c>
      <c r="C149" s="456"/>
      <c r="D149" s="457"/>
      <c r="E149" s="458" t="s">
        <v>576</v>
      </c>
      <c r="F149" s="459"/>
      <c r="G149" s="459"/>
      <c r="H149" s="459"/>
      <c r="I149" s="459"/>
      <c r="J149" s="456">
        <v>44235</v>
      </c>
      <c r="K149" s="459">
        <v>0</v>
      </c>
      <c r="L149" s="459">
        <v>110938</v>
      </c>
      <c r="M149" s="459">
        <f t="shared" si="12"/>
        <v>110938</v>
      </c>
      <c r="N149" s="461"/>
      <c r="O149" s="462"/>
      <c r="P149" s="462"/>
    </row>
    <row r="150" spans="2:16">
      <c r="B150" s="455" t="s">
        <v>582</v>
      </c>
      <c r="C150" s="456"/>
      <c r="D150" s="457"/>
      <c r="E150" s="458" t="s">
        <v>576</v>
      </c>
      <c r="F150" s="459"/>
      <c r="G150" s="459"/>
      <c r="H150" s="459"/>
      <c r="I150" s="459"/>
      <c r="J150" s="456">
        <v>44238</v>
      </c>
      <c r="K150" s="459">
        <v>0</v>
      </c>
      <c r="L150" s="459">
        <v>204125</v>
      </c>
      <c r="M150" s="459">
        <f t="shared" si="12"/>
        <v>204125</v>
      </c>
      <c r="N150" s="461"/>
      <c r="O150" s="462"/>
      <c r="P150" s="462"/>
    </row>
    <row r="151" spans="2:16">
      <c r="B151" s="455" t="s">
        <v>575</v>
      </c>
      <c r="C151" s="456"/>
      <c r="D151" s="457"/>
      <c r="E151" s="458" t="s">
        <v>576</v>
      </c>
      <c r="F151" s="459"/>
      <c r="G151" s="459"/>
      <c r="H151" s="459"/>
      <c r="I151" s="459"/>
      <c r="J151" s="456">
        <v>44238</v>
      </c>
      <c r="K151" s="459">
        <v>0</v>
      </c>
      <c r="L151" s="459">
        <v>3881250</v>
      </c>
      <c r="M151" s="459">
        <f t="shared" si="12"/>
        <v>3881250</v>
      </c>
      <c r="N151" s="461"/>
      <c r="O151" s="462"/>
      <c r="P151" s="462"/>
    </row>
    <row r="152" spans="2:16">
      <c r="B152" s="455" t="s">
        <v>587</v>
      </c>
      <c r="C152" s="456"/>
      <c r="D152" s="457"/>
      <c r="E152" s="458" t="s">
        <v>576</v>
      </c>
      <c r="F152" s="459"/>
      <c r="G152" s="459"/>
      <c r="H152" s="459"/>
      <c r="I152" s="459"/>
      <c r="J152" s="456">
        <v>44238</v>
      </c>
      <c r="K152" s="459">
        <v>0</v>
      </c>
      <c r="L152" s="459">
        <v>7188</v>
      </c>
      <c r="M152" s="459">
        <f t="shared" si="12"/>
        <v>7188</v>
      </c>
      <c r="N152" s="461"/>
      <c r="O152" s="462"/>
      <c r="P152" s="462"/>
    </row>
    <row r="153" spans="2:16">
      <c r="B153" s="455" t="s">
        <v>583</v>
      </c>
      <c r="C153" s="456"/>
      <c r="D153" s="457"/>
      <c r="E153" s="458" t="s">
        <v>576</v>
      </c>
      <c r="F153" s="459"/>
      <c r="G153" s="459"/>
      <c r="H153" s="459"/>
      <c r="I153" s="459"/>
      <c r="J153" s="456">
        <v>44238</v>
      </c>
      <c r="K153" s="459">
        <v>0</v>
      </c>
      <c r="L153" s="459">
        <v>143750</v>
      </c>
      <c r="M153" s="459">
        <f t="shared" si="12"/>
        <v>143750</v>
      </c>
      <c r="N153" s="461"/>
      <c r="O153" s="462"/>
      <c r="P153" s="462"/>
    </row>
    <row r="154" spans="2:16">
      <c r="B154" s="455" t="s">
        <v>596</v>
      </c>
      <c r="C154" s="456"/>
      <c r="D154" s="457"/>
      <c r="E154" s="458" t="s">
        <v>576</v>
      </c>
      <c r="F154" s="459"/>
      <c r="G154" s="459"/>
      <c r="H154" s="459"/>
      <c r="I154" s="459"/>
      <c r="J154" s="456">
        <v>44238</v>
      </c>
      <c r="K154" s="459">
        <v>0</v>
      </c>
      <c r="L154" s="459">
        <v>970313</v>
      </c>
      <c r="M154" s="459">
        <f t="shared" si="12"/>
        <v>970313</v>
      </c>
      <c r="N154" s="461"/>
      <c r="O154" s="462"/>
      <c r="P154" s="462"/>
    </row>
    <row r="155" spans="2:16">
      <c r="B155" s="455" t="s">
        <v>577</v>
      </c>
      <c r="C155" s="456"/>
      <c r="D155" s="457"/>
      <c r="E155" s="458" t="s">
        <v>576</v>
      </c>
      <c r="F155" s="459"/>
      <c r="G155" s="459"/>
      <c r="H155" s="459"/>
      <c r="I155" s="459"/>
      <c r="J155" s="456">
        <v>44239</v>
      </c>
      <c r="K155" s="459">
        <v>0</v>
      </c>
      <c r="L155" s="459">
        <v>5138818</v>
      </c>
      <c r="M155" s="459">
        <f t="shared" si="12"/>
        <v>5138818</v>
      </c>
      <c r="N155" s="461"/>
      <c r="O155" s="462"/>
      <c r="P155" s="462"/>
    </row>
    <row r="156" spans="2:16">
      <c r="B156" s="455" t="s">
        <v>583</v>
      </c>
      <c r="C156" s="456"/>
      <c r="D156" s="457"/>
      <c r="E156" s="458" t="s">
        <v>576</v>
      </c>
      <c r="F156" s="459"/>
      <c r="G156" s="459"/>
      <c r="H156" s="459"/>
      <c r="I156" s="459"/>
      <c r="J156" s="456">
        <v>44239</v>
      </c>
      <c r="K156" s="459">
        <v>0</v>
      </c>
      <c r="L156" s="459">
        <v>38554</v>
      </c>
      <c r="M156" s="459">
        <f t="shared" si="12"/>
        <v>38554</v>
      </c>
      <c r="N156" s="461"/>
      <c r="O156" s="462"/>
      <c r="P156" s="462"/>
    </row>
    <row r="157" spans="2:16">
      <c r="B157" s="455" t="s">
        <v>586</v>
      </c>
      <c r="C157" s="456"/>
      <c r="D157" s="457"/>
      <c r="E157" s="458" t="s">
        <v>576</v>
      </c>
      <c r="F157" s="459"/>
      <c r="G157" s="459"/>
      <c r="H157" s="459"/>
      <c r="I157" s="459"/>
      <c r="J157" s="456">
        <v>44239</v>
      </c>
      <c r="K157" s="459">
        <v>0</v>
      </c>
      <c r="L157" s="459">
        <v>38554</v>
      </c>
      <c r="M157" s="459">
        <f t="shared" si="12"/>
        <v>38554</v>
      </c>
      <c r="N157" s="461"/>
      <c r="O157" s="462"/>
      <c r="P157" s="462"/>
    </row>
    <row r="158" spans="2:16">
      <c r="B158" s="455" t="s">
        <v>582</v>
      </c>
      <c r="C158" s="456"/>
      <c r="D158" s="457"/>
      <c r="E158" s="458" t="s">
        <v>576</v>
      </c>
      <c r="F158" s="459"/>
      <c r="G158" s="459"/>
      <c r="H158" s="459"/>
      <c r="I158" s="459"/>
      <c r="J158" s="456">
        <v>44239</v>
      </c>
      <c r="K158" s="459">
        <v>0</v>
      </c>
      <c r="L158" s="459">
        <v>57852</v>
      </c>
      <c r="M158" s="459">
        <f t="shared" si="12"/>
        <v>57852</v>
      </c>
      <c r="N158" s="461"/>
      <c r="O158" s="462"/>
      <c r="P158" s="462"/>
    </row>
    <row r="159" spans="2:16">
      <c r="B159" s="455" t="s">
        <v>585</v>
      </c>
      <c r="C159" s="456"/>
      <c r="D159" s="457"/>
      <c r="E159" s="458" t="s">
        <v>576</v>
      </c>
      <c r="F159" s="459"/>
      <c r="G159" s="459"/>
      <c r="H159" s="459"/>
      <c r="I159" s="459"/>
      <c r="J159" s="456">
        <v>44239</v>
      </c>
      <c r="K159" s="459">
        <v>0</v>
      </c>
      <c r="L159" s="459">
        <v>1286807</v>
      </c>
      <c r="M159" s="459">
        <f t="shared" si="12"/>
        <v>1286807</v>
      </c>
      <c r="N159" s="461"/>
      <c r="O159" s="462"/>
      <c r="P159" s="462"/>
    </row>
    <row r="160" spans="2:16">
      <c r="B160" s="455" t="s">
        <v>582</v>
      </c>
      <c r="C160" s="456"/>
      <c r="D160" s="457"/>
      <c r="E160" s="458" t="s">
        <v>576</v>
      </c>
      <c r="F160" s="459"/>
      <c r="G160" s="459"/>
      <c r="H160" s="459"/>
      <c r="I160" s="459"/>
      <c r="J160" s="456">
        <v>44239</v>
      </c>
      <c r="K160" s="459">
        <v>0</v>
      </c>
      <c r="L160" s="459">
        <v>404103</v>
      </c>
      <c r="M160" s="459">
        <f t="shared" si="12"/>
        <v>404103</v>
      </c>
      <c r="N160" s="461"/>
      <c r="O160" s="462"/>
      <c r="P160" s="462"/>
    </row>
    <row r="161" spans="2:16">
      <c r="B161" s="455" t="s">
        <v>577</v>
      </c>
      <c r="C161" s="456"/>
      <c r="D161" s="457"/>
      <c r="E161" s="458" t="s">
        <v>576</v>
      </c>
      <c r="F161" s="459"/>
      <c r="G161" s="459"/>
      <c r="H161" s="459"/>
      <c r="I161" s="459"/>
      <c r="J161" s="456">
        <v>44242</v>
      </c>
      <c r="K161" s="459">
        <v>0</v>
      </c>
      <c r="L161" s="459">
        <v>7750000</v>
      </c>
      <c r="M161" s="459">
        <f t="shared" si="12"/>
        <v>7750000</v>
      </c>
      <c r="N161" s="461"/>
      <c r="O161" s="462"/>
      <c r="P161" s="462"/>
    </row>
    <row r="162" spans="2:16">
      <c r="B162" s="455" t="s">
        <v>575</v>
      </c>
      <c r="C162" s="456"/>
      <c r="D162" s="457"/>
      <c r="E162" s="458" t="s">
        <v>576</v>
      </c>
      <c r="F162" s="459"/>
      <c r="G162" s="459"/>
      <c r="H162" s="459"/>
      <c r="I162" s="459"/>
      <c r="J162" s="456">
        <v>44242</v>
      </c>
      <c r="K162" s="459">
        <v>0</v>
      </c>
      <c r="L162" s="459">
        <v>1512329</v>
      </c>
      <c r="M162" s="459">
        <f t="shared" si="12"/>
        <v>1512329</v>
      </c>
      <c r="N162" s="461"/>
      <c r="O162" s="462"/>
      <c r="P162" s="462"/>
    </row>
    <row r="163" spans="2:16">
      <c r="B163" s="455" t="s">
        <v>575</v>
      </c>
      <c r="C163" s="456"/>
      <c r="D163" s="457"/>
      <c r="E163" s="458" t="s">
        <v>576</v>
      </c>
      <c r="F163" s="459"/>
      <c r="G163" s="459"/>
      <c r="H163" s="459"/>
      <c r="I163" s="459"/>
      <c r="J163" s="456">
        <v>44242</v>
      </c>
      <c r="K163" s="459">
        <v>0</v>
      </c>
      <c r="L163" s="459">
        <v>1480822</v>
      </c>
      <c r="M163" s="459">
        <f t="shared" si="12"/>
        <v>1480822</v>
      </c>
      <c r="N163" s="461"/>
      <c r="O163" s="462"/>
      <c r="P163" s="462"/>
    </row>
    <row r="164" spans="2:16">
      <c r="B164" s="455" t="s">
        <v>577</v>
      </c>
      <c r="C164" s="456"/>
      <c r="D164" s="457"/>
      <c r="E164" s="458" t="s">
        <v>576</v>
      </c>
      <c r="F164" s="459"/>
      <c r="G164" s="459"/>
      <c r="H164" s="459"/>
      <c r="I164" s="459"/>
      <c r="J164" s="456">
        <v>44243</v>
      </c>
      <c r="K164" s="459">
        <v>0</v>
      </c>
      <c r="L164" s="459">
        <v>9073973</v>
      </c>
      <c r="M164" s="459">
        <f t="shared" si="12"/>
        <v>9073973</v>
      </c>
      <c r="N164" s="461"/>
      <c r="O164" s="462"/>
      <c r="P164" s="462"/>
    </row>
    <row r="165" spans="2:16">
      <c r="B165" s="455" t="s">
        <v>577</v>
      </c>
      <c r="C165" s="456"/>
      <c r="D165" s="457"/>
      <c r="E165" s="458" t="s">
        <v>576</v>
      </c>
      <c r="F165" s="459"/>
      <c r="G165" s="459"/>
      <c r="H165" s="459"/>
      <c r="I165" s="459"/>
      <c r="J165" s="456">
        <v>44244</v>
      </c>
      <c r="K165" s="459">
        <v>0</v>
      </c>
      <c r="L165" s="459">
        <v>1835258</v>
      </c>
      <c r="M165" s="459">
        <f t="shared" si="12"/>
        <v>1835258</v>
      </c>
      <c r="N165" s="461"/>
      <c r="O165" s="462"/>
      <c r="P165" s="462"/>
    </row>
    <row r="166" spans="2:16">
      <c r="B166" s="455" t="s">
        <v>583</v>
      </c>
      <c r="C166" s="456"/>
      <c r="D166" s="457"/>
      <c r="E166" s="458" t="s">
        <v>576</v>
      </c>
      <c r="F166" s="459"/>
      <c r="G166" s="459"/>
      <c r="H166" s="459"/>
      <c r="I166" s="459"/>
      <c r="J166" s="456">
        <v>44244</v>
      </c>
      <c r="K166" s="459">
        <v>0</v>
      </c>
      <c r="L166" s="459">
        <v>3422</v>
      </c>
      <c r="M166" s="459">
        <f t="shared" si="12"/>
        <v>3422</v>
      </c>
      <c r="N166" s="461"/>
      <c r="O166" s="462"/>
      <c r="P166" s="462"/>
    </row>
    <row r="167" spans="2:16">
      <c r="B167" s="455" t="s">
        <v>580</v>
      </c>
      <c r="C167" s="456"/>
      <c r="D167" s="457"/>
      <c r="E167" s="458" t="s">
        <v>576</v>
      </c>
      <c r="F167" s="459"/>
      <c r="G167" s="459"/>
      <c r="H167" s="459"/>
      <c r="I167" s="459"/>
      <c r="J167" s="456">
        <v>44244</v>
      </c>
      <c r="K167" s="459">
        <v>0</v>
      </c>
      <c r="L167" s="459">
        <v>1835303</v>
      </c>
      <c r="M167" s="459">
        <f t="shared" si="12"/>
        <v>1835303</v>
      </c>
      <c r="N167" s="461"/>
      <c r="O167" s="462"/>
      <c r="P167" s="462"/>
    </row>
    <row r="168" spans="2:16">
      <c r="B168" s="455" t="s">
        <v>585</v>
      </c>
      <c r="C168" s="456"/>
      <c r="D168" s="457"/>
      <c r="E168" s="458" t="s">
        <v>576</v>
      </c>
      <c r="F168" s="459"/>
      <c r="G168" s="459"/>
      <c r="H168" s="459"/>
      <c r="I168" s="459"/>
      <c r="J168" s="456">
        <v>44244</v>
      </c>
      <c r="K168" s="459">
        <v>0</v>
      </c>
      <c r="L168" s="459">
        <v>1835258</v>
      </c>
      <c r="M168" s="459">
        <f t="shared" si="12"/>
        <v>1835258</v>
      </c>
      <c r="N168" s="461"/>
      <c r="O168" s="462"/>
      <c r="P168" s="462"/>
    </row>
    <row r="169" spans="2:16">
      <c r="B169" s="455" t="s">
        <v>575</v>
      </c>
      <c r="C169" s="456"/>
      <c r="D169" s="457"/>
      <c r="E169" s="458" t="s">
        <v>576</v>
      </c>
      <c r="F169" s="459"/>
      <c r="G169" s="459"/>
      <c r="H169" s="459"/>
      <c r="I169" s="459"/>
      <c r="J169" s="456">
        <v>44244</v>
      </c>
      <c r="K169" s="459">
        <v>0</v>
      </c>
      <c r="L169" s="459">
        <v>1613925</v>
      </c>
      <c r="M169" s="459">
        <f t="shared" si="12"/>
        <v>1613925</v>
      </c>
      <c r="N169" s="461"/>
      <c r="O169" s="462"/>
      <c r="P169" s="462"/>
    </row>
    <row r="170" spans="2:16">
      <c r="B170" s="455" t="s">
        <v>582</v>
      </c>
      <c r="C170" s="456"/>
      <c r="D170" s="457"/>
      <c r="E170" s="458" t="s">
        <v>576</v>
      </c>
      <c r="F170" s="459"/>
      <c r="G170" s="459"/>
      <c r="H170" s="459"/>
      <c r="I170" s="459"/>
      <c r="J170" s="456">
        <v>44244</v>
      </c>
      <c r="K170" s="459">
        <v>0</v>
      </c>
      <c r="L170" s="459">
        <v>45625</v>
      </c>
      <c r="M170" s="459">
        <f t="shared" si="12"/>
        <v>45625</v>
      </c>
      <c r="N170" s="461"/>
      <c r="O170" s="462"/>
      <c r="P170" s="462"/>
    </row>
    <row r="171" spans="2:16">
      <c r="B171" s="455" t="s">
        <v>582</v>
      </c>
      <c r="C171" s="456"/>
      <c r="D171" s="457"/>
      <c r="E171" s="458" t="s">
        <v>576</v>
      </c>
      <c r="F171" s="459"/>
      <c r="G171" s="459"/>
      <c r="H171" s="459"/>
      <c r="I171" s="459"/>
      <c r="J171" s="456">
        <v>44245</v>
      </c>
      <c r="K171" s="459">
        <v>0</v>
      </c>
      <c r="L171" s="459">
        <v>13344</v>
      </c>
      <c r="M171" s="459">
        <f t="shared" si="12"/>
        <v>13344</v>
      </c>
      <c r="N171" s="461"/>
      <c r="O171" s="462"/>
      <c r="P171" s="462"/>
    </row>
    <row r="172" spans="2:16">
      <c r="B172" s="455" t="s">
        <v>582</v>
      </c>
      <c r="C172" s="456"/>
      <c r="D172" s="457"/>
      <c r="E172" s="458" t="s">
        <v>576</v>
      </c>
      <c r="F172" s="459"/>
      <c r="G172" s="459"/>
      <c r="H172" s="459"/>
      <c r="I172" s="459"/>
      <c r="J172" s="456">
        <v>44245</v>
      </c>
      <c r="K172" s="459">
        <v>0</v>
      </c>
      <c r="L172" s="459">
        <v>95</v>
      </c>
      <c r="M172" s="459">
        <f t="shared" si="12"/>
        <v>95</v>
      </c>
      <c r="N172" s="461"/>
      <c r="O172" s="462"/>
      <c r="P172" s="462"/>
    </row>
    <row r="173" spans="2:16">
      <c r="B173" s="455" t="s">
        <v>583</v>
      </c>
      <c r="C173" s="456"/>
      <c r="D173" s="457"/>
      <c r="E173" s="458" t="s">
        <v>576</v>
      </c>
      <c r="F173" s="459"/>
      <c r="G173" s="459"/>
      <c r="H173" s="459"/>
      <c r="I173" s="459"/>
      <c r="J173" s="456">
        <v>44245</v>
      </c>
      <c r="K173" s="459">
        <v>0</v>
      </c>
      <c r="L173" s="459">
        <v>381250</v>
      </c>
      <c r="M173" s="459">
        <f t="shared" si="12"/>
        <v>381250</v>
      </c>
      <c r="N173" s="461"/>
      <c r="O173" s="462"/>
      <c r="P173" s="462"/>
    </row>
    <row r="174" spans="2:16">
      <c r="B174" s="455" t="s">
        <v>577</v>
      </c>
      <c r="C174" s="456"/>
      <c r="D174" s="457"/>
      <c r="E174" s="458" t="s">
        <v>576</v>
      </c>
      <c r="F174" s="459"/>
      <c r="G174" s="459"/>
      <c r="H174" s="459"/>
      <c r="I174" s="459"/>
      <c r="J174" s="456">
        <v>44245</v>
      </c>
      <c r="K174" s="459">
        <v>0</v>
      </c>
      <c r="L174" s="459">
        <v>1250977</v>
      </c>
      <c r="M174" s="459">
        <f t="shared" si="12"/>
        <v>1250977</v>
      </c>
      <c r="N174" s="461"/>
      <c r="O174" s="462"/>
      <c r="P174" s="462"/>
    </row>
    <row r="175" spans="2:16">
      <c r="B175" s="455" t="s">
        <v>580</v>
      </c>
      <c r="C175" s="456"/>
      <c r="D175" s="457"/>
      <c r="E175" s="458" t="s">
        <v>576</v>
      </c>
      <c r="F175" s="459"/>
      <c r="G175" s="459"/>
      <c r="H175" s="459"/>
      <c r="I175" s="459"/>
      <c r="J175" s="456">
        <v>44245</v>
      </c>
      <c r="K175" s="459">
        <v>0</v>
      </c>
      <c r="L175" s="459">
        <v>3107133</v>
      </c>
      <c r="M175" s="459">
        <f t="shared" si="12"/>
        <v>3107133</v>
      </c>
      <c r="N175" s="461"/>
      <c r="O175" s="462"/>
      <c r="P175" s="462"/>
    </row>
    <row r="176" spans="2:16">
      <c r="B176" s="455" t="s">
        <v>597</v>
      </c>
      <c r="C176" s="456"/>
      <c r="D176" s="457"/>
      <c r="E176" s="458" t="s">
        <v>576</v>
      </c>
      <c r="F176" s="459"/>
      <c r="G176" s="459"/>
      <c r="H176" s="459"/>
      <c r="I176" s="459"/>
      <c r="J176" s="456">
        <v>44245</v>
      </c>
      <c r="K176" s="459">
        <v>0</v>
      </c>
      <c r="L176" s="459">
        <v>4169922</v>
      </c>
      <c r="M176" s="459">
        <f t="shared" si="12"/>
        <v>4169922</v>
      </c>
      <c r="N176" s="461"/>
      <c r="O176" s="462"/>
      <c r="P176" s="462"/>
    </row>
    <row r="177" spans="2:16">
      <c r="B177" s="455" t="s">
        <v>578</v>
      </c>
      <c r="C177" s="456"/>
      <c r="D177" s="457"/>
      <c r="E177" s="458" t="s">
        <v>576</v>
      </c>
      <c r="F177" s="459"/>
      <c r="G177" s="459"/>
      <c r="H177" s="459"/>
      <c r="I177" s="459"/>
      <c r="J177" s="456">
        <v>44245</v>
      </c>
      <c r="K177" s="459">
        <v>0</v>
      </c>
      <c r="L177" s="459">
        <v>6750000</v>
      </c>
      <c r="M177" s="459">
        <f t="shared" si="12"/>
        <v>6750000</v>
      </c>
      <c r="N177" s="461"/>
      <c r="O177" s="462"/>
      <c r="P177" s="462"/>
    </row>
    <row r="178" spans="2:16">
      <c r="B178" s="455" t="s">
        <v>585</v>
      </c>
      <c r="C178" s="456"/>
      <c r="D178" s="457"/>
      <c r="E178" s="458" t="s">
        <v>576</v>
      </c>
      <c r="F178" s="459"/>
      <c r="G178" s="459"/>
      <c r="H178" s="459"/>
      <c r="I178" s="459"/>
      <c r="J178" s="456">
        <v>44250</v>
      </c>
      <c r="K178" s="459">
        <v>0</v>
      </c>
      <c r="L178" s="459">
        <v>6363353</v>
      </c>
      <c r="M178" s="459">
        <f t="shared" si="12"/>
        <v>6363353</v>
      </c>
      <c r="N178" s="461"/>
      <c r="O178" s="462"/>
      <c r="P178" s="462"/>
    </row>
    <row r="179" spans="2:16">
      <c r="B179" s="455" t="s">
        <v>586</v>
      </c>
      <c r="C179" s="456"/>
      <c r="D179" s="457"/>
      <c r="E179" s="458" t="s">
        <v>576</v>
      </c>
      <c r="F179" s="459"/>
      <c r="G179" s="459"/>
      <c r="H179" s="459"/>
      <c r="I179" s="459"/>
      <c r="J179" s="456">
        <v>44250</v>
      </c>
      <c r="K179" s="459">
        <v>0</v>
      </c>
      <c r="L179" s="459">
        <v>435498</v>
      </c>
      <c r="M179" s="459">
        <f t="shared" si="12"/>
        <v>435498</v>
      </c>
      <c r="N179" s="461"/>
      <c r="O179" s="462"/>
      <c r="P179" s="462"/>
    </row>
    <row r="180" spans="2:16">
      <c r="B180" s="455" t="s">
        <v>580</v>
      </c>
      <c r="C180" s="456"/>
      <c r="D180" s="457"/>
      <c r="E180" s="458" t="s">
        <v>576</v>
      </c>
      <c r="F180" s="459"/>
      <c r="G180" s="459"/>
      <c r="H180" s="459"/>
      <c r="I180" s="459"/>
      <c r="J180" s="456">
        <v>44250</v>
      </c>
      <c r="K180" s="459">
        <v>0</v>
      </c>
      <c r="L180" s="459">
        <v>1390350</v>
      </c>
      <c r="M180" s="459">
        <f t="shared" si="12"/>
        <v>1390350</v>
      </c>
      <c r="N180" s="461"/>
      <c r="O180" s="462"/>
      <c r="P180" s="462"/>
    </row>
    <row r="181" spans="2:16">
      <c r="B181" s="455" t="s">
        <v>575</v>
      </c>
      <c r="C181" s="456"/>
      <c r="D181" s="457"/>
      <c r="E181" s="458" t="s">
        <v>576</v>
      </c>
      <c r="F181" s="459"/>
      <c r="G181" s="459"/>
      <c r="H181" s="459"/>
      <c r="I181" s="459"/>
      <c r="J181" s="456">
        <v>44250</v>
      </c>
      <c r="K181" s="459">
        <v>0</v>
      </c>
      <c r="L181" s="459">
        <v>695175</v>
      </c>
      <c r="M181" s="459">
        <f t="shared" si="12"/>
        <v>695175</v>
      </c>
      <c r="N181" s="461"/>
      <c r="O181" s="462"/>
      <c r="P181" s="462"/>
    </row>
    <row r="182" spans="2:16">
      <c r="B182" s="455" t="s">
        <v>577</v>
      </c>
      <c r="C182" s="456"/>
      <c r="D182" s="457"/>
      <c r="E182" s="458" t="s">
        <v>576</v>
      </c>
      <c r="F182" s="459"/>
      <c r="G182" s="459"/>
      <c r="H182" s="459"/>
      <c r="I182" s="459"/>
      <c r="J182" s="456">
        <v>44250</v>
      </c>
      <c r="K182" s="459">
        <v>0</v>
      </c>
      <c r="L182" s="459">
        <v>1390350</v>
      </c>
      <c r="M182" s="459">
        <f t="shared" si="12"/>
        <v>1390350</v>
      </c>
      <c r="N182" s="461"/>
      <c r="O182" s="462"/>
      <c r="P182" s="462"/>
    </row>
    <row r="183" spans="2:16">
      <c r="B183" s="455" t="s">
        <v>597</v>
      </c>
      <c r="C183" s="456"/>
      <c r="D183" s="457"/>
      <c r="E183" s="458" t="s">
        <v>576</v>
      </c>
      <c r="F183" s="459"/>
      <c r="G183" s="459"/>
      <c r="H183" s="459"/>
      <c r="I183" s="459"/>
      <c r="J183" s="456">
        <v>44253</v>
      </c>
      <c r="K183" s="459">
        <v>0</v>
      </c>
      <c r="L183" s="459">
        <v>2325000</v>
      </c>
      <c r="M183" s="459">
        <f t="shared" si="12"/>
        <v>2325000</v>
      </c>
      <c r="N183" s="461"/>
      <c r="O183" s="462"/>
      <c r="P183" s="462"/>
    </row>
    <row r="184" spans="2:16">
      <c r="B184" s="467" t="s">
        <v>588</v>
      </c>
      <c r="C184" s="468"/>
      <c r="D184" s="469"/>
      <c r="E184" s="470"/>
      <c r="F184" s="459"/>
      <c r="G184" s="471">
        <f>(E803-D803)*1000000</f>
        <v>4780143.9999999506</v>
      </c>
      <c r="H184" s="465"/>
      <c r="I184" s="465"/>
      <c r="J184" s="472"/>
      <c r="K184" s="473"/>
      <c r="L184" s="473"/>
      <c r="M184" s="473"/>
      <c r="N184" s="461"/>
      <c r="O184" s="462"/>
      <c r="P184" s="462"/>
    </row>
    <row r="185" spans="2:16">
      <c r="B185" s="467" t="s">
        <v>589</v>
      </c>
      <c r="C185" s="468"/>
      <c r="D185" s="469"/>
      <c r="E185" s="470" t="s">
        <v>590</v>
      </c>
      <c r="F185" s="459"/>
      <c r="G185" s="471"/>
      <c r="H185" s="465"/>
      <c r="I185" s="465"/>
      <c r="J185" s="472"/>
      <c r="K185" s="473"/>
      <c r="L185" s="473"/>
      <c r="M185" s="473"/>
      <c r="N185" s="461"/>
      <c r="O185" s="462"/>
      <c r="P185" s="462"/>
    </row>
    <row r="186" spans="2:16">
      <c r="B186" s="467" t="s">
        <v>591</v>
      </c>
      <c r="C186" s="468"/>
      <c r="D186" s="469"/>
      <c r="E186" s="470" t="s">
        <v>592</v>
      </c>
      <c r="F186" s="459"/>
      <c r="G186" s="471"/>
      <c r="H186" s="465"/>
      <c r="I186" s="465"/>
      <c r="J186" s="472"/>
      <c r="K186" s="473"/>
      <c r="L186" s="473"/>
      <c r="M186" s="473"/>
      <c r="N186" s="461"/>
      <c r="O186" s="462"/>
      <c r="P186" s="462"/>
    </row>
    <row r="187" spans="2:16" ht="12.5">
      <c r="B187" s="938" t="s">
        <v>593</v>
      </c>
      <c r="C187" s="939"/>
      <c r="D187" s="939"/>
      <c r="E187" s="940"/>
      <c r="F187" s="941">
        <f>SUM(F106:F186)</f>
        <v>1850430000</v>
      </c>
      <c r="G187" s="941">
        <f>SUM(G106:G186)</f>
        <v>1849882713.0733824</v>
      </c>
      <c r="H187" s="941">
        <f>SUM(H106:H186)</f>
        <v>5327430.9266175106</v>
      </c>
      <c r="I187" s="941">
        <f>SUM(I106:I186)</f>
        <v>1850430000</v>
      </c>
      <c r="J187" s="941"/>
      <c r="K187" s="941">
        <f>SUM(K106:K186)</f>
        <v>202100000</v>
      </c>
      <c r="L187" s="941">
        <f>SUM(L106:L186)</f>
        <v>110936603</v>
      </c>
      <c r="M187" s="941">
        <f>SUM(M106:M186)</f>
        <v>313036603</v>
      </c>
      <c r="N187" s="942">
        <f>+G187-K187</f>
        <v>1647782713.0733824</v>
      </c>
      <c r="O187" s="942">
        <f>+(E793-D793)*1000000</f>
        <v>365967474.32432765</v>
      </c>
      <c r="P187" s="942">
        <f>N187-O187</f>
        <v>1281815238.7490547</v>
      </c>
    </row>
    <row r="188" spans="2:16" ht="12.5">
      <c r="B188" s="455" t="s">
        <v>594</v>
      </c>
      <c r="C188" s="479">
        <v>44232</v>
      </c>
      <c r="D188" s="457">
        <v>180</v>
      </c>
      <c r="E188" s="480" t="s">
        <v>579</v>
      </c>
      <c r="F188" s="459">
        <f t="shared" ref="F188:F192" si="13">G188+H188</f>
        <v>50005000</v>
      </c>
      <c r="G188" s="459">
        <v>49756218.905472644</v>
      </c>
      <c r="H188" s="459">
        <v>248781.09452735633</v>
      </c>
      <c r="I188" s="459">
        <f t="shared" ref="I188:I192" si="14">+G188+H188</f>
        <v>50005000</v>
      </c>
      <c r="J188" s="489"/>
      <c r="K188" s="490"/>
      <c r="L188" s="490"/>
      <c r="M188" s="490"/>
      <c r="N188" s="481"/>
      <c r="O188" s="462"/>
      <c r="P188" s="482"/>
    </row>
    <row r="189" spans="2:16" ht="12.5">
      <c r="B189" s="455" t="s">
        <v>594</v>
      </c>
      <c r="C189" s="479">
        <v>44239</v>
      </c>
      <c r="D189" s="457">
        <v>210</v>
      </c>
      <c r="E189" s="480" t="s">
        <v>579</v>
      </c>
      <c r="F189" s="459">
        <f t="shared" si="13"/>
        <v>70000000</v>
      </c>
      <c r="G189" s="459">
        <v>69594034.797017395</v>
      </c>
      <c r="H189" s="459">
        <v>405965.2029826045</v>
      </c>
      <c r="I189" s="459">
        <f t="shared" si="14"/>
        <v>70000000</v>
      </c>
      <c r="J189" s="489"/>
      <c r="K189" s="490"/>
      <c r="L189" s="490"/>
      <c r="M189" s="490"/>
      <c r="N189" s="481"/>
      <c r="O189" s="462"/>
      <c r="P189" s="482"/>
    </row>
    <row r="190" spans="2:16" ht="12.5">
      <c r="B190" s="455" t="s">
        <v>594</v>
      </c>
      <c r="C190" s="479">
        <v>44243</v>
      </c>
      <c r="D190" s="457">
        <v>3240</v>
      </c>
      <c r="E190" s="480" t="s">
        <v>576</v>
      </c>
      <c r="F190" s="459">
        <f t="shared" si="13"/>
        <v>560000000</v>
      </c>
      <c r="G190" s="459">
        <v>560000000</v>
      </c>
      <c r="H190" s="459">
        <v>0</v>
      </c>
      <c r="I190" s="459">
        <f t="shared" si="14"/>
        <v>560000000</v>
      </c>
      <c r="J190" s="489"/>
      <c r="K190" s="490"/>
      <c r="L190" s="490"/>
      <c r="M190" s="490"/>
      <c r="N190" s="481"/>
      <c r="O190" s="462"/>
      <c r="P190" s="482"/>
    </row>
    <row r="191" spans="2:16" ht="12.5">
      <c r="B191" s="455" t="s">
        <v>594</v>
      </c>
      <c r="C191" s="479">
        <v>44250</v>
      </c>
      <c r="D191" s="457">
        <v>270</v>
      </c>
      <c r="E191" s="480" t="s">
        <v>579</v>
      </c>
      <c r="F191" s="459">
        <f t="shared" si="13"/>
        <v>69565000</v>
      </c>
      <c r="G191" s="459">
        <v>69047146.401985109</v>
      </c>
      <c r="H191" s="459">
        <v>517853.59801489115</v>
      </c>
      <c r="I191" s="459">
        <f t="shared" si="14"/>
        <v>69565000</v>
      </c>
      <c r="J191" s="489"/>
      <c r="K191" s="490"/>
      <c r="L191" s="490"/>
      <c r="M191" s="490"/>
      <c r="N191" s="481"/>
      <c r="O191" s="462"/>
      <c r="P191" s="482"/>
    </row>
    <row r="192" spans="2:16" ht="12.5">
      <c r="B192" s="455" t="s">
        <v>594</v>
      </c>
      <c r="C192" s="479">
        <v>44253</v>
      </c>
      <c r="D192" s="457">
        <v>2880</v>
      </c>
      <c r="E192" s="480" t="s">
        <v>576</v>
      </c>
      <c r="F192" s="459">
        <f t="shared" si="13"/>
        <v>400000000</v>
      </c>
      <c r="G192" s="459">
        <v>400000000</v>
      </c>
      <c r="H192" s="459">
        <v>0</v>
      </c>
      <c r="I192" s="459">
        <f t="shared" si="14"/>
        <v>400000000</v>
      </c>
      <c r="J192" s="489"/>
      <c r="K192" s="490"/>
      <c r="L192" s="490"/>
      <c r="M192" s="490"/>
      <c r="N192" s="481"/>
      <c r="O192" s="462"/>
      <c r="P192" s="482"/>
    </row>
    <row r="193" spans="2:17" ht="12.5">
      <c r="B193" s="455" t="s">
        <v>594</v>
      </c>
      <c r="C193" s="479"/>
      <c r="D193" s="457"/>
      <c r="E193" s="480" t="s">
        <v>576</v>
      </c>
      <c r="F193" s="459"/>
      <c r="G193" s="459"/>
      <c r="H193" s="459"/>
      <c r="I193" s="459"/>
      <c r="J193" s="456">
        <v>44228</v>
      </c>
      <c r="K193" s="459">
        <v>0</v>
      </c>
      <c r="L193" s="459">
        <v>9843750</v>
      </c>
      <c r="M193" s="484">
        <f t="shared" ref="M193:M206" si="15">+K193+L193</f>
        <v>9843750</v>
      </c>
      <c r="N193" s="481"/>
      <c r="O193" s="462"/>
      <c r="P193" s="482"/>
      <c r="Q193" s="491"/>
    </row>
    <row r="194" spans="2:17" ht="12.5">
      <c r="B194" s="455" t="s">
        <v>594</v>
      </c>
      <c r="C194" s="479"/>
      <c r="D194" s="457"/>
      <c r="E194" s="480" t="s">
        <v>576</v>
      </c>
      <c r="F194" s="459"/>
      <c r="G194" s="459"/>
      <c r="H194" s="459"/>
      <c r="I194" s="459"/>
      <c r="J194" s="456">
        <v>44229</v>
      </c>
      <c r="K194" s="459">
        <v>0</v>
      </c>
      <c r="L194" s="492">
        <v>4477500</v>
      </c>
      <c r="M194" s="484">
        <f t="shared" si="15"/>
        <v>4477500</v>
      </c>
      <c r="N194" s="481"/>
      <c r="O194" s="462"/>
      <c r="P194" s="482"/>
      <c r="Q194" s="491"/>
    </row>
    <row r="195" spans="2:17" ht="12.5">
      <c r="B195" s="455" t="s">
        <v>594</v>
      </c>
      <c r="C195" s="479"/>
      <c r="D195" s="457"/>
      <c r="E195" s="480" t="s">
        <v>576</v>
      </c>
      <c r="F195" s="459"/>
      <c r="G195" s="459"/>
      <c r="H195" s="459"/>
      <c r="I195" s="459"/>
      <c r="J195" s="456">
        <v>44232</v>
      </c>
      <c r="K195" s="459">
        <v>0</v>
      </c>
      <c r="L195" s="492">
        <v>3961475</v>
      </c>
      <c r="M195" s="484">
        <f t="shared" si="15"/>
        <v>3961475</v>
      </c>
      <c r="N195" s="481"/>
      <c r="O195" s="462"/>
      <c r="P195" s="482"/>
      <c r="Q195" s="491"/>
    </row>
    <row r="196" spans="2:17" ht="12.5">
      <c r="B196" s="455" t="s">
        <v>594</v>
      </c>
      <c r="C196" s="479"/>
      <c r="D196" s="457"/>
      <c r="E196" s="480" t="s">
        <v>576</v>
      </c>
      <c r="F196" s="459"/>
      <c r="G196" s="459"/>
      <c r="H196" s="459"/>
      <c r="I196" s="459"/>
      <c r="J196" s="456">
        <v>44235</v>
      </c>
      <c r="K196" s="459">
        <v>0</v>
      </c>
      <c r="L196" s="492">
        <v>12562500</v>
      </c>
      <c r="M196" s="484">
        <f t="shared" si="15"/>
        <v>12562500</v>
      </c>
      <c r="N196" s="481"/>
      <c r="O196" s="462"/>
      <c r="P196" s="482"/>
      <c r="Q196" s="491"/>
    </row>
    <row r="197" spans="2:17" ht="12.5">
      <c r="B197" s="455" t="s">
        <v>594</v>
      </c>
      <c r="C197" s="479"/>
      <c r="D197" s="457"/>
      <c r="E197" s="480" t="s">
        <v>576</v>
      </c>
      <c r="F197" s="459"/>
      <c r="G197" s="459"/>
      <c r="H197" s="459"/>
      <c r="I197" s="459"/>
      <c r="J197" s="456">
        <v>44235</v>
      </c>
      <c r="K197" s="459">
        <v>0</v>
      </c>
      <c r="L197" s="492">
        <v>1887735</v>
      </c>
      <c r="M197" s="484">
        <f t="shared" si="15"/>
        <v>1887735</v>
      </c>
      <c r="N197" s="481"/>
      <c r="O197" s="462"/>
      <c r="P197" s="482"/>
      <c r="Q197" s="491"/>
    </row>
    <row r="198" spans="2:17" ht="12.5">
      <c r="B198" s="455" t="s">
        <v>594</v>
      </c>
      <c r="C198" s="479"/>
      <c r="D198" s="457"/>
      <c r="E198" s="480" t="s">
        <v>576</v>
      </c>
      <c r="F198" s="459"/>
      <c r="G198" s="459"/>
      <c r="H198" s="459"/>
      <c r="I198" s="459"/>
      <c r="J198" s="456">
        <v>44235</v>
      </c>
      <c r="K198" s="459">
        <v>0</v>
      </c>
      <c r="L198" s="492">
        <v>2039063</v>
      </c>
      <c r="M198" s="484">
        <f t="shared" si="15"/>
        <v>2039063</v>
      </c>
      <c r="N198" s="481"/>
      <c r="O198" s="462"/>
      <c r="P198" s="482"/>
      <c r="Q198" s="491"/>
    </row>
    <row r="199" spans="2:17" ht="12.5">
      <c r="B199" s="455" t="s">
        <v>594</v>
      </c>
      <c r="C199" s="479"/>
      <c r="D199" s="457"/>
      <c r="E199" s="480" t="s">
        <v>576</v>
      </c>
      <c r="F199" s="459"/>
      <c r="G199" s="459"/>
      <c r="H199" s="459"/>
      <c r="I199" s="459"/>
      <c r="J199" s="456">
        <v>44236</v>
      </c>
      <c r="K199" s="459">
        <v>0</v>
      </c>
      <c r="L199" s="492">
        <v>5923288</v>
      </c>
      <c r="M199" s="484">
        <f t="shared" si="15"/>
        <v>5923288</v>
      </c>
      <c r="N199" s="481"/>
      <c r="O199" s="462"/>
      <c r="P199" s="482"/>
      <c r="Q199" s="491"/>
    </row>
    <row r="200" spans="2:17" ht="12.5">
      <c r="B200" s="455" t="s">
        <v>594</v>
      </c>
      <c r="C200" s="493"/>
      <c r="D200" s="493"/>
      <c r="E200" s="480" t="s">
        <v>576</v>
      </c>
      <c r="F200" s="489"/>
      <c r="G200" s="489"/>
      <c r="H200" s="489"/>
      <c r="I200" s="489"/>
      <c r="J200" s="456">
        <v>44244</v>
      </c>
      <c r="K200" s="459">
        <v>0</v>
      </c>
      <c r="L200" s="492">
        <v>9079375</v>
      </c>
      <c r="M200" s="484">
        <f t="shared" si="15"/>
        <v>9079375</v>
      </c>
      <c r="N200" s="481"/>
      <c r="O200" s="462"/>
      <c r="P200" s="482"/>
      <c r="Q200" s="491"/>
    </row>
    <row r="201" spans="2:17" ht="12.5">
      <c r="B201" s="455" t="s">
        <v>594</v>
      </c>
      <c r="C201" s="493"/>
      <c r="D201" s="493"/>
      <c r="E201" s="480" t="s">
        <v>576</v>
      </c>
      <c r="F201" s="489"/>
      <c r="G201" s="489"/>
      <c r="H201" s="489"/>
      <c r="I201" s="489"/>
      <c r="J201" s="456">
        <v>44244</v>
      </c>
      <c r="K201" s="459">
        <v>0</v>
      </c>
      <c r="L201" s="492">
        <v>1835258</v>
      </c>
      <c r="M201" s="484">
        <f t="shared" si="15"/>
        <v>1835258</v>
      </c>
      <c r="N201" s="481"/>
      <c r="O201" s="462"/>
      <c r="P201" s="482"/>
      <c r="Q201" s="491"/>
    </row>
    <row r="202" spans="2:17" ht="12.5">
      <c r="B202" s="455" t="s">
        <v>594</v>
      </c>
      <c r="C202" s="493"/>
      <c r="D202" s="493"/>
      <c r="E202" s="480" t="s">
        <v>576</v>
      </c>
      <c r="F202" s="489"/>
      <c r="G202" s="489"/>
      <c r="H202" s="489"/>
      <c r="I202" s="489"/>
      <c r="J202" s="456">
        <v>44245</v>
      </c>
      <c r="K202" s="459">
        <v>0</v>
      </c>
      <c r="L202" s="492">
        <v>4142868</v>
      </c>
      <c r="M202" s="484">
        <f t="shared" si="15"/>
        <v>4142868</v>
      </c>
      <c r="N202" s="481"/>
      <c r="O202" s="462"/>
      <c r="P202" s="482"/>
      <c r="Q202" s="491"/>
    </row>
    <row r="203" spans="2:17" ht="12.5">
      <c r="B203" s="455" t="s">
        <v>594</v>
      </c>
      <c r="C203" s="493"/>
      <c r="D203" s="493"/>
      <c r="E203" s="480" t="s">
        <v>576</v>
      </c>
      <c r="F203" s="489"/>
      <c r="G203" s="489"/>
      <c r="H203" s="489"/>
      <c r="I203" s="489"/>
      <c r="J203" s="456">
        <v>44245</v>
      </c>
      <c r="K203" s="459">
        <v>0</v>
      </c>
      <c r="L203" s="492">
        <v>1250977</v>
      </c>
      <c r="M203" s="484">
        <f t="shared" si="15"/>
        <v>1250977</v>
      </c>
      <c r="N203" s="481"/>
      <c r="O203" s="462"/>
      <c r="P203" s="482"/>
      <c r="Q203" s="491"/>
    </row>
    <row r="204" spans="2:17" ht="12.5">
      <c r="B204" s="455" t="s">
        <v>594</v>
      </c>
      <c r="C204" s="493"/>
      <c r="D204" s="493"/>
      <c r="E204" s="480" t="s">
        <v>576</v>
      </c>
      <c r="F204" s="489"/>
      <c r="G204" s="489"/>
      <c r="H204" s="489"/>
      <c r="I204" s="489"/>
      <c r="J204" s="456">
        <v>44250</v>
      </c>
      <c r="K204" s="459">
        <v>0</v>
      </c>
      <c r="L204" s="492">
        <v>12529688</v>
      </c>
      <c r="M204" s="484">
        <f t="shared" si="15"/>
        <v>12529688</v>
      </c>
      <c r="N204" s="481"/>
      <c r="O204" s="462"/>
      <c r="P204" s="482"/>
      <c r="Q204" s="491"/>
    </row>
    <row r="205" spans="2:17" ht="12.5">
      <c r="B205" s="455" t="s">
        <v>594</v>
      </c>
      <c r="C205" s="493"/>
      <c r="D205" s="493"/>
      <c r="E205" s="480" t="s">
        <v>576</v>
      </c>
      <c r="F205" s="489"/>
      <c r="G205" s="489"/>
      <c r="H205" s="489"/>
      <c r="I205" s="489"/>
      <c r="J205" s="456">
        <v>44250</v>
      </c>
      <c r="K205" s="459">
        <v>0</v>
      </c>
      <c r="L205" s="492">
        <v>834210</v>
      </c>
      <c r="M205" s="484">
        <f t="shared" si="15"/>
        <v>834210</v>
      </c>
      <c r="N205" s="481"/>
      <c r="O205" s="462"/>
      <c r="P205" s="482"/>
      <c r="Q205" s="491"/>
    </row>
    <row r="206" spans="2:17" ht="12.5">
      <c r="B206" s="455" t="s">
        <v>594</v>
      </c>
      <c r="C206" s="493"/>
      <c r="D206" s="493"/>
      <c r="E206" s="480" t="s">
        <v>576</v>
      </c>
      <c r="F206" s="489"/>
      <c r="G206" s="489"/>
      <c r="H206" s="489"/>
      <c r="I206" s="489"/>
      <c r="J206" s="456">
        <v>44253</v>
      </c>
      <c r="K206" s="459">
        <v>0</v>
      </c>
      <c r="L206" s="492">
        <v>5425000</v>
      </c>
      <c r="M206" s="484">
        <f t="shared" si="15"/>
        <v>5425000</v>
      </c>
      <c r="N206" s="481"/>
      <c r="O206" s="462"/>
      <c r="P206" s="482"/>
    </row>
    <row r="207" spans="2:17" ht="12.5">
      <c r="B207" s="943" t="s">
        <v>595</v>
      </c>
      <c r="C207" s="944"/>
      <c r="D207" s="944"/>
      <c r="E207" s="945"/>
      <c r="F207" s="946">
        <f>SUBTOTAL(9,F188:F206)</f>
        <v>1149570000</v>
      </c>
      <c r="G207" s="946">
        <f>SUBTOTAL(9,G188:G206)</f>
        <v>1148397400.1044753</v>
      </c>
      <c r="H207" s="946">
        <f>SUBTOTAL(9,H188:H206)</f>
        <v>1172599.895524852</v>
      </c>
      <c r="I207" s="946">
        <f>SUBTOTAL(9,I188:I206)</f>
        <v>1149570000</v>
      </c>
      <c r="J207" s="946"/>
      <c r="K207" s="946">
        <f>SUBTOTAL(9,K188:K206)</f>
        <v>0</v>
      </c>
      <c r="L207" s="946">
        <f>SUBTOTAL(9,L188:L206)</f>
        <v>75792687</v>
      </c>
      <c r="M207" s="946">
        <f>SUBTOTAL(9,M188:M206)</f>
        <v>75792687</v>
      </c>
      <c r="N207" s="942">
        <f>+G207-K207</f>
        <v>1148397400.1044753</v>
      </c>
      <c r="O207" s="942"/>
      <c r="P207" s="942">
        <f>+N207-O207</f>
        <v>1148397400.1044753</v>
      </c>
    </row>
    <row r="208" spans="2:17">
      <c r="B208" s="455" t="s">
        <v>575</v>
      </c>
      <c r="C208" s="456">
        <v>44257</v>
      </c>
      <c r="D208" s="457">
        <v>720</v>
      </c>
      <c r="E208" s="458" t="s">
        <v>576</v>
      </c>
      <c r="F208" s="459">
        <f>SUBTOTAL(9,G208:H208)</f>
        <v>95000000</v>
      </c>
      <c r="G208" s="459">
        <v>95000000</v>
      </c>
      <c r="H208" s="459">
        <v>0</v>
      </c>
      <c r="I208" s="459">
        <f t="shared" ref="I208:I228" si="16">+G208+H208</f>
        <v>95000000</v>
      </c>
      <c r="J208" s="460"/>
      <c r="K208" s="459"/>
      <c r="L208" s="459"/>
      <c r="M208" s="459"/>
      <c r="N208" s="461"/>
      <c r="O208" s="462"/>
      <c r="P208" s="462"/>
    </row>
    <row r="209" spans="2:16">
      <c r="B209" s="455" t="s">
        <v>578</v>
      </c>
      <c r="C209" s="456">
        <v>44257</v>
      </c>
      <c r="D209" s="457">
        <v>720</v>
      </c>
      <c r="E209" s="458" t="s">
        <v>576</v>
      </c>
      <c r="F209" s="459">
        <f t="shared" ref="F209:F228" si="17">SUBTOTAL(9,G209:H209)</f>
        <v>285000000</v>
      </c>
      <c r="G209" s="459">
        <v>285000000</v>
      </c>
      <c r="H209" s="459">
        <v>0</v>
      </c>
      <c r="I209" s="459">
        <f t="shared" si="16"/>
        <v>285000000</v>
      </c>
      <c r="J209" s="460"/>
      <c r="K209" s="459"/>
      <c r="L209" s="459"/>
      <c r="M209" s="459"/>
      <c r="N209" s="461"/>
      <c r="O209" s="462"/>
      <c r="P209" s="462"/>
    </row>
    <row r="210" spans="2:16">
      <c r="B210" s="455" t="s">
        <v>582</v>
      </c>
      <c r="C210" s="456">
        <v>44257</v>
      </c>
      <c r="D210" s="457">
        <v>720</v>
      </c>
      <c r="E210" s="458" t="s">
        <v>576</v>
      </c>
      <c r="F210" s="459">
        <f t="shared" si="17"/>
        <v>11200000</v>
      </c>
      <c r="G210" s="459">
        <v>11200000</v>
      </c>
      <c r="H210" s="459">
        <v>0</v>
      </c>
      <c r="I210" s="459">
        <f t="shared" si="16"/>
        <v>11200000</v>
      </c>
      <c r="J210" s="460"/>
      <c r="K210" s="459"/>
      <c r="L210" s="459"/>
      <c r="M210" s="459"/>
      <c r="N210" s="461"/>
      <c r="O210" s="462"/>
      <c r="P210" s="462"/>
    </row>
    <row r="211" spans="2:16">
      <c r="B211" s="455" t="s">
        <v>587</v>
      </c>
      <c r="C211" s="456">
        <v>44257</v>
      </c>
      <c r="D211" s="457">
        <v>720</v>
      </c>
      <c r="E211" s="458" t="s">
        <v>576</v>
      </c>
      <c r="F211" s="459">
        <f t="shared" si="17"/>
        <v>500000</v>
      </c>
      <c r="G211" s="459">
        <v>500000</v>
      </c>
      <c r="H211" s="459">
        <v>0</v>
      </c>
      <c r="I211" s="459">
        <f t="shared" si="16"/>
        <v>500000</v>
      </c>
      <c r="J211" s="460"/>
      <c r="K211" s="459"/>
      <c r="L211" s="459"/>
      <c r="M211" s="459"/>
      <c r="N211" s="461"/>
      <c r="O211" s="462"/>
      <c r="P211" s="462"/>
    </row>
    <row r="212" spans="2:16">
      <c r="B212" s="455" t="s">
        <v>583</v>
      </c>
      <c r="C212" s="456">
        <v>44257</v>
      </c>
      <c r="D212" s="457">
        <v>720</v>
      </c>
      <c r="E212" s="458" t="s">
        <v>576</v>
      </c>
      <c r="F212" s="459">
        <f t="shared" si="17"/>
        <v>10000000</v>
      </c>
      <c r="G212" s="459">
        <v>10000000</v>
      </c>
      <c r="H212" s="459">
        <v>0</v>
      </c>
      <c r="I212" s="459">
        <f t="shared" si="16"/>
        <v>10000000</v>
      </c>
      <c r="J212" s="460"/>
      <c r="K212" s="459"/>
      <c r="L212" s="459"/>
      <c r="M212" s="459"/>
      <c r="N212" s="461"/>
      <c r="O212" s="462"/>
      <c r="P212" s="462"/>
    </row>
    <row r="213" spans="2:16">
      <c r="B213" s="455" t="s">
        <v>577</v>
      </c>
      <c r="C213" s="456">
        <v>44260</v>
      </c>
      <c r="D213" s="457">
        <v>90</v>
      </c>
      <c r="E213" s="458" t="s">
        <v>579</v>
      </c>
      <c r="F213" s="459">
        <f t="shared" si="17"/>
        <v>60000000</v>
      </c>
      <c r="G213" s="459">
        <v>59850374.06483791</v>
      </c>
      <c r="H213" s="459">
        <v>149625.93516208977</v>
      </c>
      <c r="I213" s="459">
        <f t="shared" si="16"/>
        <v>60000000</v>
      </c>
      <c r="J213" s="460"/>
      <c r="K213" s="459"/>
      <c r="L213" s="459"/>
      <c r="M213" s="459"/>
      <c r="N213" s="461"/>
      <c r="O213" s="462"/>
      <c r="P213" s="462"/>
    </row>
    <row r="214" spans="2:16">
      <c r="B214" s="455" t="s">
        <v>581</v>
      </c>
      <c r="C214" s="456">
        <v>44260</v>
      </c>
      <c r="D214" s="457">
        <v>90</v>
      </c>
      <c r="E214" s="458" t="s">
        <v>579</v>
      </c>
      <c r="F214" s="459">
        <f t="shared" si="17"/>
        <v>60000000</v>
      </c>
      <c r="G214" s="459">
        <v>59850374.06483791</v>
      </c>
      <c r="H214" s="459">
        <v>149625.93516208977</v>
      </c>
      <c r="I214" s="459">
        <f t="shared" si="16"/>
        <v>60000000</v>
      </c>
      <c r="J214" s="460"/>
      <c r="K214" s="459"/>
      <c r="L214" s="459"/>
      <c r="M214" s="459"/>
      <c r="N214" s="461"/>
      <c r="O214" s="462"/>
      <c r="P214" s="462"/>
    </row>
    <row r="215" spans="2:16">
      <c r="B215" s="455" t="s">
        <v>580</v>
      </c>
      <c r="C215" s="456">
        <v>44260</v>
      </c>
      <c r="D215" s="457">
        <v>90</v>
      </c>
      <c r="E215" s="458" t="s">
        <v>579</v>
      </c>
      <c r="F215" s="459">
        <f t="shared" si="17"/>
        <v>60000000</v>
      </c>
      <c r="G215" s="459">
        <v>59850374.06483791</v>
      </c>
      <c r="H215" s="459">
        <v>149625.93516208977</v>
      </c>
      <c r="I215" s="459">
        <f t="shared" si="16"/>
        <v>60000000</v>
      </c>
      <c r="J215" s="460"/>
      <c r="K215" s="459"/>
      <c r="L215" s="459"/>
      <c r="M215" s="459"/>
      <c r="N215" s="461"/>
      <c r="O215" s="462"/>
      <c r="P215" s="462"/>
    </row>
    <row r="216" spans="2:16">
      <c r="B216" s="455" t="s">
        <v>578</v>
      </c>
      <c r="C216" s="456">
        <v>44260</v>
      </c>
      <c r="D216" s="457">
        <v>90</v>
      </c>
      <c r="E216" s="458" t="s">
        <v>579</v>
      </c>
      <c r="F216" s="459">
        <f t="shared" si="17"/>
        <v>60000000</v>
      </c>
      <c r="G216" s="459">
        <v>59850374.06483791</v>
      </c>
      <c r="H216" s="459">
        <v>149625.93516208977</v>
      </c>
      <c r="I216" s="459">
        <f t="shared" si="16"/>
        <v>60000000</v>
      </c>
      <c r="J216" s="460"/>
      <c r="K216" s="459"/>
      <c r="L216" s="459"/>
      <c r="M216" s="459"/>
      <c r="N216" s="461"/>
      <c r="O216" s="462"/>
      <c r="P216" s="462"/>
    </row>
    <row r="217" spans="2:16">
      <c r="B217" s="455" t="s">
        <v>578</v>
      </c>
      <c r="C217" s="456">
        <v>44264</v>
      </c>
      <c r="D217" s="457">
        <v>1440</v>
      </c>
      <c r="E217" s="458" t="s">
        <v>576</v>
      </c>
      <c r="F217" s="459">
        <f t="shared" si="17"/>
        <v>148018000</v>
      </c>
      <c r="G217" s="459">
        <v>148018000</v>
      </c>
      <c r="H217" s="459">
        <v>0</v>
      </c>
      <c r="I217" s="459">
        <f t="shared" si="16"/>
        <v>148018000</v>
      </c>
      <c r="J217" s="460"/>
      <c r="K217" s="459"/>
      <c r="L217" s="459"/>
      <c r="M217" s="459"/>
      <c r="N217" s="461"/>
      <c r="O217" s="462"/>
      <c r="P217" s="462"/>
    </row>
    <row r="218" spans="2:16">
      <c r="B218" s="455" t="s">
        <v>580</v>
      </c>
      <c r="C218" s="456">
        <v>44264</v>
      </c>
      <c r="D218" s="457">
        <v>1440</v>
      </c>
      <c r="E218" s="458" t="s">
        <v>576</v>
      </c>
      <c r="F218" s="459">
        <f t="shared" si="17"/>
        <v>82231000</v>
      </c>
      <c r="G218" s="459">
        <v>82231000</v>
      </c>
      <c r="H218" s="459">
        <v>0</v>
      </c>
      <c r="I218" s="459">
        <f t="shared" si="16"/>
        <v>82231000</v>
      </c>
      <c r="J218" s="460"/>
      <c r="K218" s="459"/>
      <c r="L218" s="459"/>
      <c r="M218" s="459"/>
      <c r="N218" s="461"/>
      <c r="O218" s="462"/>
      <c r="P218" s="462"/>
    </row>
    <row r="219" spans="2:16">
      <c r="B219" s="455" t="s">
        <v>577</v>
      </c>
      <c r="C219" s="456">
        <v>44264</v>
      </c>
      <c r="D219" s="457">
        <v>1440</v>
      </c>
      <c r="E219" s="458" t="s">
        <v>576</v>
      </c>
      <c r="F219" s="459">
        <f t="shared" si="17"/>
        <v>109642000</v>
      </c>
      <c r="G219" s="459">
        <v>109642000</v>
      </c>
      <c r="H219" s="459">
        <v>0</v>
      </c>
      <c r="I219" s="459">
        <f t="shared" si="16"/>
        <v>109642000</v>
      </c>
      <c r="J219" s="460"/>
      <c r="K219" s="459"/>
      <c r="L219" s="459"/>
      <c r="M219" s="459"/>
      <c r="N219" s="461"/>
      <c r="O219" s="462"/>
      <c r="P219" s="462"/>
    </row>
    <row r="220" spans="2:16">
      <c r="B220" s="455" t="s">
        <v>585</v>
      </c>
      <c r="C220" s="456">
        <v>44264</v>
      </c>
      <c r="D220" s="457">
        <v>1440</v>
      </c>
      <c r="E220" s="458" t="s">
        <v>576</v>
      </c>
      <c r="F220" s="459">
        <f t="shared" si="17"/>
        <v>109000</v>
      </c>
      <c r="G220" s="459">
        <v>109000</v>
      </c>
      <c r="H220" s="459">
        <v>0</v>
      </c>
      <c r="I220" s="459">
        <f t="shared" si="16"/>
        <v>109000</v>
      </c>
      <c r="J220" s="460"/>
      <c r="K220" s="459"/>
      <c r="L220" s="459"/>
      <c r="M220" s="459"/>
      <c r="N220" s="461"/>
      <c r="O220" s="462"/>
      <c r="P220" s="462"/>
    </row>
    <row r="221" spans="2:16">
      <c r="B221" s="455" t="s">
        <v>578</v>
      </c>
      <c r="C221" s="456">
        <v>44267</v>
      </c>
      <c r="D221" s="457">
        <v>270</v>
      </c>
      <c r="E221" s="458" t="s">
        <v>579</v>
      </c>
      <c r="F221" s="459">
        <f t="shared" si="17"/>
        <v>87500000</v>
      </c>
      <c r="G221" s="459">
        <v>86848635.235732004</v>
      </c>
      <c r="H221" s="459">
        <v>651364.76426799595</v>
      </c>
      <c r="I221" s="459">
        <f t="shared" si="16"/>
        <v>87500000</v>
      </c>
      <c r="J221" s="460"/>
      <c r="K221" s="459"/>
      <c r="L221" s="459"/>
      <c r="M221" s="459"/>
      <c r="N221" s="461"/>
      <c r="O221" s="462"/>
      <c r="P221" s="462"/>
    </row>
    <row r="222" spans="2:16">
      <c r="B222" s="455" t="s">
        <v>580</v>
      </c>
      <c r="C222" s="456">
        <v>44267</v>
      </c>
      <c r="D222" s="457">
        <v>270</v>
      </c>
      <c r="E222" s="458" t="s">
        <v>579</v>
      </c>
      <c r="F222" s="459">
        <f t="shared" si="17"/>
        <v>87500000</v>
      </c>
      <c r="G222" s="459">
        <v>86848635.235732004</v>
      </c>
      <c r="H222" s="459">
        <v>651364.76426799595</v>
      </c>
      <c r="I222" s="459">
        <f t="shared" si="16"/>
        <v>87500000</v>
      </c>
      <c r="J222" s="460"/>
      <c r="K222" s="459"/>
      <c r="L222" s="459"/>
      <c r="M222" s="459"/>
      <c r="N222" s="461"/>
      <c r="O222" s="462"/>
      <c r="P222" s="462"/>
    </row>
    <row r="223" spans="2:16">
      <c r="B223" s="455" t="s">
        <v>575</v>
      </c>
      <c r="C223" s="456">
        <v>44267</v>
      </c>
      <c r="D223" s="457">
        <v>270</v>
      </c>
      <c r="E223" s="458" t="s">
        <v>579</v>
      </c>
      <c r="F223" s="459">
        <f t="shared" si="17"/>
        <v>87500000</v>
      </c>
      <c r="G223" s="459">
        <v>86848635.235732004</v>
      </c>
      <c r="H223" s="459">
        <v>651364.76426799595</v>
      </c>
      <c r="I223" s="459">
        <f t="shared" si="16"/>
        <v>87500000</v>
      </c>
      <c r="J223" s="460"/>
      <c r="K223" s="459"/>
      <c r="L223" s="459"/>
      <c r="M223" s="459"/>
      <c r="N223" s="461"/>
      <c r="O223" s="462"/>
      <c r="P223" s="462"/>
    </row>
    <row r="224" spans="2:16">
      <c r="B224" s="455" t="s">
        <v>578</v>
      </c>
      <c r="C224" s="456">
        <v>44271</v>
      </c>
      <c r="D224" s="457">
        <v>1800</v>
      </c>
      <c r="E224" s="458" t="s">
        <v>576</v>
      </c>
      <c r="F224" s="459">
        <f t="shared" si="17"/>
        <v>150003000</v>
      </c>
      <c r="G224" s="459">
        <v>150003000</v>
      </c>
      <c r="H224" s="459">
        <v>0</v>
      </c>
      <c r="I224" s="459">
        <f t="shared" si="16"/>
        <v>150003000</v>
      </c>
      <c r="J224" s="460"/>
      <c r="K224" s="459"/>
      <c r="L224" s="459"/>
      <c r="M224" s="459"/>
      <c r="N224" s="461"/>
      <c r="O224" s="462"/>
      <c r="P224" s="462"/>
    </row>
    <row r="225" spans="2:16">
      <c r="B225" s="455" t="s">
        <v>575</v>
      </c>
      <c r="C225" s="456">
        <v>44271</v>
      </c>
      <c r="D225" s="457">
        <v>1800</v>
      </c>
      <c r="E225" s="458" t="s">
        <v>576</v>
      </c>
      <c r="F225" s="459">
        <f t="shared" si="17"/>
        <v>79999000</v>
      </c>
      <c r="G225" s="459">
        <v>79999000</v>
      </c>
      <c r="H225" s="459">
        <v>0</v>
      </c>
      <c r="I225" s="459">
        <f t="shared" si="16"/>
        <v>79999000</v>
      </c>
      <c r="J225" s="460"/>
      <c r="K225" s="459"/>
      <c r="L225" s="459"/>
      <c r="M225" s="459"/>
      <c r="N225" s="461"/>
      <c r="O225" s="462"/>
      <c r="P225" s="462"/>
    </row>
    <row r="226" spans="2:16">
      <c r="B226" s="455" t="s">
        <v>577</v>
      </c>
      <c r="C226" s="456">
        <v>44271</v>
      </c>
      <c r="D226" s="457">
        <v>1800</v>
      </c>
      <c r="E226" s="458" t="s">
        <v>576</v>
      </c>
      <c r="F226" s="459">
        <f t="shared" si="17"/>
        <v>74999000</v>
      </c>
      <c r="G226" s="459">
        <v>74999000</v>
      </c>
      <c r="H226" s="459">
        <v>0</v>
      </c>
      <c r="I226" s="459">
        <f t="shared" si="16"/>
        <v>74999000</v>
      </c>
      <c r="J226" s="460"/>
      <c r="K226" s="459"/>
      <c r="L226" s="459"/>
      <c r="M226" s="459"/>
      <c r="N226" s="461"/>
      <c r="O226" s="462"/>
      <c r="P226" s="462"/>
    </row>
    <row r="227" spans="2:16">
      <c r="B227" s="455" t="s">
        <v>580</v>
      </c>
      <c r="C227" s="456">
        <v>44271</v>
      </c>
      <c r="D227" s="457">
        <v>1800</v>
      </c>
      <c r="E227" s="458" t="s">
        <v>576</v>
      </c>
      <c r="F227" s="459">
        <f t="shared" si="17"/>
        <v>84999000</v>
      </c>
      <c r="G227" s="459">
        <v>84999000</v>
      </c>
      <c r="H227" s="459">
        <v>0</v>
      </c>
      <c r="I227" s="459">
        <f t="shared" si="16"/>
        <v>84999000</v>
      </c>
      <c r="J227" s="460"/>
      <c r="K227" s="459"/>
      <c r="L227" s="459"/>
      <c r="M227" s="459"/>
      <c r="N227" s="461"/>
      <c r="O227" s="462"/>
      <c r="P227" s="462"/>
    </row>
    <row r="228" spans="2:16">
      <c r="B228" s="455" t="s">
        <v>575</v>
      </c>
      <c r="C228" s="456">
        <v>44274</v>
      </c>
      <c r="D228" s="457">
        <v>2520</v>
      </c>
      <c r="E228" s="458" t="s">
        <v>576</v>
      </c>
      <c r="F228" s="459">
        <f t="shared" si="17"/>
        <v>123529000</v>
      </c>
      <c r="G228" s="459">
        <v>123529000</v>
      </c>
      <c r="H228" s="459">
        <v>0</v>
      </c>
      <c r="I228" s="459">
        <f t="shared" si="16"/>
        <v>123529000</v>
      </c>
      <c r="J228" s="460"/>
      <c r="K228" s="459"/>
      <c r="L228" s="459"/>
      <c r="M228" s="459"/>
      <c r="N228" s="461"/>
      <c r="O228" s="462"/>
      <c r="P228" s="462"/>
    </row>
    <row r="229" spans="2:16">
      <c r="B229" s="455" t="s">
        <v>582</v>
      </c>
      <c r="C229" s="460"/>
      <c r="D229" s="460"/>
      <c r="E229" s="458" t="s">
        <v>576</v>
      </c>
      <c r="F229" s="459"/>
      <c r="G229" s="460"/>
      <c r="H229" s="460"/>
      <c r="I229" s="460"/>
      <c r="J229" s="456">
        <v>44258</v>
      </c>
      <c r="K229" s="459">
        <v>0</v>
      </c>
      <c r="L229" s="459">
        <v>63250</v>
      </c>
      <c r="M229" s="459">
        <f t="shared" ref="M229:M292" si="18">+K229+L229</f>
        <v>63250</v>
      </c>
      <c r="N229" s="461"/>
      <c r="O229" s="462"/>
      <c r="P229" s="462"/>
    </row>
    <row r="230" spans="2:16">
      <c r="B230" s="455" t="s">
        <v>577</v>
      </c>
      <c r="C230" s="460"/>
      <c r="D230" s="460"/>
      <c r="E230" s="458" t="s">
        <v>576</v>
      </c>
      <c r="F230" s="459"/>
      <c r="G230" s="460"/>
      <c r="H230" s="460"/>
      <c r="I230" s="460"/>
      <c r="J230" s="456">
        <v>44258</v>
      </c>
      <c r="K230" s="459">
        <v>0</v>
      </c>
      <c r="L230" s="459">
        <v>1179200</v>
      </c>
      <c r="M230" s="459">
        <f t="shared" si="18"/>
        <v>1179200</v>
      </c>
      <c r="N230" s="461"/>
      <c r="O230" s="462"/>
      <c r="P230" s="462"/>
    </row>
    <row r="231" spans="2:16">
      <c r="B231" s="455" t="s">
        <v>582</v>
      </c>
      <c r="C231" s="460"/>
      <c r="D231" s="460"/>
      <c r="E231" s="458" t="s">
        <v>576</v>
      </c>
      <c r="F231" s="459"/>
      <c r="G231" s="460"/>
      <c r="H231" s="460"/>
      <c r="I231" s="460"/>
      <c r="J231" s="456">
        <v>44258</v>
      </c>
      <c r="K231" s="459">
        <v>0</v>
      </c>
      <c r="L231" s="459">
        <v>4375</v>
      </c>
      <c r="M231" s="459">
        <f t="shared" si="18"/>
        <v>4375</v>
      </c>
      <c r="N231" s="461"/>
      <c r="O231" s="462"/>
      <c r="P231" s="462"/>
    </row>
    <row r="232" spans="2:16">
      <c r="B232" s="455" t="s">
        <v>575</v>
      </c>
      <c r="C232" s="460"/>
      <c r="D232" s="460"/>
      <c r="E232" s="458" t="s">
        <v>576</v>
      </c>
      <c r="F232" s="459"/>
      <c r="G232" s="460"/>
      <c r="H232" s="460"/>
      <c r="I232" s="460"/>
      <c r="J232" s="456">
        <v>44258</v>
      </c>
      <c r="K232" s="459">
        <v>0</v>
      </c>
      <c r="L232" s="459">
        <v>845818</v>
      </c>
      <c r="M232" s="459">
        <f t="shared" si="18"/>
        <v>845818</v>
      </c>
      <c r="N232" s="461"/>
      <c r="O232" s="462"/>
      <c r="P232" s="462"/>
    </row>
    <row r="233" spans="2:16">
      <c r="B233" s="455" t="s">
        <v>585</v>
      </c>
      <c r="C233" s="460"/>
      <c r="D233" s="460"/>
      <c r="E233" s="458" t="s">
        <v>576</v>
      </c>
      <c r="F233" s="459"/>
      <c r="G233" s="460"/>
      <c r="H233" s="460"/>
      <c r="I233" s="460"/>
      <c r="J233" s="456">
        <v>44258</v>
      </c>
      <c r="K233" s="459">
        <v>0</v>
      </c>
      <c r="L233" s="459">
        <v>4082750</v>
      </c>
      <c r="M233" s="459">
        <f t="shared" si="18"/>
        <v>4082750</v>
      </c>
      <c r="N233" s="461"/>
      <c r="O233" s="462"/>
      <c r="P233" s="462"/>
    </row>
    <row r="234" spans="2:16">
      <c r="B234" s="455" t="s">
        <v>586</v>
      </c>
      <c r="C234" s="460"/>
      <c r="D234" s="460"/>
      <c r="E234" s="458" t="s">
        <v>576</v>
      </c>
      <c r="F234" s="459"/>
      <c r="G234" s="460"/>
      <c r="H234" s="460"/>
      <c r="I234" s="460"/>
      <c r="J234" s="456">
        <v>44258</v>
      </c>
      <c r="K234" s="459">
        <v>0</v>
      </c>
      <c r="L234" s="459">
        <v>4375</v>
      </c>
      <c r="M234" s="459">
        <f t="shared" si="18"/>
        <v>4375</v>
      </c>
      <c r="N234" s="461"/>
      <c r="O234" s="462"/>
      <c r="P234" s="462"/>
    </row>
    <row r="235" spans="2:16">
      <c r="B235" s="455" t="s">
        <v>577</v>
      </c>
      <c r="C235" s="460"/>
      <c r="D235" s="460"/>
      <c r="E235" s="458" t="s">
        <v>576</v>
      </c>
      <c r="F235" s="459"/>
      <c r="G235" s="460"/>
      <c r="H235" s="460"/>
      <c r="I235" s="460"/>
      <c r="J235" s="456">
        <v>44258</v>
      </c>
      <c r="K235" s="459">
        <v>0</v>
      </c>
      <c r="L235" s="459">
        <v>2686000</v>
      </c>
      <c r="M235" s="459">
        <f t="shared" si="18"/>
        <v>2686000</v>
      </c>
      <c r="N235" s="461"/>
      <c r="O235" s="462"/>
      <c r="P235" s="462"/>
    </row>
    <row r="236" spans="2:16">
      <c r="B236" s="455" t="s">
        <v>583</v>
      </c>
      <c r="C236" s="460"/>
      <c r="D236" s="460"/>
      <c r="E236" s="458" t="s">
        <v>576</v>
      </c>
      <c r="F236" s="459"/>
      <c r="G236" s="460"/>
      <c r="H236" s="460"/>
      <c r="I236" s="460"/>
      <c r="J236" s="456">
        <v>44258</v>
      </c>
      <c r="K236" s="459">
        <v>0</v>
      </c>
      <c r="L236" s="459">
        <v>178125</v>
      </c>
      <c r="M236" s="459">
        <f t="shared" si="18"/>
        <v>178125</v>
      </c>
      <c r="N236" s="461"/>
      <c r="O236" s="462"/>
      <c r="P236" s="462"/>
    </row>
    <row r="237" spans="2:16">
      <c r="B237" s="455" t="s">
        <v>582</v>
      </c>
      <c r="C237" s="460"/>
      <c r="D237" s="460"/>
      <c r="E237" s="458" t="s">
        <v>576</v>
      </c>
      <c r="F237" s="459"/>
      <c r="G237" s="460"/>
      <c r="H237" s="460"/>
      <c r="I237" s="460"/>
      <c r="J237" s="456">
        <v>44258</v>
      </c>
      <c r="K237" s="459">
        <v>0</v>
      </c>
      <c r="L237" s="459">
        <v>195938</v>
      </c>
      <c r="M237" s="459">
        <f t="shared" si="18"/>
        <v>195938</v>
      </c>
      <c r="N237" s="461"/>
      <c r="O237" s="462"/>
      <c r="P237" s="462"/>
    </row>
    <row r="238" spans="2:16">
      <c r="B238" s="455" t="s">
        <v>584</v>
      </c>
      <c r="C238" s="460"/>
      <c r="D238" s="460"/>
      <c r="E238" s="458" t="s">
        <v>576</v>
      </c>
      <c r="F238" s="459"/>
      <c r="G238" s="460"/>
      <c r="H238" s="460"/>
      <c r="I238" s="460"/>
      <c r="J238" s="456">
        <v>44258</v>
      </c>
      <c r="K238" s="459">
        <v>0</v>
      </c>
      <c r="L238" s="459">
        <v>5104165</v>
      </c>
      <c r="M238" s="459">
        <f t="shared" si="18"/>
        <v>5104165</v>
      </c>
      <c r="N238" s="461"/>
      <c r="O238" s="462"/>
      <c r="P238" s="462"/>
    </row>
    <row r="239" spans="2:16">
      <c r="B239" s="455" t="s">
        <v>575</v>
      </c>
      <c r="C239" s="460"/>
      <c r="D239" s="460"/>
      <c r="E239" s="458" t="s">
        <v>576</v>
      </c>
      <c r="F239" s="459"/>
      <c r="G239" s="460"/>
      <c r="H239" s="460"/>
      <c r="I239" s="460"/>
      <c r="J239" s="456">
        <v>44259</v>
      </c>
      <c r="K239" s="459">
        <v>0</v>
      </c>
      <c r="L239" s="459">
        <v>13812500</v>
      </c>
      <c r="M239" s="459">
        <f t="shared" si="18"/>
        <v>13812500</v>
      </c>
      <c r="N239" s="461"/>
      <c r="O239" s="462"/>
      <c r="P239" s="462"/>
    </row>
    <row r="240" spans="2:16">
      <c r="B240" s="455" t="s">
        <v>586</v>
      </c>
      <c r="C240" s="460"/>
      <c r="D240" s="460"/>
      <c r="E240" s="458" t="s">
        <v>576</v>
      </c>
      <c r="F240" s="459"/>
      <c r="G240" s="460"/>
      <c r="H240" s="460"/>
      <c r="I240" s="460"/>
      <c r="J240" s="456">
        <v>44260</v>
      </c>
      <c r="K240" s="459">
        <v>0</v>
      </c>
      <c r="L240" s="459">
        <v>96875</v>
      </c>
      <c r="M240" s="459">
        <f t="shared" si="18"/>
        <v>96875</v>
      </c>
      <c r="N240" s="461"/>
      <c r="O240" s="462"/>
      <c r="P240" s="462"/>
    </row>
    <row r="241" spans="2:16">
      <c r="B241" s="455" t="s">
        <v>580</v>
      </c>
      <c r="C241" s="460"/>
      <c r="D241" s="460"/>
      <c r="E241" s="458" t="s">
        <v>576</v>
      </c>
      <c r="F241" s="459"/>
      <c r="G241" s="460"/>
      <c r="H241" s="460"/>
      <c r="I241" s="460"/>
      <c r="J241" s="456">
        <v>44260</v>
      </c>
      <c r="K241" s="459">
        <v>0</v>
      </c>
      <c r="L241" s="459">
        <v>2297236</v>
      </c>
      <c r="M241" s="459">
        <f t="shared" si="18"/>
        <v>2297236</v>
      </c>
      <c r="N241" s="461"/>
      <c r="O241" s="462"/>
      <c r="P241" s="462"/>
    </row>
    <row r="242" spans="2:16">
      <c r="B242" s="455" t="s">
        <v>575</v>
      </c>
      <c r="C242" s="460"/>
      <c r="D242" s="460"/>
      <c r="E242" s="458" t="s">
        <v>576</v>
      </c>
      <c r="F242" s="459"/>
      <c r="G242" s="460"/>
      <c r="H242" s="460"/>
      <c r="I242" s="460"/>
      <c r="J242" s="456">
        <v>44260</v>
      </c>
      <c r="K242" s="459">
        <v>0</v>
      </c>
      <c r="L242" s="459">
        <v>2297294</v>
      </c>
      <c r="M242" s="459">
        <f t="shared" si="18"/>
        <v>2297294</v>
      </c>
      <c r="N242" s="461"/>
      <c r="O242" s="462"/>
      <c r="P242" s="462"/>
    </row>
    <row r="243" spans="2:16">
      <c r="B243" s="455" t="s">
        <v>597</v>
      </c>
      <c r="C243" s="460"/>
      <c r="D243" s="460"/>
      <c r="E243" s="458" t="s">
        <v>576</v>
      </c>
      <c r="F243" s="459"/>
      <c r="G243" s="460"/>
      <c r="H243" s="460"/>
      <c r="I243" s="460"/>
      <c r="J243" s="456">
        <v>44260</v>
      </c>
      <c r="K243" s="459">
        <v>0</v>
      </c>
      <c r="L243" s="459">
        <v>703235</v>
      </c>
      <c r="M243" s="459">
        <f t="shared" si="18"/>
        <v>703235</v>
      </c>
      <c r="N243" s="461"/>
      <c r="O243" s="462"/>
      <c r="P243" s="462"/>
    </row>
    <row r="244" spans="2:16">
      <c r="B244" s="455" t="s">
        <v>575</v>
      </c>
      <c r="C244" s="460"/>
      <c r="D244" s="460"/>
      <c r="E244" s="458" t="s">
        <v>576</v>
      </c>
      <c r="F244" s="459"/>
      <c r="G244" s="460"/>
      <c r="H244" s="460"/>
      <c r="I244" s="460"/>
      <c r="J244" s="456">
        <v>44263</v>
      </c>
      <c r="K244" s="459">
        <v>0</v>
      </c>
      <c r="L244" s="459">
        <v>1582989</v>
      </c>
      <c r="M244" s="459">
        <f t="shared" si="18"/>
        <v>1582989</v>
      </c>
      <c r="N244" s="461"/>
      <c r="O244" s="462"/>
      <c r="P244" s="462"/>
    </row>
    <row r="245" spans="2:16">
      <c r="B245" s="455" t="s">
        <v>580</v>
      </c>
      <c r="C245" s="460"/>
      <c r="D245" s="460"/>
      <c r="E245" s="458" t="s">
        <v>576</v>
      </c>
      <c r="F245" s="459"/>
      <c r="G245" s="460"/>
      <c r="H245" s="460"/>
      <c r="I245" s="460"/>
      <c r="J245" s="456">
        <v>44263</v>
      </c>
      <c r="K245" s="459">
        <v>0</v>
      </c>
      <c r="L245" s="459">
        <v>2627821</v>
      </c>
      <c r="M245" s="459">
        <f t="shared" si="18"/>
        <v>2627821</v>
      </c>
      <c r="N245" s="461"/>
      <c r="O245" s="462"/>
      <c r="P245" s="462"/>
    </row>
    <row r="246" spans="2:16">
      <c r="B246" s="455" t="s">
        <v>583</v>
      </c>
      <c r="C246" s="460"/>
      <c r="D246" s="460"/>
      <c r="E246" s="458" t="s">
        <v>576</v>
      </c>
      <c r="F246" s="459"/>
      <c r="G246" s="460"/>
      <c r="H246" s="460"/>
      <c r="I246" s="460"/>
      <c r="J246" s="456">
        <v>44263</v>
      </c>
      <c r="K246" s="459">
        <v>0</v>
      </c>
      <c r="L246" s="459">
        <v>4438</v>
      </c>
      <c r="M246" s="459">
        <f t="shared" si="18"/>
        <v>4438</v>
      </c>
      <c r="N246" s="461"/>
      <c r="O246" s="462"/>
      <c r="P246" s="462"/>
    </row>
    <row r="247" spans="2:16">
      <c r="B247" s="455" t="s">
        <v>575</v>
      </c>
      <c r="C247" s="460"/>
      <c r="D247" s="460"/>
      <c r="E247" s="458" t="s">
        <v>576</v>
      </c>
      <c r="F247" s="459"/>
      <c r="G247" s="460"/>
      <c r="H247" s="460"/>
      <c r="I247" s="460"/>
      <c r="J247" s="456">
        <v>44263</v>
      </c>
      <c r="K247" s="459">
        <v>0</v>
      </c>
      <c r="L247" s="459">
        <v>4556152</v>
      </c>
      <c r="M247" s="459">
        <f t="shared" si="18"/>
        <v>4556152</v>
      </c>
      <c r="N247" s="461"/>
      <c r="O247" s="462"/>
      <c r="P247" s="462"/>
    </row>
    <row r="248" spans="2:16">
      <c r="B248" s="455" t="s">
        <v>580</v>
      </c>
      <c r="C248" s="460"/>
      <c r="D248" s="460"/>
      <c r="E248" s="458" t="s">
        <v>576</v>
      </c>
      <c r="F248" s="459"/>
      <c r="G248" s="460"/>
      <c r="H248" s="460"/>
      <c r="I248" s="460"/>
      <c r="J248" s="456">
        <v>44263</v>
      </c>
      <c r="K248" s="459">
        <v>0</v>
      </c>
      <c r="L248" s="459">
        <v>920138</v>
      </c>
      <c r="M248" s="459">
        <f t="shared" si="18"/>
        <v>920138</v>
      </c>
      <c r="N248" s="461"/>
      <c r="O248" s="462"/>
      <c r="P248" s="462"/>
    </row>
    <row r="249" spans="2:16">
      <c r="B249" s="455" t="s">
        <v>580</v>
      </c>
      <c r="C249" s="460"/>
      <c r="D249" s="460"/>
      <c r="E249" s="458" t="s">
        <v>576</v>
      </c>
      <c r="F249" s="459"/>
      <c r="G249" s="460"/>
      <c r="H249" s="460"/>
      <c r="I249" s="460"/>
      <c r="J249" s="456">
        <v>44263</v>
      </c>
      <c r="K249" s="459">
        <v>0</v>
      </c>
      <c r="L249" s="459">
        <v>212313</v>
      </c>
      <c r="M249" s="459">
        <f t="shared" si="18"/>
        <v>212313</v>
      </c>
      <c r="N249" s="461"/>
      <c r="O249" s="462"/>
      <c r="P249" s="462"/>
    </row>
    <row r="250" spans="2:16">
      <c r="B250" s="455" t="s">
        <v>580</v>
      </c>
      <c r="C250" s="460"/>
      <c r="D250" s="460"/>
      <c r="E250" s="458" t="s">
        <v>576</v>
      </c>
      <c r="F250" s="459"/>
      <c r="G250" s="460"/>
      <c r="H250" s="460"/>
      <c r="I250" s="460"/>
      <c r="J250" s="456">
        <v>44263</v>
      </c>
      <c r="K250" s="459">
        <v>0</v>
      </c>
      <c r="L250" s="459">
        <v>4343889</v>
      </c>
      <c r="M250" s="459">
        <f t="shared" si="18"/>
        <v>4343889</v>
      </c>
      <c r="N250" s="461"/>
      <c r="O250" s="462"/>
      <c r="P250" s="462"/>
    </row>
    <row r="251" spans="2:16">
      <c r="B251" s="455" t="s">
        <v>585</v>
      </c>
      <c r="C251" s="460"/>
      <c r="D251" s="460"/>
      <c r="E251" s="458" t="s">
        <v>576</v>
      </c>
      <c r="F251" s="459"/>
      <c r="G251" s="460"/>
      <c r="H251" s="460"/>
      <c r="I251" s="460"/>
      <c r="J251" s="456">
        <v>44263</v>
      </c>
      <c r="K251" s="459">
        <v>0</v>
      </c>
      <c r="L251" s="459">
        <v>1831134</v>
      </c>
      <c r="M251" s="459">
        <f t="shared" si="18"/>
        <v>1831134</v>
      </c>
      <c r="N251" s="461"/>
      <c r="O251" s="462"/>
      <c r="P251" s="462"/>
    </row>
    <row r="252" spans="2:16">
      <c r="B252" s="455" t="s">
        <v>582</v>
      </c>
      <c r="C252" s="460"/>
      <c r="D252" s="460"/>
      <c r="E252" s="458" t="s">
        <v>576</v>
      </c>
      <c r="F252" s="459"/>
      <c r="G252" s="460"/>
      <c r="H252" s="460"/>
      <c r="I252" s="460"/>
      <c r="J252" s="456">
        <v>44263</v>
      </c>
      <c r="K252" s="459">
        <v>0</v>
      </c>
      <c r="L252" s="459">
        <v>4791</v>
      </c>
      <c r="M252" s="459">
        <f t="shared" si="18"/>
        <v>4791</v>
      </c>
      <c r="N252" s="461"/>
      <c r="O252" s="462"/>
      <c r="P252" s="462"/>
    </row>
    <row r="253" spans="2:16">
      <c r="B253" s="455" t="s">
        <v>582</v>
      </c>
      <c r="C253" s="460"/>
      <c r="D253" s="460"/>
      <c r="E253" s="458" t="s">
        <v>576</v>
      </c>
      <c r="F253" s="459"/>
      <c r="G253" s="460"/>
      <c r="H253" s="460"/>
      <c r="I253" s="460"/>
      <c r="J253" s="456">
        <v>44263</v>
      </c>
      <c r="K253" s="459">
        <v>0</v>
      </c>
      <c r="L253" s="459">
        <v>44375</v>
      </c>
      <c r="M253" s="459">
        <f t="shared" si="18"/>
        <v>44375</v>
      </c>
      <c r="N253" s="461"/>
      <c r="O253" s="462"/>
      <c r="P253" s="462"/>
    </row>
    <row r="254" spans="2:16">
      <c r="B254" s="455" t="s">
        <v>584</v>
      </c>
      <c r="C254" s="460"/>
      <c r="D254" s="460"/>
      <c r="E254" s="458" t="s">
        <v>576</v>
      </c>
      <c r="F254" s="459"/>
      <c r="G254" s="460"/>
      <c r="H254" s="460"/>
      <c r="I254" s="460"/>
      <c r="J254" s="456">
        <v>44263</v>
      </c>
      <c r="K254" s="459">
        <v>0</v>
      </c>
      <c r="L254" s="459">
        <v>688584</v>
      </c>
      <c r="M254" s="459">
        <f t="shared" si="18"/>
        <v>688584</v>
      </c>
      <c r="N254" s="461"/>
      <c r="O254" s="462"/>
      <c r="P254" s="462"/>
    </row>
    <row r="255" spans="2:16">
      <c r="B255" s="455" t="s">
        <v>580</v>
      </c>
      <c r="C255" s="460"/>
      <c r="D255" s="460"/>
      <c r="E255" s="458" t="s">
        <v>576</v>
      </c>
      <c r="F255" s="459"/>
      <c r="G255" s="460"/>
      <c r="H255" s="460"/>
      <c r="I255" s="460"/>
      <c r="J255" s="456">
        <v>44263</v>
      </c>
      <c r="K255" s="459">
        <v>0</v>
      </c>
      <c r="L255" s="459">
        <v>6798125</v>
      </c>
      <c r="M255" s="459">
        <f t="shared" si="18"/>
        <v>6798125</v>
      </c>
      <c r="N255" s="461"/>
      <c r="O255" s="462"/>
      <c r="P255" s="462"/>
    </row>
    <row r="256" spans="2:16">
      <c r="B256" s="455" t="s">
        <v>577</v>
      </c>
      <c r="C256" s="460"/>
      <c r="D256" s="460"/>
      <c r="E256" s="458" t="s">
        <v>576</v>
      </c>
      <c r="F256" s="459"/>
      <c r="G256" s="460"/>
      <c r="H256" s="460"/>
      <c r="I256" s="460"/>
      <c r="J256" s="456">
        <v>44263</v>
      </c>
      <c r="K256" s="459">
        <v>0</v>
      </c>
      <c r="L256" s="459">
        <v>4248263</v>
      </c>
      <c r="M256" s="459">
        <f t="shared" si="18"/>
        <v>4248263</v>
      </c>
      <c r="N256" s="461"/>
      <c r="O256" s="462"/>
      <c r="P256" s="462"/>
    </row>
    <row r="257" spans="2:16">
      <c r="B257" s="455" t="s">
        <v>577</v>
      </c>
      <c r="C257" s="460"/>
      <c r="D257" s="460"/>
      <c r="E257" s="458" t="s">
        <v>576</v>
      </c>
      <c r="F257" s="459"/>
      <c r="G257" s="460"/>
      <c r="H257" s="460"/>
      <c r="I257" s="460"/>
      <c r="J257" s="456">
        <v>44265</v>
      </c>
      <c r="K257" s="459">
        <v>0</v>
      </c>
      <c r="L257" s="459">
        <v>1998371</v>
      </c>
      <c r="M257" s="459">
        <f t="shared" si="18"/>
        <v>1998371</v>
      </c>
      <c r="N257" s="461"/>
      <c r="O257" s="462"/>
      <c r="P257" s="462"/>
    </row>
    <row r="258" spans="2:16">
      <c r="B258" s="455" t="s">
        <v>585</v>
      </c>
      <c r="C258" s="460"/>
      <c r="D258" s="460"/>
      <c r="E258" s="458" t="s">
        <v>576</v>
      </c>
      <c r="F258" s="459"/>
      <c r="G258" s="460"/>
      <c r="H258" s="460"/>
      <c r="I258" s="460"/>
      <c r="J258" s="456">
        <v>44265</v>
      </c>
      <c r="K258" s="459">
        <v>0</v>
      </c>
      <c r="L258" s="459">
        <v>300000</v>
      </c>
      <c r="M258" s="459">
        <f t="shared" si="18"/>
        <v>300000</v>
      </c>
      <c r="N258" s="461"/>
      <c r="O258" s="462"/>
      <c r="P258" s="462"/>
    </row>
    <row r="259" spans="2:16">
      <c r="B259" s="455" t="s">
        <v>575</v>
      </c>
      <c r="C259" s="460"/>
      <c r="D259" s="460"/>
      <c r="E259" s="458" t="s">
        <v>576</v>
      </c>
      <c r="F259" s="459"/>
      <c r="G259" s="460"/>
      <c r="H259" s="460"/>
      <c r="I259" s="460"/>
      <c r="J259" s="456">
        <v>44265</v>
      </c>
      <c r="K259" s="459">
        <v>0</v>
      </c>
      <c r="L259" s="459">
        <v>3000000</v>
      </c>
      <c r="M259" s="459">
        <f t="shared" si="18"/>
        <v>3000000</v>
      </c>
      <c r="N259" s="461"/>
      <c r="O259" s="462"/>
      <c r="P259" s="462"/>
    </row>
    <row r="260" spans="2:16">
      <c r="B260" s="455" t="s">
        <v>583</v>
      </c>
      <c r="C260" s="460"/>
      <c r="D260" s="460"/>
      <c r="E260" s="458" t="s">
        <v>576</v>
      </c>
      <c r="F260" s="459"/>
      <c r="G260" s="460"/>
      <c r="H260" s="460"/>
      <c r="I260" s="460"/>
      <c r="J260" s="456">
        <v>44265</v>
      </c>
      <c r="K260" s="459">
        <v>0</v>
      </c>
      <c r="L260" s="459">
        <v>120000</v>
      </c>
      <c r="M260" s="459">
        <f t="shared" si="18"/>
        <v>120000</v>
      </c>
      <c r="N260" s="461"/>
      <c r="O260" s="462"/>
      <c r="P260" s="462"/>
    </row>
    <row r="261" spans="2:16">
      <c r="B261" s="455" t="s">
        <v>575</v>
      </c>
      <c r="C261" s="460"/>
      <c r="D261" s="460"/>
      <c r="E261" s="458" t="s">
        <v>576</v>
      </c>
      <c r="F261" s="459"/>
      <c r="G261" s="460"/>
      <c r="H261" s="460"/>
      <c r="I261" s="460"/>
      <c r="J261" s="456">
        <v>44265</v>
      </c>
      <c r="K261" s="459">
        <v>0</v>
      </c>
      <c r="L261" s="459">
        <v>3812500</v>
      </c>
      <c r="M261" s="459">
        <f t="shared" si="18"/>
        <v>3812500</v>
      </c>
      <c r="N261" s="461"/>
      <c r="O261" s="462"/>
      <c r="P261" s="462"/>
    </row>
    <row r="262" spans="2:16">
      <c r="B262" s="455" t="s">
        <v>577</v>
      </c>
      <c r="C262" s="460"/>
      <c r="D262" s="460"/>
      <c r="E262" s="458" t="s">
        <v>576</v>
      </c>
      <c r="F262" s="459"/>
      <c r="G262" s="460"/>
      <c r="H262" s="460"/>
      <c r="I262" s="460"/>
      <c r="J262" s="456">
        <v>44266</v>
      </c>
      <c r="K262" s="459">
        <v>0</v>
      </c>
      <c r="L262" s="459">
        <v>1482951</v>
      </c>
      <c r="M262" s="459">
        <f t="shared" si="18"/>
        <v>1482951</v>
      </c>
      <c r="N262" s="461"/>
      <c r="O262" s="462"/>
      <c r="P262" s="462"/>
    </row>
    <row r="263" spans="2:16">
      <c r="B263" s="455" t="s">
        <v>575</v>
      </c>
      <c r="C263" s="460"/>
      <c r="D263" s="460"/>
      <c r="E263" s="458" t="s">
        <v>576</v>
      </c>
      <c r="F263" s="459"/>
      <c r="G263" s="460"/>
      <c r="H263" s="460"/>
      <c r="I263" s="460"/>
      <c r="J263" s="456">
        <v>44266</v>
      </c>
      <c r="K263" s="459">
        <v>0</v>
      </c>
      <c r="L263" s="459">
        <v>8705369</v>
      </c>
      <c r="M263" s="459">
        <f t="shared" si="18"/>
        <v>8705369</v>
      </c>
      <c r="N263" s="461"/>
      <c r="O263" s="462"/>
      <c r="P263" s="462"/>
    </row>
    <row r="264" spans="2:16">
      <c r="B264" s="455" t="s">
        <v>575</v>
      </c>
      <c r="C264" s="460"/>
      <c r="D264" s="460"/>
      <c r="E264" s="458" t="s">
        <v>576</v>
      </c>
      <c r="F264" s="459"/>
      <c r="G264" s="460"/>
      <c r="H264" s="460"/>
      <c r="I264" s="460"/>
      <c r="J264" s="456">
        <v>44266</v>
      </c>
      <c r="K264" s="459">
        <v>0</v>
      </c>
      <c r="L264" s="459">
        <v>2471598</v>
      </c>
      <c r="M264" s="459">
        <f t="shared" si="18"/>
        <v>2471598</v>
      </c>
      <c r="N264" s="461"/>
      <c r="O264" s="462"/>
      <c r="P264" s="462"/>
    </row>
    <row r="265" spans="2:16">
      <c r="B265" s="455" t="s">
        <v>597</v>
      </c>
      <c r="C265" s="460"/>
      <c r="D265" s="460"/>
      <c r="E265" s="458" t="s">
        <v>576</v>
      </c>
      <c r="F265" s="459"/>
      <c r="G265" s="460"/>
      <c r="H265" s="460"/>
      <c r="I265" s="460"/>
      <c r="J265" s="456">
        <v>44266</v>
      </c>
      <c r="K265" s="459">
        <v>0</v>
      </c>
      <c r="L265" s="459">
        <v>3482131</v>
      </c>
      <c r="M265" s="459">
        <f t="shared" si="18"/>
        <v>3482131</v>
      </c>
      <c r="N265" s="461"/>
      <c r="O265" s="462"/>
      <c r="P265" s="462"/>
    </row>
    <row r="266" spans="2:16">
      <c r="B266" s="455" t="s">
        <v>575</v>
      </c>
      <c r="C266" s="460"/>
      <c r="D266" s="460"/>
      <c r="E266" s="458" t="s">
        <v>576</v>
      </c>
      <c r="F266" s="459"/>
      <c r="G266" s="460"/>
      <c r="H266" s="460"/>
      <c r="I266" s="460"/>
      <c r="J266" s="456">
        <v>44267</v>
      </c>
      <c r="K266" s="459">
        <v>0</v>
      </c>
      <c r="L266" s="459">
        <v>6458346</v>
      </c>
      <c r="M266" s="459">
        <f t="shared" si="18"/>
        <v>6458346</v>
      </c>
      <c r="N266" s="461"/>
      <c r="O266" s="462"/>
      <c r="P266" s="462"/>
    </row>
    <row r="267" spans="2:16">
      <c r="B267" s="455" t="s">
        <v>580</v>
      </c>
      <c r="C267" s="460"/>
      <c r="D267" s="460"/>
      <c r="E267" s="458" t="s">
        <v>576</v>
      </c>
      <c r="F267" s="459"/>
      <c r="G267" s="460"/>
      <c r="H267" s="460"/>
      <c r="I267" s="460"/>
      <c r="J267" s="456">
        <v>44267</v>
      </c>
      <c r="K267" s="459">
        <v>0</v>
      </c>
      <c r="L267" s="459">
        <v>645827</v>
      </c>
      <c r="M267" s="459">
        <f t="shared" si="18"/>
        <v>645827</v>
      </c>
      <c r="N267" s="461"/>
      <c r="O267" s="462"/>
      <c r="P267" s="462"/>
    </row>
    <row r="268" spans="2:16">
      <c r="B268" s="455" t="s">
        <v>577</v>
      </c>
      <c r="C268" s="460"/>
      <c r="D268" s="460"/>
      <c r="E268" s="458" t="s">
        <v>576</v>
      </c>
      <c r="F268" s="459"/>
      <c r="G268" s="460"/>
      <c r="H268" s="460"/>
      <c r="I268" s="460"/>
      <c r="J268" s="456">
        <v>44267</v>
      </c>
      <c r="K268" s="459">
        <v>0</v>
      </c>
      <c r="L268" s="459">
        <v>2583327</v>
      </c>
      <c r="M268" s="459">
        <f t="shared" si="18"/>
        <v>2583327</v>
      </c>
      <c r="N268" s="461"/>
      <c r="O268" s="462"/>
      <c r="P268" s="462"/>
    </row>
    <row r="269" spans="2:16">
      <c r="B269" s="455" t="s">
        <v>585</v>
      </c>
      <c r="C269" s="460"/>
      <c r="D269" s="460"/>
      <c r="E269" s="458" t="s">
        <v>576</v>
      </c>
      <c r="F269" s="459"/>
      <c r="G269" s="460"/>
      <c r="H269" s="460"/>
      <c r="I269" s="460"/>
      <c r="J269" s="456">
        <v>44270</v>
      </c>
      <c r="K269" s="459">
        <v>0</v>
      </c>
      <c r="L269" s="459">
        <v>2198803</v>
      </c>
      <c r="M269" s="459">
        <f t="shared" si="18"/>
        <v>2198803</v>
      </c>
      <c r="N269" s="461"/>
      <c r="O269" s="462"/>
      <c r="P269" s="462"/>
    </row>
    <row r="270" spans="2:16">
      <c r="B270" s="455" t="s">
        <v>580</v>
      </c>
      <c r="C270" s="460"/>
      <c r="D270" s="460"/>
      <c r="E270" s="458" t="s">
        <v>576</v>
      </c>
      <c r="F270" s="459"/>
      <c r="G270" s="460"/>
      <c r="H270" s="460"/>
      <c r="I270" s="460"/>
      <c r="J270" s="456">
        <v>44270</v>
      </c>
      <c r="K270" s="459">
        <v>0</v>
      </c>
      <c r="L270" s="459">
        <v>3544508</v>
      </c>
      <c r="M270" s="459">
        <f t="shared" si="18"/>
        <v>3544508</v>
      </c>
      <c r="N270" s="461"/>
      <c r="O270" s="462"/>
      <c r="P270" s="462"/>
    </row>
    <row r="271" spans="2:16">
      <c r="B271" s="455" t="s">
        <v>577</v>
      </c>
      <c r="C271" s="460"/>
      <c r="D271" s="460"/>
      <c r="E271" s="458" t="s">
        <v>576</v>
      </c>
      <c r="F271" s="459"/>
      <c r="G271" s="460"/>
      <c r="H271" s="460"/>
      <c r="I271" s="460"/>
      <c r="J271" s="456">
        <v>44270</v>
      </c>
      <c r="K271" s="459">
        <v>0</v>
      </c>
      <c r="L271" s="459">
        <v>4433040</v>
      </c>
      <c r="M271" s="459">
        <f t="shared" si="18"/>
        <v>4433040</v>
      </c>
      <c r="N271" s="461"/>
      <c r="O271" s="462"/>
      <c r="P271" s="462"/>
    </row>
    <row r="272" spans="2:16">
      <c r="B272" s="455" t="s">
        <v>577</v>
      </c>
      <c r="C272" s="460"/>
      <c r="D272" s="460"/>
      <c r="E272" s="458" t="s">
        <v>576</v>
      </c>
      <c r="F272" s="459"/>
      <c r="G272" s="460"/>
      <c r="H272" s="460"/>
      <c r="I272" s="460"/>
      <c r="J272" s="456">
        <v>44270</v>
      </c>
      <c r="K272" s="459">
        <v>0</v>
      </c>
      <c r="L272" s="459">
        <v>3546428</v>
      </c>
      <c r="M272" s="459">
        <f t="shared" si="18"/>
        <v>3546428</v>
      </c>
      <c r="N272" s="461"/>
      <c r="O272" s="462"/>
      <c r="P272" s="462"/>
    </row>
    <row r="273" spans="2:16">
      <c r="B273" s="455" t="s">
        <v>587</v>
      </c>
      <c r="C273" s="460"/>
      <c r="D273" s="460"/>
      <c r="E273" s="458" t="s">
        <v>576</v>
      </c>
      <c r="F273" s="459"/>
      <c r="G273" s="460"/>
      <c r="H273" s="460"/>
      <c r="I273" s="460"/>
      <c r="J273" s="456">
        <v>44270</v>
      </c>
      <c r="K273" s="459">
        <v>0</v>
      </c>
      <c r="L273" s="459">
        <v>1725</v>
      </c>
      <c r="M273" s="459">
        <f t="shared" si="18"/>
        <v>1725</v>
      </c>
      <c r="N273" s="461"/>
      <c r="O273" s="462"/>
      <c r="P273" s="462"/>
    </row>
    <row r="274" spans="2:16">
      <c r="B274" s="455" t="s">
        <v>585</v>
      </c>
      <c r="C274" s="460"/>
      <c r="D274" s="460"/>
      <c r="E274" s="458" t="s">
        <v>576</v>
      </c>
      <c r="F274" s="459"/>
      <c r="G274" s="460"/>
      <c r="H274" s="460"/>
      <c r="I274" s="460"/>
      <c r="J274" s="456">
        <v>44270</v>
      </c>
      <c r="K274" s="459">
        <v>0</v>
      </c>
      <c r="L274" s="459">
        <v>7196875</v>
      </c>
      <c r="M274" s="459">
        <f t="shared" si="18"/>
        <v>7196875</v>
      </c>
      <c r="N274" s="461"/>
      <c r="O274" s="462"/>
      <c r="P274" s="462"/>
    </row>
    <row r="275" spans="2:16">
      <c r="B275" s="455" t="s">
        <v>582</v>
      </c>
      <c r="C275" s="460"/>
      <c r="D275" s="460"/>
      <c r="E275" s="458" t="s">
        <v>576</v>
      </c>
      <c r="F275" s="459"/>
      <c r="G275" s="460"/>
      <c r="H275" s="460"/>
      <c r="I275" s="460"/>
      <c r="J275" s="456">
        <v>44270</v>
      </c>
      <c r="K275" s="459">
        <v>0</v>
      </c>
      <c r="L275" s="459">
        <v>5875</v>
      </c>
      <c r="M275" s="459">
        <f t="shared" si="18"/>
        <v>5875</v>
      </c>
      <c r="N275" s="461"/>
      <c r="O275" s="462"/>
      <c r="P275" s="462"/>
    </row>
    <row r="276" spans="2:16">
      <c r="B276" s="455" t="s">
        <v>580</v>
      </c>
      <c r="C276" s="460"/>
      <c r="D276" s="460"/>
      <c r="E276" s="458" t="s">
        <v>576</v>
      </c>
      <c r="F276" s="459"/>
      <c r="G276" s="460"/>
      <c r="H276" s="460"/>
      <c r="I276" s="460"/>
      <c r="J276" s="456">
        <v>44270</v>
      </c>
      <c r="K276" s="459">
        <v>0</v>
      </c>
      <c r="L276" s="459">
        <v>2642110</v>
      </c>
      <c r="M276" s="459">
        <f t="shared" si="18"/>
        <v>2642110</v>
      </c>
      <c r="N276" s="461"/>
      <c r="O276" s="462"/>
      <c r="P276" s="462"/>
    </row>
    <row r="277" spans="2:16">
      <c r="B277" s="455" t="s">
        <v>586</v>
      </c>
      <c r="C277" s="460"/>
      <c r="D277" s="460"/>
      <c r="E277" s="458" t="s">
        <v>576</v>
      </c>
      <c r="F277" s="459"/>
      <c r="G277" s="460"/>
      <c r="H277" s="460"/>
      <c r="I277" s="460"/>
      <c r="J277" s="456">
        <v>44270</v>
      </c>
      <c r="K277" s="459">
        <v>0</v>
      </c>
      <c r="L277" s="459">
        <v>4881</v>
      </c>
      <c r="M277" s="459">
        <f t="shared" si="18"/>
        <v>4881</v>
      </c>
      <c r="N277" s="461"/>
      <c r="O277" s="462"/>
      <c r="P277" s="462"/>
    </row>
    <row r="278" spans="2:16">
      <c r="B278" s="455" t="s">
        <v>580</v>
      </c>
      <c r="C278" s="460"/>
      <c r="D278" s="460"/>
      <c r="E278" s="458" t="s">
        <v>576</v>
      </c>
      <c r="F278" s="459"/>
      <c r="G278" s="460"/>
      <c r="H278" s="460"/>
      <c r="I278" s="460"/>
      <c r="J278" s="456">
        <v>44270</v>
      </c>
      <c r="K278" s="459">
        <v>0</v>
      </c>
      <c r="L278" s="459">
        <v>3421875</v>
      </c>
      <c r="M278" s="459">
        <f t="shared" si="18"/>
        <v>3421875</v>
      </c>
      <c r="N278" s="461"/>
      <c r="O278" s="462"/>
      <c r="P278" s="462"/>
    </row>
    <row r="279" spans="2:16">
      <c r="B279" s="455" t="s">
        <v>586</v>
      </c>
      <c r="C279" s="460"/>
      <c r="D279" s="460"/>
      <c r="E279" s="458" t="s">
        <v>576</v>
      </c>
      <c r="F279" s="459"/>
      <c r="G279" s="460"/>
      <c r="H279" s="460"/>
      <c r="I279" s="460"/>
      <c r="J279" s="456">
        <v>44270</v>
      </c>
      <c r="K279" s="459">
        <v>0</v>
      </c>
      <c r="L279" s="459">
        <v>414647</v>
      </c>
      <c r="M279" s="459">
        <f t="shared" si="18"/>
        <v>414647</v>
      </c>
      <c r="N279" s="461"/>
      <c r="O279" s="462"/>
      <c r="P279" s="462"/>
    </row>
    <row r="280" spans="2:16">
      <c r="B280" s="455" t="s">
        <v>583</v>
      </c>
      <c r="C280" s="460"/>
      <c r="D280" s="460"/>
      <c r="E280" s="458" t="s">
        <v>576</v>
      </c>
      <c r="F280" s="459"/>
      <c r="G280" s="460"/>
      <c r="H280" s="460"/>
      <c r="I280" s="460"/>
      <c r="J280" s="456">
        <v>44270</v>
      </c>
      <c r="K280" s="459">
        <v>0</v>
      </c>
      <c r="L280" s="459">
        <v>242578</v>
      </c>
      <c r="M280" s="459">
        <f t="shared" si="18"/>
        <v>242578</v>
      </c>
      <c r="N280" s="461"/>
      <c r="O280" s="462"/>
      <c r="P280" s="462"/>
    </row>
    <row r="281" spans="2:16">
      <c r="B281" s="455" t="s">
        <v>582</v>
      </c>
      <c r="C281" s="460"/>
      <c r="D281" s="460"/>
      <c r="E281" s="458" t="s">
        <v>576</v>
      </c>
      <c r="F281" s="459"/>
      <c r="G281" s="460"/>
      <c r="H281" s="460"/>
      <c r="I281" s="460"/>
      <c r="J281" s="456">
        <v>44270</v>
      </c>
      <c r="K281" s="459">
        <v>0</v>
      </c>
      <c r="L281" s="459">
        <v>857813</v>
      </c>
      <c r="M281" s="459">
        <f t="shared" si="18"/>
        <v>857813</v>
      </c>
      <c r="N281" s="461"/>
      <c r="O281" s="462"/>
      <c r="P281" s="462"/>
    </row>
    <row r="282" spans="2:16">
      <c r="B282" s="455" t="s">
        <v>575</v>
      </c>
      <c r="C282" s="460"/>
      <c r="D282" s="460"/>
      <c r="E282" s="458" t="s">
        <v>576</v>
      </c>
      <c r="F282" s="459"/>
      <c r="G282" s="460"/>
      <c r="H282" s="460"/>
      <c r="I282" s="460"/>
      <c r="J282" s="456">
        <v>44270</v>
      </c>
      <c r="K282" s="459">
        <v>0</v>
      </c>
      <c r="L282" s="459">
        <v>3574219</v>
      </c>
      <c r="M282" s="459">
        <f t="shared" si="18"/>
        <v>3574219</v>
      </c>
      <c r="N282" s="461"/>
      <c r="O282" s="462"/>
      <c r="P282" s="462"/>
    </row>
    <row r="283" spans="2:16">
      <c r="B283" s="455" t="s">
        <v>582</v>
      </c>
      <c r="C283" s="460"/>
      <c r="D283" s="460"/>
      <c r="E283" s="458" t="s">
        <v>576</v>
      </c>
      <c r="F283" s="459"/>
      <c r="G283" s="460"/>
      <c r="H283" s="460"/>
      <c r="I283" s="460"/>
      <c r="J283" s="456">
        <v>44274</v>
      </c>
      <c r="K283" s="459">
        <v>0</v>
      </c>
      <c r="L283" s="459">
        <v>219906</v>
      </c>
      <c r="M283" s="459">
        <f t="shared" si="18"/>
        <v>219906</v>
      </c>
      <c r="N283" s="461"/>
      <c r="O283" s="462"/>
      <c r="P283" s="462"/>
    </row>
    <row r="284" spans="2:16">
      <c r="B284" s="455" t="s">
        <v>575</v>
      </c>
      <c r="C284" s="460"/>
      <c r="D284" s="460"/>
      <c r="E284" s="458" t="s">
        <v>576</v>
      </c>
      <c r="F284" s="459"/>
      <c r="G284" s="460"/>
      <c r="H284" s="460"/>
      <c r="I284" s="460"/>
      <c r="J284" s="456">
        <v>44274</v>
      </c>
      <c r="K284" s="459">
        <v>0</v>
      </c>
      <c r="L284" s="459">
        <v>3591156</v>
      </c>
      <c r="M284" s="459">
        <f t="shared" si="18"/>
        <v>3591156</v>
      </c>
      <c r="N284" s="461"/>
      <c r="O284" s="462"/>
      <c r="P284" s="462"/>
    </row>
    <row r="285" spans="2:16">
      <c r="B285" s="455" t="s">
        <v>582</v>
      </c>
      <c r="C285" s="460"/>
      <c r="D285" s="460"/>
      <c r="E285" s="458" t="s">
        <v>576</v>
      </c>
      <c r="F285" s="459"/>
      <c r="G285" s="460"/>
      <c r="H285" s="460"/>
      <c r="I285" s="460"/>
      <c r="J285" s="456">
        <v>44277</v>
      </c>
      <c r="K285" s="459">
        <v>0</v>
      </c>
      <c r="L285" s="459">
        <v>129609</v>
      </c>
      <c r="M285" s="459">
        <f t="shared" si="18"/>
        <v>129609</v>
      </c>
      <c r="N285" s="461"/>
      <c r="O285" s="462"/>
      <c r="P285" s="462"/>
    </row>
    <row r="286" spans="2:16">
      <c r="B286" s="455" t="s">
        <v>582</v>
      </c>
      <c r="C286" s="460"/>
      <c r="D286" s="460"/>
      <c r="E286" s="458" t="s">
        <v>576</v>
      </c>
      <c r="F286" s="459"/>
      <c r="G286" s="460"/>
      <c r="H286" s="460"/>
      <c r="I286" s="460"/>
      <c r="J286" s="456">
        <v>44277</v>
      </c>
      <c r="K286" s="459">
        <v>0</v>
      </c>
      <c r="L286" s="459">
        <v>74063</v>
      </c>
      <c r="M286" s="459">
        <f t="shared" si="18"/>
        <v>74063</v>
      </c>
      <c r="N286" s="461"/>
      <c r="O286" s="462"/>
      <c r="P286" s="462"/>
    </row>
    <row r="287" spans="2:16">
      <c r="B287" s="455" t="s">
        <v>585</v>
      </c>
      <c r="C287" s="460"/>
      <c r="D287" s="460"/>
      <c r="E287" s="458" t="s">
        <v>576</v>
      </c>
      <c r="F287" s="459"/>
      <c r="G287" s="460"/>
      <c r="H287" s="460"/>
      <c r="I287" s="460"/>
      <c r="J287" s="456">
        <v>44277</v>
      </c>
      <c r="K287" s="459">
        <v>0</v>
      </c>
      <c r="L287" s="459">
        <v>5928876</v>
      </c>
      <c r="M287" s="459">
        <f t="shared" si="18"/>
        <v>5928876</v>
      </c>
      <c r="N287" s="461"/>
      <c r="O287" s="462"/>
      <c r="P287" s="462"/>
    </row>
    <row r="288" spans="2:16">
      <c r="B288" s="455" t="s">
        <v>580</v>
      </c>
      <c r="C288" s="460"/>
      <c r="D288" s="460"/>
      <c r="E288" s="458" t="s">
        <v>576</v>
      </c>
      <c r="F288" s="459"/>
      <c r="G288" s="460"/>
      <c r="H288" s="460"/>
      <c r="I288" s="460"/>
      <c r="J288" s="456">
        <v>44277</v>
      </c>
      <c r="K288" s="459">
        <v>0</v>
      </c>
      <c r="L288" s="459">
        <v>1663518</v>
      </c>
      <c r="M288" s="459">
        <f t="shared" si="18"/>
        <v>1663518</v>
      </c>
      <c r="N288" s="461"/>
      <c r="O288" s="462"/>
      <c r="P288" s="462"/>
    </row>
    <row r="289" spans="2:16">
      <c r="B289" s="455" t="s">
        <v>586</v>
      </c>
      <c r="C289" s="460"/>
      <c r="D289" s="460"/>
      <c r="E289" s="458" t="s">
        <v>576</v>
      </c>
      <c r="F289" s="459"/>
      <c r="G289" s="460"/>
      <c r="H289" s="460"/>
      <c r="I289" s="460"/>
      <c r="J289" s="456">
        <v>44277</v>
      </c>
      <c r="K289" s="459">
        <v>0</v>
      </c>
      <c r="L289" s="459">
        <v>123438</v>
      </c>
      <c r="M289" s="459">
        <f t="shared" si="18"/>
        <v>123438</v>
      </c>
      <c r="N289" s="461"/>
      <c r="O289" s="462"/>
      <c r="P289" s="462"/>
    </row>
    <row r="290" spans="2:16">
      <c r="B290" s="455" t="s">
        <v>587</v>
      </c>
      <c r="C290" s="460"/>
      <c r="D290" s="460"/>
      <c r="E290" s="458" t="s">
        <v>576</v>
      </c>
      <c r="F290" s="459"/>
      <c r="G290" s="460"/>
      <c r="H290" s="460"/>
      <c r="I290" s="460"/>
      <c r="J290" s="456">
        <v>44277</v>
      </c>
      <c r="K290" s="459">
        <v>0</v>
      </c>
      <c r="L290" s="459">
        <v>1234</v>
      </c>
      <c r="M290" s="459">
        <f t="shared" si="18"/>
        <v>1234</v>
      </c>
      <c r="N290" s="461"/>
      <c r="O290" s="462"/>
      <c r="P290" s="462"/>
    </row>
    <row r="291" spans="2:16">
      <c r="B291" s="455" t="s">
        <v>584</v>
      </c>
      <c r="C291" s="460"/>
      <c r="D291" s="460"/>
      <c r="E291" s="458" t="s">
        <v>576</v>
      </c>
      <c r="F291" s="459"/>
      <c r="G291" s="460"/>
      <c r="H291" s="460"/>
      <c r="I291" s="460"/>
      <c r="J291" s="456">
        <v>44279</v>
      </c>
      <c r="K291" s="459">
        <v>0</v>
      </c>
      <c r="L291" s="459">
        <v>478295</v>
      </c>
      <c r="M291" s="459">
        <f t="shared" si="18"/>
        <v>478295</v>
      </c>
      <c r="N291" s="461"/>
      <c r="O291" s="462"/>
      <c r="P291" s="462"/>
    </row>
    <row r="292" spans="2:16">
      <c r="B292" s="455" t="s">
        <v>577</v>
      </c>
      <c r="C292" s="460"/>
      <c r="D292" s="460"/>
      <c r="E292" s="458" t="s">
        <v>576</v>
      </c>
      <c r="F292" s="459"/>
      <c r="G292" s="460"/>
      <c r="H292" s="460"/>
      <c r="I292" s="460"/>
      <c r="J292" s="456">
        <v>44279</v>
      </c>
      <c r="K292" s="459">
        <v>0</v>
      </c>
      <c r="L292" s="459">
        <v>3467708</v>
      </c>
      <c r="M292" s="459">
        <f t="shared" si="18"/>
        <v>3467708</v>
      </c>
      <c r="N292" s="461"/>
      <c r="O292" s="462"/>
      <c r="P292" s="462"/>
    </row>
    <row r="293" spans="2:16">
      <c r="B293" s="455" t="s">
        <v>575</v>
      </c>
      <c r="C293" s="460"/>
      <c r="D293" s="460"/>
      <c r="E293" s="458" t="s">
        <v>576</v>
      </c>
      <c r="F293" s="459"/>
      <c r="G293" s="460"/>
      <c r="H293" s="460"/>
      <c r="I293" s="460"/>
      <c r="J293" s="456">
        <v>44279</v>
      </c>
      <c r="K293" s="459">
        <v>0</v>
      </c>
      <c r="L293" s="459">
        <v>5071</v>
      </c>
      <c r="M293" s="459">
        <f t="shared" ref="M293:M302" si="19">+K293+L293</f>
        <v>5071</v>
      </c>
      <c r="N293" s="461"/>
      <c r="O293" s="462"/>
      <c r="P293" s="462"/>
    </row>
    <row r="294" spans="2:16">
      <c r="B294" s="455" t="s">
        <v>585</v>
      </c>
      <c r="C294" s="460"/>
      <c r="D294" s="460"/>
      <c r="E294" s="458" t="s">
        <v>576</v>
      </c>
      <c r="F294" s="459"/>
      <c r="G294" s="460"/>
      <c r="H294" s="460"/>
      <c r="I294" s="460"/>
      <c r="J294" s="456">
        <v>44279</v>
      </c>
      <c r="K294" s="459">
        <v>0</v>
      </c>
      <c r="L294" s="459">
        <v>1195723</v>
      </c>
      <c r="M294" s="459">
        <f t="shared" si="19"/>
        <v>1195723</v>
      </c>
      <c r="N294" s="461"/>
      <c r="O294" s="462"/>
      <c r="P294" s="462"/>
    </row>
    <row r="295" spans="2:16">
      <c r="B295" s="455" t="s">
        <v>577</v>
      </c>
      <c r="C295" s="460"/>
      <c r="D295" s="460"/>
      <c r="E295" s="458" t="s">
        <v>576</v>
      </c>
      <c r="F295" s="459"/>
      <c r="G295" s="460"/>
      <c r="H295" s="460"/>
      <c r="I295" s="460"/>
      <c r="J295" s="456">
        <v>44279</v>
      </c>
      <c r="K295" s="459">
        <v>0</v>
      </c>
      <c r="L295" s="459">
        <v>2539964</v>
      </c>
      <c r="M295" s="459">
        <f t="shared" si="19"/>
        <v>2539964</v>
      </c>
      <c r="N295" s="461"/>
      <c r="O295" s="462"/>
      <c r="P295" s="462"/>
    </row>
    <row r="296" spans="2:16">
      <c r="B296" s="455" t="s">
        <v>582</v>
      </c>
      <c r="C296" s="460"/>
      <c r="D296" s="460"/>
      <c r="E296" s="458" t="s">
        <v>576</v>
      </c>
      <c r="F296" s="459"/>
      <c r="G296" s="460"/>
      <c r="H296" s="460"/>
      <c r="I296" s="460"/>
      <c r="J296" s="456">
        <v>44279</v>
      </c>
      <c r="K296" s="459">
        <v>0</v>
      </c>
      <c r="L296" s="459">
        <v>296875</v>
      </c>
      <c r="M296" s="459">
        <f t="shared" si="19"/>
        <v>296875</v>
      </c>
      <c r="N296" s="461"/>
      <c r="O296" s="462"/>
      <c r="P296" s="462"/>
    </row>
    <row r="297" spans="2:16">
      <c r="B297" s="455" t="s">
        <v>575</v>
      </c>
      <c r="C297" s="460"/>
      <c r="D297" s="460"/>
      <c r="E297" s="458" t="s">
        <v>576</v>
      </c>
      <c r="F297" s="459"/>
      <c r="G297" s="460"/>
      <c r="H297" s="460"/>
      <c r="I297" s="460"/>
      <c r="J297" s="456">
        <v>44284</v>
      </c>
      <c r="K297" s="459">
        <v>0</v>
      </c>
      <c r="L297" s="459">
        <v>2777121</v>
      </c>
      <c r="M297" s="459">
        <f t="shared" si="19"/>
        <v>2777121</v>
      </c>
      <c r="N297" s="461"/>
      <c r="O297" s="462"/>
      <c r="P297" s="462"/>
    </row>
    <row r="298" spans="2:16">
      <c r="B298" s="455" t="s">
        <v>585</v>
      </c>
      <c r="C298" s="460"/>
      <c r="D298" s="460"/>
      <c r="E298" s="458" t="s">
        <v>576</v>
      </c>
      <c r="F298" s="459"/>
      <c r="G298" s="460"/>
      <c r="H298" s="460"/>
      <c r="I298" s="460"/>
      <c r="J298" s="456">
        <v>44284</v>
      </c>
      <c r="K298" s="459">
        <v>0</v>
      </c>
      <c r="L298" s="459">
        <v>1500000</v>
      </c>
      <c r="M298" s="459">
        <f t="shared" si="19"/>
        <v>1500000</v>
      </c>
      <c r="N298" s="461"/>
      <c r="O298" s="462"/>
      <c r="P298" s="462"/>
    </row>
    <row r="299" spans="2:16">
      <c r="B299" s="455" t="s">
        <v>575</v>
      </c>
      <c r="C299" s="460"/>
      <c r="D299" s="460"/>
      <c r="E299" s="458" t="s">
        <v>576</v>
      </c>
      <c r="F299" s="459"/>
      <c r="G299" s="460"/>
      <c r="H299" s="460"/>
      <c r="I299" s="460"/>
      <c r="J299" s="456">
        <v>44284</v>
      </c>
      <c r="K299" s="459">
        <v>100000000</v>
      </c>
      <c r="L299" s="459">
        <v>0</v>
      </c>
      <c r="M299" s="459">
        <f t="shared" si="19"/>
        <v>100000000</v>
      </c>
      <c r="N299" s="461"/>
      <c r="O299" s="462"/>
      <c r="P299" s="462"/>
    </row>
    <row r="300" spans="2:16">
      <c r="B300" s="455" t="s">
        <v>585</v>
      </c>
      <c r="C300" s="460"/>
      <c r="D300" s="460"/>
      <c r="E300" s="458" t="s">
        <v>576</v>
      </c>
      <c r="F300" s="459"/>
      <c r="G300" s="460"/>
      <c r="H300" s="460"/>
      <c r="I300" s="460"/>
      <c r="J300" s="456">
        <v>44284</v>
      </c>
      <c r="K300" s="459">
        <v>50000000</v>
      </c>
      <c r="L300" s="459">
        <v>0</v>
      </c>
      <c r="M300" s="459">
        <f t="shared" si="19"/>
        <v>50000000</v>
      </c>
      <c r="N300" s="461"/>
      <c r="O300" s="462"/>
      <c r="P300" s="462"/>
    </row>
    <row r="301" spans="2:16">
      <c r="B301" s="455" t="s">
        <v>575</v>
      </c>
      <c r="C301" s="460"/>
      <c r="D301" s="460"/>
      <c r="E301" s="458" t="s">
        <v>576</v>
      </c>
      <c r="F301" s="459"/>
      <c r="G301" s="460"/>
      <c r="H301" s="460"/>
      <c r="I301" s="460"/>
      <c r="J301" s="456">
        <v>44284</v>
      </c>
      <c r="K301" s="459">
        <v>0</v>
      </c>
      <c r="L301" s="459">
        <v>3000000</v>
      </c>
      <c r="M301" s="459">
        <f t="shared" si="19"/>
        <v>3000000</v>
      </c>
      <c r="N301" s="461"/>
      <c r="O301" s="462"/>
      <c r="P301" s="462"/>
    </row>
    <row r="302" spans="2:16">
      <c r="B302" s="455" t="s">
        <v>577</v>
      </c>
      <c r="C302" s="460"/>
      <c r="D302" s="460"/>
      <c r="E302" s="458" t="s">
        <v>576</v>
      </c>
      <c r="F302" s="459"/>
      <c r="G302" s="460"/>
      <c r="H302" s="460"/>
      <c r="I302" s="460"/>
      <c r="J302" s="456">
        <v>44284</v>
      </c>
      <c r="K302" s="459">
        <v>0</v>
      </c>
      <c r="L302" s="459">
        <v>7956726</v>
      </c>
      <c r="M302" s="459">
        <f t="shared" si="19"/>
        <v>7956726</v>
      </c>
      <c r="N302" s="461"/>
      <c r="O302" s="462"/>
      <c r="P302" s="462"/>
    </row>
    <row r="303" spans="2:16">
      <c r="B303" s="467" t="s">
        <v>588</v>
      </c>
      <c r="C303" s="468"/>
      <c r="D303" s="469"/>
      <c r="E303" s="470"/>
      <c r="F303" s="459"/>
      <c r="G303" s="471">
        <f>(F803-E803)*1000000</f>
        <v>4270320.9999999674</v>
      </c>
      <c r="H303" s="465"/>
      <c r="I303" s="465"/>
      <c r="J303" s="472"/>
      <c r="K303" s="473"/>
      <c r="L303" s="473"/>
      <c r="M303" s="473"/>
      <c r="N303" s="461"/>
      <c r="O303" s="462"/>
      <c r="P303" s="462"/>
    </row>
    <row r="304" spans="2:16">
      <c r="B304" s="467" t="s">
        <v>589</v>
      </c>
      <c r="C304" s="468"/>
      <c r="D304" s="469"/>
      <c r="E304" s="470" t="s">
        <v>590</v>
      </c>
      <c r="F304" s="459">
        <f>SUBTOTAL(9,G304:H304)</f>
        <v>0</v>
      </c>
      <c r="G304" s="471"/>
      <c r="H304" s="465"/>
      <c r="I304" s="465"/>
      <c r="J304" s="472"/>
      <c r="K304" s="473"/>
      <c r="L304" s="473"/>
      <c r="M304" s="473"/>
      <c r="N304" s="461"/>
      <c r="O304" s="462"/>
      <c r="P304" s="462"/>
    </row>
    <row r="305" spans="2:16">
      <c r="B305" s="467" t="s">
        <v>591</v>
      </c>
      <c r="C305" s="468"/>
      <c r="D305" s="469"/>
      <c r="E305" s="470" t="s">
        <v>592</v>
      </c>
      <c r="F305" s="459">
        <f t="shared" ref="F305" si="20">SUBTOTAL(9,G305:H305)</f>
        <v>0</v>
      </c>
      <c r="G305" s="471"/>
      <c r="H305" s="465"/>
      <c r="I305" s="465"/>
      <c r="J305" s="472"/>
      <c r="K305" s="473"/>
      <c r="L305" s="473"/>
      <c r="M305" s="473"/>
      <c r="N305" s="461"/>
      <c r="O305" s="462"/>
      <c r="P305" s="462"/>
    </row>
    <row r="306" spans="2:16" ht="12.5">
      <c r="B306" s="938" t="s">
        <v>593</v>
      </c>
      <c r="C306" s="939"/>
      <c r="D306" s="939"/>
      <c r="E306" s="940"/>
      <c r="F306" s="941">
        <f>SUM(F208:F305)</f>
        <v>1757729000</v>
      </c>
      <c r="G306" s="941">
        <f>SUM(G208:G305)</f>
        <v>1759446722.9665477</v>
      </c>
      <c r="H306" s="941">
        <f>SUM(H208:H305)</f>
        <v>2552598.0334523469</v>
      </c>
      <c r="I306" s="941">
        <f>SUM(I208:I305)</f>
        <v>1757729000</v>
      </c>
      <c r="J306" s="941"/>
      <c r="K306" s="941">
        <f>SUM(K208:K305)</f>
        <v>150000000</v>
      </c>
      <c r="L306" s="941">
        <f>SUM(L208:L305)</f>
        <v>163509228</v>
      </c>
      <c r="M306" s="941">
        <f>SUM(M208:M305)</f>
        <v>313509228</v>
      </c>
      <c r="N306" s="942">
        <f>+G306-K306</f>
        <v>1609446722.9665477</v>
      </c>
      <c r="O306" s="942">
        <f>+(F793-E793)*1000000</f>
        <v>649501382.07121289</v>
      </c>
      <c r="P306" s="942">
        <f>N306-O306</f>
        <v>959945340.89533484</v>
      </c>
    </row>
    <row r="307" spans="2:16" ht="12.5">
      <c r="B307" s="455" t="s">
        <v>594</v>
      </c>
      <c r="C307" s="479">
        <v>44260</v>
      </c>
      <c r="D307" s="457">
        <v>90</v>
      </c>
      <c r="E307" s="480" t="s">
        <v>579</v>
      </c>
      <c r="F307" s="459">
        <f>SUBTOTAL(9,G307:H307)</f>
        <v>60000000</v>
      </c>
      <c r="G307" s="459">
        <v>59850374.06483791</v>
      </c>
      <c r="H307" s="459">
        <v>149625.93516208977</v>
      </c>
      <c r="I307" s="459">
        <f t="shared" ref="I307:I310" si="21">+G307+H307</f>
        <v>60000000</v>
      </c>
      <c r="J307" s="489"/>
      <c r="K307" s="490"/>
      <c r="L307" s="490"/>
      <c r="M307" s="490"/>
      <c r="N307" s="481"/>
      <c r="O307" s="462"/>
      <c r="P307" s="482"/>
    </row>
    <row r="308" spans="2:16" ht="12.5">
      <c r="B308" s="455" t="s">
        <v>594</v>
      </c>
      <c r="C308" s="479">
        <v>44267</v>
      </c>
      <c r="D308" s="457">
        <v>270</v>
      </c>
      <c r="E308" s="480" t="s">
        <v>579</v>
      </c>
      <c r="F308" s="459">
        <f t="shared" ref="F308:F310" si="22">SUBTOTAL(9,G308:H308)</f>
        <v>87500000</v>
      </c>
      <c r="G308" s="459">
        <v>86848635.235732004</v>
      </c>
      <c r="H308" s="459">
        <v>651364.76426799595</v>
      </c>
      <c r="I308" s="459">
        <f t="shared" si="21"/>
        <v>87500000</v>
      </c>
      <c r="J308" s="489"/>
      <c r="K308" s="490"/>
      <c r="L308" s="490"/>
      <c r="M308" s="490"/>
      <c r="N308" s="481"/>
      <c r="O308" s="462"/>
      <c r="P308" s="482"/>
    </row>
    <row r="309" spans="2:16" ht="12.5">
      <c r="B309" s="455" t="s">
        <v>594</v>
      </c>
      <c r="C309" s="479">
        <v>44274</v>
      </c>
      <c r="D309" s="457">
        <v>2520</v>
      </c>
      <c r="E309" s="480" t="s">
        <v>576</v>
      </c>
      <c r="F309" s="459">
        <f t="shared" si="22"/>
        <v>576471000</v>
      </c>
      <c r="G309" s="459">
        <v>576471000</v>
      </c>
      <c r="H309" s="459">
        <v>0</v>
      </c>
      <c r="I309" s="459">
        <f t="shared" si="21"/>
        <v>576471000</v>
      </c>
      <c r="J309" s="489"/>
      <c r="K309" s="490"/>
      <c r="L309" s="490"/>
      <c r="M309" s="490"/>
      <c r="N309" s="481"/>
      <c r="O309" s="462"/>
      <c r="P309" s="482"/>
    </row>
    <row r="310" spans="2:16" ht="12.5">
      <c r="B310" s="455" t="s">
        <v>594</v>
      </c>
      <c r="C310" s="479">
        <v>44285</v>
      </c>
      <c r="D310" s="457">
        <v>2880</v>
      </c>
      <c r="E310" s="480" t="s">
        <v>576</v>
      </c>
      <c r="F310" s="459">
        <f t="shared" si="22"/>
        <v>200000000</v>
      </c>
      <c r="G310" s="459">
        <v>200000000</v>
      </c>
      <c r="H310" s="459">
        <v>0</v>
      </c>
      <c r="I310" s="459">
        <f t="shared" si="21"/>
        <v>200000000</v>
      </c>
      <c r="J310" s="489"/>
      <c r="K310" s="490"/>
      <c r="L310" s="490"/>
      <c r="M310" s="490"/>
      <c r="N310" s="481"/>
      <c r="O310" s="462"/>
      <c r="P310" s="482"/>
    </row>
    <row r="311" spans="2:16" ht="12.5">
      <c r="B311" s="455" t="s">
        <v>594</v>
      </c>
      <c r="C311" s="493"/>
      <c r="D311" s="493"/>
      <c r="E311" s="480" t="s">
        <v>576</v>
      </c>
      <c r="F311" s="489"/>
      <c r="G311" s="489"/>
      <c r="H311" s="489"/>
      <c r="I311" s="489"/>
      <c r="J311" s="456">
        <v>44258</v>
      </c>
      <c r="K311" s="459">
        <v>0</v>
      </c>
      <c r="L311" s="459">
        <v>10718750</v>
      </c>
      <c r="M311" s="484">
        <f t="shared" ref="M311:M332" si="23">+K311+L311</f>
        <v>10718750</v>
      </c>
      <c r="N311" s="481"/>
      <c r="O311" s="462"/>
      <c r="P311" s="482"/>
    </row>
    <row r="312" spans="2:16" ht="12.5">
      <c r="B312" s="455" t="s">
        <v>594</v>
      </c>
      <c r="C312" s="493"/>
      <c r="D312" s="493"/>
      <c r="E312" s="480" t="s">
        <v>576</v>
      </c>
      <c r="F312" s="489"/>
      <c r="G312" s="489"/>
      <c r="H312" s="489"/>
      <c r="I312" s="489"/>
      <c r="J312" s="456">
        <v>44258</v>
      </c>
      <c r="K312" s="459">
        <v>0</v>
      </c>
      <c r="L312" s="459">
        <v>845818</v>
      </c>
      <c r="M312" s="484">
        <f t="shared" si="23"/>
        <v>845818</v>
      </c>
      <c r="N312" s="481"/>
      <c r="O312" s="462"/>
      <c r="P312" s="482"/>
    </row>
    <row r="313" spans="2:16" ht="12.5">
      <c r="B313" s="455" t="s">
        <v>594</v>
      </c>
      <c r="C313" s="493"/>
      <c r="D313" s="493"/>
      <c r="E313" s="480" t="s">
        <v>576</v>
      </c>
      <c r="F313" s="489"/>
      <c r="G313" s="489"/>
      <c r="H313" s="489"/>
      <c r="I313" s="489"/>
      <c r="J313" s="456">
        <v>44260</v>
      </c>
      <c r="K313" s="459">
        <v>0</v>
      </c>
      <c r="L313" s="459">
        <v>2297236</v>
      </c>
      <c r="M313" s="484">
        <f t="shared" si="23"/>
        <v>2297236</v>
      </c>
      <c r="N313" s="481"/>
      <c r="O313" s="462"/>
      <c r="P313" s="482"/>
    </row>
    <row r="314" spans="2:16" ht="12.5">
      <c r="B314" s="455" t="s">
        <v>594</v>
      </c>
      <c r="C314" s="493"/>
      <c r="D314" s="493"/>
      <c r="E314" s="480" t="s">
        <v>576</v>
      </c>
      <c r="F314" s="489"/>
      <c r="G314" s="489"/>
      <c r="H314" s="489"/>
      <c r="I314" s="489"/>
      <c r="J314" s="456">
        <v>44263</v>
      </c>
      <c r="K314" s="459">
        <v>0</v>
      </c>
      <c r="L314" s="459">
        <v>1831090</v>
      </c>
      <c r="M314" s="484">
        <f t="shared" si="23"/>
        <v>1831090</v>
      </c>
      <c r="N314" s="481"/>
      <c r="O314" s="462"/>
      <c r="P314" s="482"/>
    </row>
    <row r="315" spans="2:16" ht="12.5">
      <c r="B315" s="455" t="s">
        <v>594</v>
      </c>
      <c r="C315" s="493"/>
      <c r="D315" s="493"/>
      <c r="E315" s="480" t="s">
        <v>576</v>
      </c>
      <c r="F315" s="489"/>
      <c r="G315" s="489"/>
      <c r="H315" s="489"/>
      <c r="I315" s="489"/>
      <c r="J315" s="456">
        <v>44263</v>
      </c>
      <c r="K315" s="459">
        <v>0</v>
      </c>
      <c r="L315" s="459">
        <v>6838565</v>
      </c>
      <c r="M315" s="484">
        <f t="shared" si="23"/>
        <v>6838565</v>
      </c>
      <c r="N315" s="481"/>
      <c r="O315" s="462"/>
      <c r="P315" s="482"/>
    </row>
    <row r="316" spans="2:16" ht="12.5">
      <c r="B316" s="455" t="s">
        <v>594</v>
      </c>
      <c r="C316" s="493"/>
      <c r="D316" s="493"/>
      <c r="E316" s="480" t="s">
        <v>576</v>
      </c>
      <c r="F316" s="489"/>
      <c r="G316" s="489"/>
      <c r="H316" s="489"/>
      <c r="I316" s="489"/>
      <c r="J316" s="456">
        <v>44265</v>
      </c>
      <c r="K316" s="459">
        <v>0</v>
      </c>
      <c r="L316" s="459">
        <v>4416524</v>
      </c>
      <c r="M316" s="484">
        <f t="shared" si="23"/>
        <v>4416524</v>
      </c>
      <c r="N316" s="481"/>
      <c r="O316" s="462"/>
      <c r="P316" s="482"/>
    </row>
    <row r="317" spans="2:16" ht="12.5">
      <c r="B317" s="455" t="s">
        <v>594</v>
      </c>
      <c r="C317" s="493"/>
      <c r="D317" s="493"/>
      <c r="E317" s="480" t="s">
        <v>576</v>
      </c>
      <c r="F317" s="489"/>
      <c r="G317" s="489"/>
      <c r="H317" s="489"/>
      <c r="I317" s="489"/>
      <c r="J317" s="456">
        <v>44265</v>
      </c>
      <c r="K317" s="459">
        <v>0</v>
      </c>
      <c r="L317" s="459">
        <v>5795379</v>
      </c>
      <c r="M317" s="484">
        <f t="shared" si="23"/>
        <v>5795379</v>
      </c>
      <c r="N317" s="481"/>
      <c r="O317" s="462"/>
      <c r="P317" s="482"/>
    </row>
    <row r="318" spans="2:16" ht="12.5">
      <c r="B318" s="455" t="s">
        <v>594</v>
      </c>
      <c r="C318" s="493"/>
      <c r="D318" s="493"/>
      <c r="E318" s="480" t="s">
        <v>576</v>
      </c>
      <c r="F318" s="489"/>
      <c r="G318" s="489"/>
      <c r="H318" s="489"/>
      <c r="I318" s="489"/>
      <c r="J318" s="456">
        <v>44265</v>
      </c>
      <c r="K318" s="459">
        <v>0</v>
      </c>
      <c r="L318" s="459">
        <v>3812500</v>
      </c>
      <c r="M318" s="484">
        <f t="shared" si="23"/>
        <v>3812500</v>
      </c>
      <c r="N318" s="481"/>
      <c r="O318" s="462"/>
      <c r="P318" s="482"/>
    </row>
    <row r="319" spans="2:16" ht="12.5">
      <c r="B319" s="455" t="s">
        <v>594</v>
      </c>
      <c r="C319" s="493"/>
      <c r="D319" s="493"/>
      <c r="E319" s="480" t="s">
        <v>576</v>
      </c>
      <c r="F319" s="489"/>
      <c r="G319" s="489"/>
      <c r="H319" s="489"/>
      <c r="I319" s="489"/>
      <c r="J319" s="456">
        <v>44266</v>
      </c>
      <c r="K319" s="459">
        <v>0</v>
      </c>
      <c r="L319" s="459">
        <v>5107951</v>
      </c>
      <c r="M319" s="484">
        <f t="shared" si="23"/>
        <v>5107951</v>
      </c>
      <c r="N319" s="481"/>
      <c r="O319" s="462"/>
      <c r="P319" s="482"/>
    </row>
    <row r="320" spans="2:16" ht="12.5">
      <c r="B320" s="455" t="s">
        <v>594</v>
      </c>
      <c r="C320" s="493"/>
      <c r="D320" s="493"/>
      <c r="E320" s="480" t="s">
        <v>576</v>
      </c>
      <c r="F320" s="489"/>
      <c r="G320" s="489"/>
      <c r="H320" s="489"/>
      <c r="I320" s="489"/>
      <c r="J320" s="456">
        <v>44270</v>
      </c>
      <c r="K320" s="459">
        <v>0</v>
      </c>
      <c r="L320" s="459">
        <v>6805492</v>
      </c>
      <c r="M320" s="484">
        <f t="shared" si="23"/>
        <v>6805492</v>
      </c>
      <c r="N320" s="481"/>
      <c r="O320" s="462"/>
      <c r="P320" s="482"/>
    </row>
    <row r="321" spans="2:16" ht="12.5">
      <c r="B321" s="455" t="s">
        <v>594</v>
      </c>
      <c r="C321" s="493"/>
      <c r="D321" s="493"/>
      <c r="E321" s="480" t="s">
        <v>576</v>
      </c>
      <c r="F321" s="489"/>
      <c r="G321" s="489"/>
      <c r="H321" s="489"/>
      <c r="I321" s="489"/>
      <c r="J321" s="456">
        <v>44270</v>
      </c>
      <c r="K321" s="459">
        <v>0</v>
      </c>
      <c r="L321" s="459">
        <v>3574219</v>
      </c>
      <c r="M321" s="484">
        <f t="shared" si="23"/>
        <v>3574219</v>
      </c>
      <c r="N321" s="481"/>
      <c r="O321" s="462"/>
      <c r="P321" s="482"/>
    </row>
    <row r="322" spans="2:16" ht="12.5">
      <c r="B322" s="455" t="s">
        <v>594</v>
      </c>
      <c r="C322" s="493"/>
      <c r="D322" s="493"/>
      <c r="E322" s="480" t="s">
        <v>576</v>
      </c>
      <c r="F322" s="489"/>
      <c r="G322" s="489"/>
      <c r="H322" s="489"/>
      <c r="I322" s="489"/>
      <c r="J322" s="456">
        <v>44270</v>
      </c>
      <c r="K322" s="459">
        <v>0</v>
      </c>
      <c r="L322" s="459">
        <v>2198781</v>
      </c>
      <c r="M322" s="484">
        <f t="shared" si="23"/>
        <v>2198781</v>
      </c>
      <c r="N322" s="481"/>
      <c r="O322" s="462"/>
      <c r="P322" s="482"/>
    </row>
    <row r="323" spans="2:16" ht="12.5">
      <c r="B323" s="455" t="s">
        <v>594</v>
      </c>
      <c r="C323" s="493"/>
      <c r="D323" s="493"/>
      <c r="E323" s="480" t="s">
        <v>576</v>
      </c>
      <c r="F323" s="489"/>
      <c r="G323" s="489"/>
      <c r="H323" s="489"/>
      <c r="I323" s="489"/>
      <c r="J323" s="456">
        <v>44270</v>
      </c>
      <c r="K323" s="459">
        <v>0</v>
      </c>
      <c r="L323" s="459">
        <v>2642088</v>
      </c>
      <c r="M323" s="484">
        <f t="shared" si="23"/>
        <v>2642088</v>
      </c>
      <c r="N323" s="481"/>
      <c r="O323" s="462"/>
      <c r="P323" s="482"/>
    </row>
    <row r="324" spans="2:16" ht="12.5">
      <c r="B324" s="455" t="s">
        <v>594</v>
      </c>
      <c r="C324" s="493"/>
      <c r="D324" s="493"/>
      <c r="E324" s="480" t="s">
        <v>576</v>
      </c>
      <c r="F324" s="489"/>
      <c r="G324" s="489"/>
      <c r="H324" s="489"/>
      <c r="I324" s="489"/>
      <c r="J324" s="456">
        <v>44270</v>
      </c>
      <c r="K324" s="459">
        <v>0</v>
      </c>
      <c r="L324" s="459">
        <v>3421875</v>
      </c>
      <c r="M324" s="484">
        <f t="shared" si="23"/>
        <v>3421875</v>
      </c>
      <c r="N324" s="481"/>
      <c r="O324" s="462"/>
      <c r="P324" s="482"/>
    </row>
    <row r="325" spans="2:16" ht="12.5">
      <c r="B325" s="455" t="s">
        <v>594</v>
      </c>
      <c r="C325" s="493"/>
      <c r="D325" s="493"/>
      <c r="E325" s="480" t="s">
        <v>576</v>
      </c>
      <c r="F325" s="489"/>
      <c r="G325" s="489"/>
      <c r="H325" s="489"/>
      <c r="I325" s="489"/>
      <c r="J325" s="456">
        <v>44270</v>
      </c>
      <c r="K325" s="459">
        <v>0</v>
      </c>
      <c r="L325" s="459">
        <v>7196875</v>
      </c>
      <c r="M325" s="484">
        <f t="shared" si="23"/>
        <v>7196875</v>
      </c>
      <c r="N325" s="481"/>
      <c r="O325" s="462"/>
      <c r="P325" s="482"/>
    </row>
    <row r="326" spans="2:16" ht="12.5">
      <c r="B326" s="455" t="s">
        <v>594</v>
      </c>
      <c r="C326" s="493"/>
      <c r="D326" s="493"/>
      <c r="E326" s="480" t="s">
        <v>576</v>
      </c>
      <c r="F326" s="489"/>
      <c r="G326" s="489"/>
      <c r="H326" s="489"/>
      <c r="I326" s="489"/>
      <c r="J326" s="456">
        <v>44274</v>
      </c>
      <c r="K326" s="459">
        <v>0</v>
      </c>
      <c r="L326" s="459">
        <v>5805719</v>
      </c>
      <c r="M326" s="484">
        <f t="shared" si="23"/>
        <v>5805719</v>
      </c>
      <c r="N326" s="481"/>
      <c r="O326" s="462"/>
      <c r="P326" s="482"/>
    </row>
    <row r="327" spans="2:16" ht="12.5">
      <c r="B327" s="455" t="s">
        <v>594</v>
      </c>
      <c r="C327" s="493"/>
      <c r="D327" s="493"/>
      <c r="E327" s="480" t="s">
        <v>576</v>
      </c>
      <c r="F327" s="489"/>
      <c r="G327" s="489"/>
      <c r="H327" s="489"/>
      <c r="I327" s="489"/>
      <c r="J327" s="456">
        <v>44277</v>
      </c>
      <c r="K327" s="459">
        <v>0</v>
      </c>
      <c r="L327" s="459">
        <v>4627919</v>
      </c>
      <c r="M327" s="484">
        <f t="shared" si="23"/>
        <v>4627919</v>
      </c>
      <c r="N327" s="481"/>
      <c r="O327" s="462"/>
      <c r="P327" s="482"/>
    </row>
    <row r="328" spans="2:16" ht="12.5">
      <c r="B328" s="455" t="s">
        <v>594</v>
      </c>
      <c r="C328" s="493"/>
      <c r="D328" s="493"/>
      <c r="E328" s="480" t="s">
        <v>576</v>
      </c>
      <c r="F328" s="489"/>
      <c r="G328" s="489"/>
      <c r="H328" s="489"/>
      <c r="I328" s="489"/>
      <c r="J328" s="456">
        <v>44279</v>
      </c>
      <c r="K328" s="459">
        <v>0</v>
      </c>
      <c r="L328" s="459">
        <v>3467648</v>
      </c>
      <c r="M328" s="484">
        <f t="shared" si="23"/>
        <v>3467648</v>
      </c>
      <c r="N328" s="481"/>
      <c r="O328" s="462"/>
      <c r="P328" s="482"/>
    </row>
    <row r="329" spans="2:16" ht="12.5">
      <c r="B329" s="455" t="s">
        <v>594</v>
      </c>
      <c r="C329" s="493"/>
      <c r="D329" s="493"/>
      <c r="E329" s="480" t="s">
        <v>576</v>
      </c>
      <c r="F329" s="489"/>
      <c r="G329" s="489"/>
      <c r="H329" s="489"/>
      <c r="I329" s="489"/>
      <c r="J329" s="456">
        <v>44279</v>
      </c>
      <c r="K329" s="459">
        <v>0</v>
      </c>
      <c r="L329" s="459">
        <v>5079966</v>
      </c>
      <c r="M329" s="484">
        <f t="shared" si="23"/>
        <v>5079966</v>
      </c>
      <c r="N329" s="481"/>
      <c r="O329" s="462"/>
      <c r="P329" s="482"/>
    </row>
    <row r="330" spans="2:16" ht="12.5">
      <c r="B330" s="455" t="s">
        <v>594</v>
      </c>
      <c r="C330" s="493"/>
      <c r="D330" s="493"/>
      <c r="E330" s="480" t="s">
        <v>576</v>
      </c>
      <c r="F330" s="489"/>
      <c r="G330" s="489"/>
      <c r="H330" s="489"/>
      <c r="I330" s="489"/>
      <c r="J330" s="456">
        <v>44284</v>
      </c>
      <c r="K330" s="459">
        <v>0</v>
      </c>
      <c r="L330" s="459">
        <v>3688028</v>
      </c>
      <c r="M330" s="484">
        <f t="shared" si="23"/>
        <v>3688028</v>
      </c>
      <c r="N330" s="481"/>
      <c r="O330" s="462"/>
      <c r="P330" s="482"/>
    </row>
    <row r="331" spans="2:16" ht="12.5">
      <c r="B331" s="455" t="s">
        <v>594</v>
      </c>
      <c r="C331" s="493"/>
      <c r="D331" s="493"/>
      <c r="E331" s="480" t="s">
        <v>576</v>
      </c>
      <c r="F331" s="489"/>
      <c r="G331" s="489"/>
      <c r="H331" s="489"/>
      <c r="I331" s="489"/>
      <c r="J331" s="456">
        <v>44285</v>
      </c>
      <c r="K331" s="459">
        <v>0</v>
      </c>
      <c r="L331" s="459">
        <v>8554110</v>
      </c>
      <c r="M331" s="484">
        <f t="shared" si="23"/>
        <v>8554110</v>
      </c>
      <c r="N331" s="481"/>
      <c r="O331" s="462"/>
      <c r="P331" s="482"/>
    </row>
    <row r="332" spans="2:16" ht="12.5">
      <c r="B332" s="455" t="s">
        <v>594</v>
      </c>
      <c r="C332" s="493"/>
      <c r="D332" s="493"/>
      <c r="E332" s="480" t="s">
        <v>576</v>
      </c>
      <c r="F332" s="489"/>
      <c r="G332" s="489"/>
      <c r="H332" s="489"/>
      <c r="I332" s="489"/>
      <c r="J332" s="456">
        <v>44285</v>
      </c>
      <c r="K332" s="459">
        <v>300000000</v>
      </c>
      <c r="L332" s="459">
        <v>0</v>
      </c>
      <c r="M332" s="484">
        <f t="shared" si="23"/>
        <v>300000000</v>
      </c>
      <c r="N332" s="481"/>
      <c r="O332" s="462"/>
      <c r="P332" s="482"/>
    </row>
    <row r="333" spans="2:16" ht="12.5">
      <c r="B333" s="943" t="s">
        <v>595</v>
      </c>
      <c r="C333" s="944"/>
      <c r="D333" s="944"/>
      <c r="E333" s="945"/>
      <c r="F333" s="946">
        <f>SUM(F307:F332)</f>
        <v>923971000</v>
      </c>
      <c r="G333" s="946">
        <f>SUM(G307:G332)</f>
        <v>923170009.30056989</v>
      </c>
      <c r="H333" s="946">
        <f>SUM(H307:H332)</f>
        <v>800990.69943008572</v>
      </c>
      <c r="I333" s="946">
        <f>SUM(I307:I332)</f>
        <v>923971000</v>
      </c>
      <c r="J333" s="946"/>
      <c r="K333" s="946">
        <f>SUM(K307:K332)</f>
        <v>300000000</v>
      </c>
      <c r="L333" s="946">
        <f>SUM(L307:L332)</f>
        <v>98726533</v>
      </c>
      <c r="M333" s="946">
        <f>SUM(M307:M332)</f>
        <v>398726533</v>
      </c>
      <c r="N333" s="942">
        <f>+G333-K333</f>
        <v>623170009.30056989</v>
      </c>
      <c r="O333" s="942"/>
      <c r="P333" s="942">
        <f>+N333-O333</f>
        <v>623170009.30056989</v>
      </c>
    </row>
    <row r="334" spans="2:16">
      <c r="B334" s="455" t="s">
        <v>575</v>
      </c>
      <c r="C334" s="456">
        <v>44288</v>
      </c>
      <c r="D334" s="457">
        <v>2160</v>
      </c>
      <c r="E334" s="458" t="s">
        <v>576</v>
      </c>
      <c r="F334" s="459">
        <f t="shared" ref="F334:F340" si="24">SUBTOTAL(9,G334:H334)</f>
        <v>80000000</v>
      </c>
      <c r="G334" s="459">
        <v>80000000</v>
      </c>
      <c r="H334" s="459">
        <v>0</v>
      </c>
      <c r="I334" s="459">
        <f t="shared" ref="I334:I340" si="25">+G334+H334</f>
        <v>80000000</v>
      </c>
      <c r="J334" s="460"/>
      <c r="K334" s="460"/>
      <c r="L334" s="460"/>
      <c r="M334" s="459"/>
      <c r="N334" s="461"/>
      <c r="O334" s="462"/>
      <c r="P334" s="462"/>
    </row>
    <row r="335" spans="2:16">
      <c r="B335" s="455" t="s">
        <v>575</v>
      </c>
      <c r="C335" s="456">
        <v>44294</v>
      </c>
      <c r="D335" s="457">
        <v>2520</v>
      </c>
      <c r="E335" s="458" t="s">
        <v>576</v>
      </c>
      <c r="F335" s="459">
        <f t="shared" si="24"/>
        <v>100000000</v>
      </c>
      <c r="G335" s="459">
        <v>100000000</v>
      </c>
      <c r="H335" s="459">
        <v>0</v>
      </c>
      <c r="I335" s="459">
        <f t="shared" si="25"/>
        <v>100000000</v>
      </c>
      <c r="J335" s="460"/>
      <c r="K335" s="460"/>
      <c r="L335" s="460"/>
      <c r="M335" s="459"/>
      <c r="N335" s="461"/>
      <c r="O335" s="462"/>
      <c r="P335" s="462"/>
    </row>
    <row r="336" spans="2:16">
      <c r="B336" s="455" t="s">
        <v>582</v>
      </c>
      <c r="C336" s="456">
        <v>44294</v>
      </c>
      <c r="D336" s="457">
        <v>2520</v>
      </c>
      <c r="E336" s="458" t="s">
        <v>576</v>
      </c>
      <c r="F336" s="459">
        <f t="shared" si="24"/>
        <v>45000000</v>
      </c>
      <c r="G336" s="459">
        <v>45000000</v>
      </c>
      <c r="H336" s="459">
        <v>0</v>
      </c>
      <c r="I336" s="459">
        <f t="shared" si="25"/>
        <v>45000000</v>
      </c>
      <c r="J336" s="460"/>
      <c r="K336" s="460"/>
      <c r="L336" s="460"/>
      <c r="M336" s="459"/>
      <c r="N336" s="461"/>
      <c r="O336" s="462"/>
      <c r="P336" s="462"/>
    </row>
    <row r="337" spans="2:16">
      <c r="B337" s="455" t="s">
        <v>585</v>
      </c>
      <c r="C337" s="456">
        <v>44309</v>
      </c>
      <c r="D337" s="457">
        <v>1440</v>
      </c>
      <c r="E337" s="458" t="s">
        <v>576</v>
      </c>
      <c r="F337" s="459">
        <f t="shared" si="24"/>
        <v>150000000</v>
      </c>
      <c r="G337" s="459">
        <v>150000000</v>
      </c>
      <c r="H337" s="459">
        <v>0</v>
      </c>
      <c r="I337" s="459">
        <f t="shared" si="25"/>
        <v>150000000</v>
      </c>
      <c r="J337" s="460"/>
      <c r="K337" s="460"/>
      <c r="L337" s="460"/>
      <c r="M337" s="459"/>
      <c r="N337" s="461"/>
      <c r="O337" s="462"/>
      <c r="P337" s="462"/>
    </row>
    <row r="338" spans="2:16">
      <c r="B338" s="455" t="s">
        <v>578</v>
      </c>
      <c r="C338" s="456">
        <v>44309</v>
      </c>
      <c r="D338" s="457">
        <v>1440</v>
      </c>
      <c r="E338" s="458" t="s">
        <v>576</v>
      </c>
      <c r="F338" s="459">
        <f t="shared" si="24"/>
        <v>400000000</v>
      </c>
      <c r="G338" s="459">
        <v>400000000</v>
      </c>
      <c r="H338" s="459">
        <v>0</v>
      </c>
      <c r="I338" s="459">
        <f t="shared" si="25"/>
        <v>400000000</v>
      </c>
      <c r="J338" s="460"/>
      <c r="K338" s="460"/>
      <c r="L338" s="460"/>
      <c r="M338" s="459"/>
      <c r="N338" s="461"/>
      <c r="O338" s="462"/>
      <c r="P338" s="462"/>
    </row>
    <row r="339" spans="2:16">
      <c r="B339" s="455" t="s">
        <v>596</v>
      </c>
      <c r="C339" s="456">
        <v>44309</v>
      </c>
      <c r="D339" s="457">
        <v>1440</v>
      </c>
      <c r="E339" s="458" t="s">
        <v>576</v>
      </c>
      <c r="F339" s="459">
        <f t="shared" si="24"/>
        <v>250000000</v>
      </c>
      <c r="G339" s="459">
        <v>250000000</v>
      </c>
      <c r="H339" s="459">
        <v>0</v>
      </c>
      <c r="I339" s="459">
        <f t="shared" si="25"/>
        <v>250000000</v>
      </c>
      <c r="J339" s="460"/>
      <c r="K339" s="460"/>
      <c r="L339" s="460"/>
      <c r="M339" s="459"/>
      <c r="N339" s="461"/>
      <c r="O339" s="462"/>
      <c r="P339" s="462"/>
    </row>
    <row r="340" spans="2:16">
      <c r="B340" s="455" t="s">
        <v>583</v>
      </c>
      <c r="C340" s="456">
        <v>44309</v>
      </c>
      <c r="D340" s="457">
        <v>1440</v>
      </c>
      <c r="E340" s="458" t="s">
        <v>576</v>
      </c>
      <c r="F340" s="459">
        <f t="shared" si="24"/>
        <v>10000000</v>
      </c>
      <c r="G340" s="459">
        <v>10000000</v>
      </c>
      <c r="H340" s="459">
        <v>0</v>
      </c>
      <c r="I340" s="459">
        <f t="shared" si="25"/>
        <v>10000000</v>
      </c>
      <c r="J340" s="460"/>
      <c r="K340" s="460"/>
      <c r="L340" s="460"/>
      <c r="M340" s="459"/>
      <c r="N340" s="461"/>
      <c r="O340" s="462"/>
      <c r="P340" s="462"/>
    </row>
    <row r="341" spans="2:16">
      <c r="B341" s="455" t="s">
        <v>575</v>
      </c>
      <c r="C341" s="456"/>
      <c r="D341" s="457"/>
      <c r="E341" s="458" t="s">
        <v>576</v>
      </c>
      <c r="F341" s="459"/>
      <c r="G341" s="459"/>
      <c r="H341" s="459"/>
      <c r="I341" s="459"/>
      <c r="J341" s="456">
        <v>44291</v>
      </c>
      <c r="K341" s="459">
        <v>0</v>
      </c>
      <c r="L341" s="459">
        <v>4049980</v>
      </c>
      <c r="M341" s="459">
        <f t="shared" ref="M341:M404" si="26">+K341+L341</f>
        <v>4049980</v>
      </c>
      <c r="N341" s="461"/>
      <c r="O341" s="462"/>
      <c r="P341" s="462"/>
    </row>
    <row r="342" spans="2:16">
      <c r="B342" s="455" t="s">
        <v>582</v>
      </c>
      <c r="C342" s="456"/>
      <c r="D342" s="457"/>
      <c r="E342" s="458" t="s">
        <v>576</v>
      </c>
      <c r="F342" s="459"/>
      <c r="G342" s="459"/>
      <c r="H342" s="459"/>
      <c r="I342" s="459"/>
      <c r="J342" s="456">
        <v>44291</v>
      </c>
      <c r="K342" s="459">
        <v>0</v>
      </c>
      <c r="L342" s="459">
        <v>962500</v>
      </c>
      <c r="M342" s="459">
        <f t="shared" si="26"/>
        <v>962500</v>
      </c>
      <c r="N342" s="461"/>
      <c r="O342" s="462"/>
      <c r="P342" s="462"/>
    </row>
    <row r="343" spans="2:16">
      <c r="B343" s="455" t="s">
        <v>582</v>
      </c>
      <c r="C343" s="456"/>
      <c r="D343" s="457"/>
      <c r="E343" s="458" t="s">
        <v>576</v>
      </c>
      <c r="F343" s="459"/>
      <c r="G343" s="459"/>
      <c r="H343" s="459"/>
      <c r="I343" s="459"/>
      <c r="J343" s="456">
        <v>44291</v>
      </c>
      <c r="K343" s="459">
        <v>0</v>
      </c>
      <c r="L343" s="459">
        <v>155000</v>
      </c>
      <c r="M343" s="459">
        <f t="shared" si="26"/>
        <v>155000</v>
      </c>
      <c r="N343" s="461"/>
      <c r="O343" s="462"/>
      <c r="P343" s="462"/>
    </row>
    <row r="344" spans="2:16">
      <c r="B344" s="455" t="s">
        <v>586</v>
      </c>
      <c r="C344" s="456"/>
      <c r="D344" s="457"/>
      <c r="E344" s="458" t="s">
        <v>576</v>
      </c>
      <c r="F344" s="459"/>
      <c r="G344" s="459"/>
      <c r="H344" s="459"/>
      <c r="I344" s="459"/>
      <c r="J344" s="456">
        <v>44291</v>
      </c>
      <c r="K344" s="459">
        <v>0</v>
      </c>
      <c r="L344" s="459">
        <v>212300</v>
      </c>
      <c r="M344" s="459">
        <f t="shared" si="26"/>
        <v>212300</v>
      </c>
      <c r="N344" s="461"/>
      <c r="O344" s="462"/>
      <c r="P344" s="462"/>
    </row>
    <row r="345" spans="2:16">
      <c r="B345" s="455" t="s">
        <v>585</v>
      </c>
      <c r="C345" s="456"/>
      <c r="D345" s="457"/>
      <c r="E345" s="458" t="s">
        <v>576</v>
      </c>
      <c r="F345" s="459"/>
      <c r="G345" s="459"/>
      <c r="H345" s="459"/>
      <c r="I345" s="459"/>
      <c r="J345" s="456">
        <v>44291</v>
      </c>
      <c r="K345" s="459">
        <v>0</v>
      </c>
      <c r="L345" s="459">
        <v>3249228</v>
      </c>
      <c r="M345" s="459">
        <f t="shared" si="26"/>
        <v>3249228</v>
      </c>
      <c r="N345" s="461"/>
      <c r="O345" s="462"/>
      <c r="P345" s="462"/>
    </row>
    <row r="346" spans="2:16">
      <c r="B346" s="455" t="s">
        <v>597</v>
      </c>
      <c r="C346" s="456"/>
      <c r="D346" s="457"/>
      <c r="E346" s="458" t="s">
        <v>576</v>
      </c>
      <c r="F346" s="459"/>
      <c r="G346" s="459"/>
      <c r="H346" s="459"/>
      <c r="I346" s="459"/>
      <c r="J346" s="456">
        <v>44291</v>
      </c>
      <c r="K346" s="459">
        <v>0</v>
      </c>
      <c r="L346" s="459">
        <v>166660</v>
      </c>
      <c r="M346" s="459">
        <f t="shared" si="26"/>
        <v>166660</v>
      </c>
      <c r="N346" s="461"/>
      <c r="O346" s="462"/>
      <c r="P346" s="462"/>
    </row>
    <row r="347" spans="2:16">
      <c r="B347" s="455" t="s">
        <v>582</v>
      </c>
      <c r="C347" s="456"/>
      <c r="D347" s="457"/>
      <c r="E347" s="458" t="s">
        <v>576</v>
      </c>
      <c r="F347" s="459"/>
      <c r="G347" s="459"/>
      <c r="H347" s="459"/>
      <c r="I347" s="459"/>
      <c r="J347" s="456">
        <v>44291</v>
      </c>
      <c r="K347" s="459">
        <v>0</v>
      </c>
      <c r="L347" s="459">
        <v>30000</v>
      </c>
      <c r="M347" s="459">
        <f t="shared" si="26"/>
        <v>30000</v>
      </c>
      <c r="N347" s="461"/>
      <c r="O347" s="462"/>
      <c r="P347" s="462"/>
    </row>
    <row r="348" spans="2:16">
      <c r="B348" s="455" t="s">
        <v>575</v>
      </c>
      <c r="C348" s="456"/>
      <c r="D348" s="457"/>
      <c r="E348" s="458" t="s">
        <v>576</v>
      </c>
      <c r="F348" s="459"/>
      <c r="G348" s="459"/>
      <c r="H348" s="459"/>
      <c r="I348" s="459"/>
      <c r="J348" s="456">
        <v>44291</v>
      </c>
      <c r="K348" s="459">
        <v>0</v>
      </c>
      <c r="L348" s="459">
        <v>2042222</v>
      </c>
      <c r="M348" s="459">
        <f t="shared" si="26"/>
        <v>2042222</v>
      </c>
      <c r="N348" s="461"/>
      <c r="O348" s="462"/>
      <c r="P348" s="462"/>
    </row>
    <row r="349" spans="2:16">
      <c r="B349" s="455" t="s">
        <v>581</v>
      </c>
      <c r="C349" s="456"/>
      <c r="D349" s="457"/>
      <c r="E349" s="458" t="s">
        <v>576</v>
      </c>
      <c r="F349" s="459"/>
      <c r="G349" s="459"/>
      <c r="H349" s="459"/>
      <c r="I349" s="459"/>
      <c r="J349" s="456">
        <v>44291</v>
      </c>
      <c r="K349" s="459">
        <v>0</v>
      </c>
      <c r="L349" s="459">
        <v>1531671</v>
      </c>
      <c r="M349" s="459">
        <f t="shared" si="26"/>
        <v>1531671</v>
      </c>
      <c r="N349" s="461"/>
      <c r="O349" s="462"/>
      <c r="P349" s="462"/>
    </row>
    <row r="350" spans="2:16">
      <c r="B350" s="455" t="s">
        <v>578</v>
      </c>
      <c r="C350" s="456"/>
      <c r="D350" s="457"/>
      <c r="E350" s="458" t="s">
        <v>576</v>
      </c>
      <c r="F350" s="459"/>
      <c r="G350" s="459"/>
      <c r="H350" s="459"/>
      <c r="I350" s="459"/>
      <c r="J350" s="456">
        <v>44291</v>
      </c>
      <c r="K350" s="459">
        <v>0</v>
      </c>
      <c r="L350" s="459">
        <v>2663272</v>
      </c>
      <c r="M350" s="459">
        <f t="shared" si="26"/>
        <v>2663272</v>
      </c>
      <c r="N350" s="461"/>
      <c r="O350" s="462"/>
      <c r="P350" s="462"/>
    </row>
    <row r="351" spans="2:16">
      <c r="B351" s="455" t="s">
        <v>598</v>
      </c>
      <c r="C351" s="456"/>
      <c r="D351" s="457"/>
      <c r="E351" s="458" t="s">
        <v>576</v>
      </c>
      <c r="F351" s="459"/>
      <c r="G351" s="459"/>
      <c r="H351" s="459"/>
      <c r="I351" s="459"/>
      <c r="J351" s="456">
        <v>44291</v>
      </c>
      <c r="K351" s="459">
        <v>0</v>
      </c>
      <c r="L351" s="459">
        <v>548438</v>
      </c>
      <c r="M351" s="459">
        <f t="shared" si="26"/>
        <v>548438</v>
      </c>
      <c r="N351" s="461"/>
      <c r="O351" s="462"/>
      <c r="P351" s="462"/>
    </row>
    <row r="352" spans="2:16">
      <c r="B352" s="455" t="s">
        <v>581</v>
      </c>
      <c r="C352" s="456"/>
      <c r="D352" s="457"/>
      <c r="E352" s="458" t="s">
        <v>576</v>
      </c>
      <c r="F352" s="459"/>
      <c r="G352" s="459"/>
      <c r="H352" s="459"/>
      <c r="I352" s="459"/>
      <c r="J352" s="456">
        <v>44291</v>
      </c>
      <c r="K352" s="459">
        <v>0</v>
      </c>
      <c r="L352" s="459">
        <v>6750000</v>
      </c>
      <c r="M352" s="459">
        <f t="shared" si="26"/>
        <v>6750000</v>
      </c>
      <c r="N352" s="461"/>
      <c r="O352" s="462"/>
      <c r="P352" s="462"/>
    </row>
    <row r="353" spans="2:16">
      <c r="B353" s="455" t="s">
        <v>582</v>
      </c>
      <c r="C353" s="456"/>
      <c r="D353" s="457"/>
      <c r="E353" s="458" t="s">
        <v>576</v>
      </c>
      <c r="F353" s="459"/>
      <c r="G353" s="459"/>
      <c r="H353" s="459"/>
      <c r="I353" s="459"/>
      <c r="J353" s="456">
        <v>44292</v>
      </c>
      <c r="K353" s="459">
        <v>0</v>
      </c>
      <c r="L353" s="459">
        <v>356934</v>
      </c>
      <c r="M353" s="459">
        <f t="shared" si="26"/>
        <v>356934</v>
      </c>
      <c r="N353" s="461"/>
      <c r="O353" s="462"/>
      <c r="P353" s="462"/>
    </row>
    <row r="354" spans="2:16">
      <c r="B354" s="455" t="s">
        <v>577</v>
      </c>
      <c r="C354" s="456"/>
      <c r="D354" s="457"/>
      <c r="E354" s="458" t="s">
        <v>576</v>
      </c>
      <c r="F354" s="459"/>
      <c r="G354" s="459"/>
      <c r="H354" s="459"/>
      <c r="I354" s="459"/>
      <c r="J354" s="456">
        <v>44292</v>
      </c>
      <c r="K354" s="459">
        <v>0</v>
      </c>
      <c r="L354" s="459">
        <v>9371994</v>
      </c>
      <c r="M354" s="459">
        <f t="shared" si="26"/>
        <v>9371994</v>
      </c>
      <c r="N354" s="461"/>
      <c r="O354" s="462"/>
      <c r="P354" s="462"/>
    </row>
    <row r="355" spans="2:16">
      <c r="B355" s="455" t="s">
        <v>585</v>
      </c>
      <c r="C355" s="456"/>
      <c r="D355" s="457"/>
      <c r="E355" s="458" t="s">
        <v>576</v>
      </c>
      <c r="F355" s="459"/>
      <c r="G355" s="459"/>
      <c r="H355" s="459"/>
      <c r="I355" s="459"/>
      <c r="J355" s="456">
        <v>44292</v>
      </c>
      <c r="K355" s="459">
        <v>0</v>
      </c>
      <c r="L355" s="459">
        <v>1252431</v>
      </c>
      <c r="M355" s="459">
        <f t="shared" si="26"/>
        <v>1252431</v>
      </c>
      <c r="N355" s="461"/>
      <c r="O355" s="462"/>
      <c r="P355" s="462"/>
    </row>
    <row r="356" spans="2:16">
      <c r="B356" s="455" t="s">
        <v>585</v>
      </c>
      <c r="C356" s="456"/>
      <c r="D356" s="457"/>
      <c r="E356" s="458" t="s">
        <v>576</v>
      </c>
      <c r="F356" s="459"/>
      <c r="G356" s="459"/>
      <c r="H356" s="459"/>
      <c r="I356" s="459"/>
      <c r="J356" s="456">
        <v>44293</v>
      </c>
      <c r="K356" s="459">
        <v>0</v>
      </c>
      <c r="L356" s="459">
        <v>3265625</v>
      </c>
      <c r="M356" s="459">
        <f t="shared" si="26"/>
        <v>3265625</v>
      </c>
      <c r="N356" s="461"/>
      <c r="O356" s="462"/>
      <c r="P356" s="462"/>
    </row>
    <row r="357" spans="2:16">
      <c r="B357" s="455" t="s">
        <v>582</v>
      </c>
      <c r="C357" s="456"/>
      <c r="D357" s="457"/>
      <c r="E357" s="458" t="s">
        <v>576</v>
      </c>
      <c r="F357" s="459"/>
      <c r="G357" s="459"/>
      <c r="H357" s="459"/>
      <c r="I357" s="459"/>
      <c r="J357" s="456">
        <v>44293</v>
      </c>
      <c r="K357" s="459">
        <v>0</v>
      </c>
      <c r="L357" s="459">
        <v>296875</v>
      </c>
      <c r="M357" s="459">
        <f t="shared" si="26"/>
        <v>296875</v>
      </c>
      <c r="N357" s="461"/>
      <c r="O357" s="462"/>
      <c r="P357" s="462"/>
    </row>
    <row r="358" spans="2:16">
      <c r="B358" s="455" t="s">
        <v>585</v>
      </c>
      <c r="C358" s="456"/>
      <c r="D358" s="457"/>
      <c r="E358" s="458" t="s">
        <v>576</v>
      </c>
      <c r="F358" s="459"/>
      <c r="G358" s="459"/>
      <c r="H358" s="459"/>
      <c r="I358" s="459"/>
      <c r="J358" s="456">
        <v>44293</v>
      </c>
      <c r="K358" s="459">
        <v>0</v>
      </c>
      <c r="L358" s="459">
        <v>3062500</v>
      </c>
      <c r="M358" s="459">
        <f t="shared" si="26"/>
        <v>3062500</v>
      </c>
      <c r="N358" s="461"/>
      <c r="O358" s="462"/>
      <c r="P358" s="462"/>
    </row>
    <row r="359" spans="2:16">
      <c r="B359" s="455" t="s">
        <v>582</v>
      </c>
      <c r="C359" s="456"/>
      <c r="D359" s="457"/>
      <c r="E359" s="458" t="s">
        <v>576</v>
      </c>
      <c r="F359" s="459"/>
      <c r="G359" s="459"/>
      <c r="H359" s="459"/>
      <c r="I359" s="459"/>
      <c r="J359" s="456">
        <v>44293</v>
      </c>
      <c r="K359" s="459">
        <v>0</v>
      </c>
      <c r="L359" s="459">
        <v>192846</v>
      </c>
      <c r="M359" s="459">
        <f t="shared" si="26"/>
        <v>192846</v>
      </c>
      <c r="N359" s="461"/>
      <c r="O359" s="462"/>
      <c r="P359" s="462"/>
    </row>
    <row r="360" spans="2:16">
      <c r="B360" s="455" t="s">
        <v>583</v>
      </c>
      <c r="C360" s="456"/>
      <c r="D360" s="457"/>
      <c r="E360" s="458" t="s">
        <v>576</v>
      </c>
      <c r="F360" s="459"/>
      <c r="G360" s="459"/>
      <c r="H360" s="459"/>
      <c r="I360" s="459"/>
      <c r="J360" s="456">
        <v>44293</v>
      </c>
      <c r="K360" s="459">
        <v>0</v>
      </c>
      <c r="L360" s="459">
        <v>113404</v>
      </c>
      <c r="M360" s="459">
        <f t="shared" si="26"/>
        <v>113404</v>
      </c>
      <c r="N360" s="461"/>
      <c r="O360" s="462"/>
      <c r="P360" s="462"/>
    </row>
    <row r="361" spans="2:16">
      <c r="B361" s="455" t="s">
        <v>575</v>
      </c>
      <c r="C361" s="456"/>
      <c r="D361" s="457"/>
      <c r="E361" s="458" t="s">
        <v>576</v>
      </c>
      <c r="F361" s="459"/>
      <c r="G361" s="459"/>
      <c r="H361" s="459"/>
      <c r="I361" s="459"/>
      <c r="J361" s="456">
        <v>44293</v>
      </c>
      <c r="K361" s="459">
        <v>0</v>
      </c>
      <c r="L361" s="459">
        <v>6125000</v>
      </c>
      <c r="M361" s="459">
        <f t="shared" si="26"/>
        <v>6125000</v>
      </c>
      <c r="N361" s="461"/>
      <c r="O361" s="462"/>
      <c r="P361" s="462"/>
    </row>
    <row r="362" spans="2:16">
      <c r="B362" s="455" t="s">
        <v>581</v>
      </c>
      <c r="C362" s="456"/>
      <c r="D362" s="457"/>
      <c r="E362" s="458" t="s">
        <v>576</v>
      </c>
      <c r="F362" s="459"/>
      <c r="G362" s="459"/>
      <c r="H362" s="459"/>
      <c r="I362" s="459"/>
      <c r="J362" s="456">
        <v>44293</v>
      </c>
      <c r="K362" s="459">
        <v>0</v>
      </c>
      <c r="L362" s="459">
        <v>3265625</v>
      </c>
      <c r="M362" s="459">
        <f t="shared" si="26"/>
        <v>3265625</v>
      </c>
      <c r="N362" s="461"/>
      <c r="O362" s="462"/>
      <c r="P362" s="462"/>
    </row>
    <row r="363" spans="2:16">
      <c r="B363" s="455" t="s">
        <v>577</v>
      </c>
      <c r="C363" s="456"/>
      <c r="D363" s="457"/>
      <c r="E363" s="458" t="s">
        <v>576</v>
      </c>
      <c r="F363" s="459"/>
      <c r="G363" s="459"/>
      <c r="H363" s="459"/>
      <c r="I363" s="459"/>
      <c r="J363" s="456">
        <v>44293</v>
      </c>
      <c r="K363" s="459">
        <v>0</v>
      </c>
      <c r="L363" s="459">
        <v>3265625</v>
      </c>
      <c r="M363" s="459">
        <f t="shared" si="26"/>
        <v>3265625</v>
      </c>
      <c r="N363" s="461"/>
      <c r="O363" s="462"/>
      <c r="P363" s="462"/>
    </row>
    <row r="364" spans="2:16">
      <c r="B364" s="455" t="s">
        <v>581</v>
      </c>
      <c r="C364" s="456"/>
      <c r="D364" s="457"/>
      <c r="E364" s="458" t="s">
        <v>576</v>
      </c>
      <c r="F364" s="459"/>
      <c r="G364" s="459"/>
      <c r="H364" s="459"/>
      <c r="I364" s="459"/>
      <c r="J364" s="456">
        <v>44294</v>
      </c>
      <c r="K364" s="459">
        <v>0</v>
      </c>
      <c r="L364" s="459">
        <v>2875000</v>
      </c>
      <c r="M364" s="459">
        <f t="shared" si="26"/>
        <v>2875000</v>
      </c>
      <c r="N364" s="461"/>
      <c r="O364" s="462"/>
      <c r="P364" s="462"/>
    </row>
    <row r="365" spans="2:16">
      <c r="B365" s="455" t="s">
        <v>575</v>
      </c>
      <c r="C365" s="456"/>
      <c r="D365" s="457"/>
      <c r="E365" s="458" t="s">
        <v>576</v>
      </c>
      <c r="F365" s="459"/>
      <c r="G365" s="459"/>
      <c r="H365" s="459"/>
      <c r="I365" s="459"/>
      <c r="J365" s="456">
        <v>44295</v>
      </c>
      <c r="K365" s="459">
        <v>0</v>
      </c>
      <c r="L365" s="459">
        <v>11687500</v>
      </c>
      <c r="M365" s="459">
        <f t="shared" si="26"/>
        <v>11687500</v>
      </c>
      <c r="N365" s="461"/>
      <c r="O365" s="462"/>
      <c r="P365" s="462"/>
    </row>
    <row r="366" spans="2:16">
      <c r="B366" s="455" t="s">
        <v>583</v>
      </c>
      <c r="C366" s="456"/>
      <c r="D366" s="457"/>
      <c r="E366" s="458" t="s">
        <v>576</v>
      </c>
      <c r="F366" s="459"/>
      <c r="G366" s="459"/>
      <c r="H366" s="459"/>
      <c r="I366" s="459"/>
      <c r="J366" s="456">
        <v>44298</v>
      </c>
      <c r="K366" s="459">
        <v>0</v>
      </c>
      <c r="L366" s="459">
        <v>5391</v>
      </c>
      <c r="M366" s="459">
        <f t="shared" si="26"/>
        <v>5391</v>
      </c>
      <c r="N366" s="461"/>
      <c r="O366" s="462"/>
      <c r="P366" s="462"/>
    </row>
    <row r="367" spans="2:16">
      <c r="B367" s="455" t="s">
        <v>582</v>
      </c>
      <c r="C367" s="456"/>
      <c r="D367" s="457"/>
      <c r="E367" s="458" t="s">
        <v>576</v>
      </c>
      <c r="F367" s="459"/>
      <c r="G367" s="459"/>
      <c r="H367" s="459"/>
      <c r="I367" s="459"/>
      <c r="J367" s="456">
        <v>44298</v>
      </c>
      <c r="K367" s="459">
        <v>0</v>
      </c>
      <c r="L367" s="459">
        <v>12938</v>
      </c>
      <c r="M367" s="459">
        <f t="shared" si="26"/>
        <v>12938</v>
      </c>
      <c r="N367" s="461"/>
      <c r="O367" s="462"/>
      <c r="P367" s="462"/>
    </row>
    <row r="368" spans="2:16">
      <c r="B368" s="455" t="s">
        <v>575</v>
      </c>
      <c r="C368" s="456"/>
      <c r="D368" s="457"/>
      <c r="E368" s="458" t="s">
        <v>576</v>
      </c>
      <c r="F368" s="459"/>
      <c r="G368" s="459"/>
      <c r="H368" s="459"/>
      <c r="I368" s="459"/>
      <c r="J368" s="456">
        <v>44298</v>
      </c>
      <c r="K368" s="459">
        <v>0</v>
      </c>
      <c r="L368" s="459">
        <v>4494940</v>
      </c>
      <c r="M368" s="459">
        <f t="shared" si="26"/>
        <v>4494940</v>
      </c>
      <c r="N368" s="461"/>
      <c r="O368" s="462"/>
      <c r="P368" s="462"/>
    </row>
    <row r="369" spans="2:16">
      <c r="B369" s="455" t="s">
        <v>575</v>
      </c>
      <c r="C369" s="456"/>
      <c r="D369" s="457"/>
      <c r="E369" s="458" t="s">
        <v>576</v>
      </c>
      <c r="F369" s="459"/>
      <c r="G369" s="459"/>
      <c r="H369" s="459"/>
      <c r="I369" s="459"/>
      <c r="J369" s="456">
        <v>44299</v>
      </c>
      <c r="K369" s="459">
        <v>0</v>
      </c>
      <c r="L369" s="459">
        <v>3692954</v>
      </c>
      <c r="M369" s="459">
        <f t="shared" si="26"/>
        <v>3692954</v>
      </c>
      <c r="N369" s="461"/>
      <c r="O369" s="462"/>
      <c r="P369" s="462"/>
    </row>
    <row r="370" spans="2:16">
      <c r="B370" s="455" t="s">
        <v>582</v>
      </c>
      <c r="C370" s="456"/>
      <c r="D370" s="457"/>
      <c r="E370" s="458" t="s">
        <v>576</v>
      </c>
      <c r="F370" s="459"/>
      <c r="G370" s="459"/>
      <c r="H370" s="459"/>
      <c r="I370" s="459"/>
      <c r="J370" s="456">
        <v>44299</v>
      </c>
      <c r="K370" s="459">
        <v>0</v>
      </c>
      <c r="L370" s="459">
        <v>88750</v>
      </c>
      <c r="M370" s="459">
        <f t="shared" si="26"/>
        <v>88750</v>
      </c>
      <c r="N370" s="461"/>
      <c r="O370" s="462"/>
      <c r="P370" s="462"/>
    </row>
    <row r="371" spans="2:16">
      <c r="B371" s="455" t="s">
        <v>581</v>
      </c>
      <c r="C371" s="456"/>
      <c r="D371" s="457"/>
      <c r="E371" s="458" t="s">
        <v>576</v>
      </c>
      <c r="F371" s="459"/>
      <c r="G371" s="459"/>
      <c r="H371" s="459"/>
      <c r="I371" s="459"/>
      <c r="J371" s="456">
        <v>44300</v>
      </c>
      <c r="K371" s="459">
        <v>0</v>
      </c>
      <c r="L371" s="459">
        <v>1806234</v>
      </c>
      <c r="M371" s="459">
        <f t="shared" si="26"/>
        <v>1806234</v>
      </c>
      <c r="N371" s="461"/>
      <c r="O371" s="462"/>
      <c r="P371" s="462"/>
    </row>
    <row r="372" spans="2:16">
      <c r="B372" s="455" t="s">
        <v>581</v>
      </c>
      <c r="C372" s="456"/>
      <c r="D372" s="457"/>
      <c r="E372" s="458" t="s">
        <v>576</v>
      </c>
      <c r="F372" s="459"/>
      <c r="G372" s="459"/>
      <c r="H372" s="459"/>
      <c r="I372" s="459"/>
      <c r="J372" s="456">
        <v>44300</v>
      </c>
      <c r="K372" s="459">
        <v>0</v>
      </c>
      <c r="L372" s="459">
        <v>1727940</v>
      </c>
      <c r="M372" s="459">
        <f t="shared" si="26"/>
        <v>1727940</v>
      </c>
      <c r="N372" s="461"/>
      <c r="O372" s="462"/>
      <c r="P372" s="462"/>
    </row>
    <row r="373" spans="2:16">
      <c r="B373" s="455" t="s">
        <v>578</v>
      </c>
      <c r="C373" s="456"/>
      <c r="D373" s="457"/>
      <c r="E373" s="458" t="s">
        <v>576</v>
      </c>
      <c r="F373" s="459"/>
      <c r="G373" s="459"/>
      <c r="H373" s="459"/>
      <c r="I373" s="459"/>
      <c r="J373" s="456">
        <v>44300</v>
      </c>
      <c r="K373" s="459">
        <v>0</v>
      </c>
      <c r="L373" s="459">
        <v>10626980</v>
      </c>
      <c r="M373" s="459">
        <f t="shared" si="26"/>
        <v>10626980</v>
      </c>
      <c r="N373" s="461"/>
      <c r="O373" s="462"/>
      <c r="P373" s="462"/>
    </row>
    <row r="374" spans="2:16">
      <c r="B374" s="455" t="s">
        <v>575</v>
      </c>
      <c r="C374" s="456"/>
      <c r="D374" s="457"/>
      <c r="E374" s="458" t="s">
        <v>576</v>
      </c>
      <c r="F374" s="459"/>
      <c r="G374" s="459"/>
      <c r="H374" s="459"/>
      <c r="I374" s="459"/>
      <c r="J374" s="456">
        <v>44300</v>
      </c>
      <c r="K374" s="459">
        <v>0</v>
      </c>
      <c r="L374" s="459">
        <v>4319843</v>
      </c>
      <c r="M374" s="459">
        <f t="shared" si="26"/>
        <v>4319843</v>
      </c>
      <c r="N374" s="461"/>
      <c r="O374" s="462"/>
      <c r="P374" s="462"/>
    </row>
    <row r="375" spans="2:16">
      <c r="B375" s="455" t="s">
        <v>577</v>
      </c>
      <c r="C375" s="456"/>
      <c r="D375" s="457"/>
      <c r="E375" s="458" t="s">
        <v>576</v>
      </c>
      <c r="F375" s="459"/>
      <c r="G375" s="459"/>
      <c r="H375" s="459"/>
      <c r="I375" s="459"/>
      <c r="J375" s="456">
        <v>44300</v>
      </c>
      <c r="K375" s="459">
        <v>0</v>
      </c>
      <c r="L375" s="459">
        <v>386913</v>
      </c>
      <c r="M375" s="459">
        <f t="shared" si="26"/>
        <v>386913</v>
      </c>
      <c r="N375" s="461"/>
      <c r="O375" s="462"/>
      <c r="P375" s="462"/>
    </row>
    <row r="376" spans="2:16">
      <c r="B376" s="455" t="s">
        <v>575</v>
      </c>
      <c r="C376" s="456"/>
      <c r="D376" s="457"/>
      <c r="E376" s="458" t="s">
        <v>576</v>
      </c>
      <c r="F376" s="459"/>
      <c r="G376" s="459"/>
      <c r="H376" s="459"/>
      <c r="I376" s="459"/>
      <c r="J376" s="456">
        <v>44300</v>
      </c>
      <c r="K376" s="459">
        <v>0</v>
      </c>
      <c r="L376" s="459">
        <v>2656225</v>
      </c>
      <c r="M376" s="459">
        <f t="shared" si="26"/>
        <v>2656225</v>
      </c>
      <c r="N376" s="461"/>
      <c r="O376" s="462"/>
      <c r="P376" s="462"/>
    </row>
    <row r="377" spans="2:16">
      <c r="B377" s="455" t="s">
        <v>582</v>
      </c>
      <c r="C377" s="456"/>
      <c r="D377" s="457"/>
      <c r="E377" s="458" t="s">
        <v>576</v>
      </c>
      <c r="F377" s="459"/>
      <c r="G377" s="459"/>
      <c r="H377" s="459"/>
      <c r="I377" s="459"/>
      <c r="J377" s="456">
        <v>44300</v>
      </c>
      <c r="K377" s="459">
        <v>0</v>
      </c>
      <c r="L377" s="459">
        <v>290625</v>
      </c>
      <c r="M377" s="459">
        <f t="shared" si="26"/>
        <v>290625</v>
      </c>
      <c r="N377" s="461"/>
      <c r="O377" s="462"/>
      <c r="P377" s="462"/>
    </row>
    <row r="378" spans="2:16">
      <c r="B378" s="455" t="s">
        <v>582</v>
      </c>
      <c r="C378" s="456"/>
      <c r="D378" s="457"/>
      <c r="E378" s="458" t="s">
        <v>576</v>
      </c>
      <c r="F378" s="459"/>
      <c r="G378" s="459"/>
      <c r="H378" s="459"/>
      <c r="I378" s="459"/>
      <c r="J378" s="456">
        <v>44301</v>
      </c>
      <c r="K378" s="459">
        <v>0</v>
      </c>
      <c r="L378" s="459">
        <v>135938</v>
      </c>
      <c r="M378" s="459">
        <f t="shared" si="26"/>
        <v>135938</v>
      </c>
      <c r="N378" s="461"/>
      <c r="O378" s="462"/>
      <c r="P378" s="462"/>
    </row>
    <row r="379" spans="2:16">
      <c r="B379" s="455" t="s">
        <v>586</v>
      </c>
      <c r="C379" s="456"/>
      <c r="D379" s="457"/>
      <c r="E379" s="458" t="s">
        <v>576</v>
      </c>
      <c r="F379" s="459"/>
      <c r="G379" s="459"/>
      <c r="H379" s="459"/>
      <c r="I379" s="459"/>
      <c r="J379" s="456">
        <v>44301</v>
      </c>
      <c r="K379" s="459">
        <v>0</v>
      </c>
      <c r="L379" s="459">
        <v>122344</v>
      </c>
      <c r="M379" s="459">
        <f t="shared" si="26"/>
        <v>122344</v>
      </c>
      <c r="N379" s="461"/>
      <c r="O379" s="462"/>
      <c r="P379" s="462"/>
    </row>
    <row r="380" spans="2:16">
      <c r="B380" s="455" t="s">
        <v>575</v>
      </c>
      <c r="C380" s="456"/>
      <c r="D380" s="457"/>
      <c r="E380" s="458" t="s">
        <v>576</v>
      </c>
      <c r="F380" s="459"/>
      <c r="G380" s="459"/>
      <c r="H380" s="459"/>
      <c r="I380" s="459"/>
      <c r="J380" s="456">
        <v>44301</v>
      </c>
      <c r="K380" s="459">
        <v>0</v>
      </c>
      <c r="L380" s="459">
        <v>3964862</v>
      </c>
      <c r="M380" s="459">
        <f t="shared" si="26"/>
        <v>3964862</v>
      </c>
      <c r="N380" s="461"/>
      <c r="O380" s="462"/>
      <c r="P380" s="462"/>
    </row>
    <row r="381" spans="2:16">
      <c r="B381" s="455" t="s">
        <v>577</v>
      </c>
      <c r="C381" s="456"/>
      <c r="D381" s="457"/>
      <c r="E381" s="458" t="s">
        <v>576</v>
      </c>
      <c r="F381" s="459"/>
      <c r="G381" s="459"/>
      <c r="H381" s="459"/>
      <c r="I381" s="459"/>
      <c r="J381" s="456">
        <v>44301</v>
      </c>
      <c r="K381" s="459">
        <v>0</v>
      </c>
      <c r="L381" s="459">
        <v>9492951</v>
      </c>
      <c r="M381" s="459">
        <f t="shared" si="26"/>
        <v>9492951</v>
      </c>
      <c r="N381" s="461"/>
      <c r="O381" s="462"/>
      <c r="P381" s="462"/>
    </row>
    <row r="382" spans="2:16">
      <c r="B382" s="455" t="s">
        <v>583</v>
      </c>
      <c r="C382" s="456"/>
      <c r="D382" s="457"/>
      <c r="E382" s="458" t="s">
        <v>576</v>
      </c>
      <c r="F382" s="459"/>
      <c r="G382" s="459"/>
      <c r="H382" s="459"/>
      <c r="I382" s="459"/>
      <c r="J382" s="456">
        <v>44302</v>
      </c>
      <c r="K382" s="459">
        <v>0</v>
      </c>
      <c r="L382" s="459">
        <v>3931</v>
      </c>
      <c r="M382" s="459">
        <f t="shared" si="26"/>
        <v>3931</v>
      </c>
      <c r="N382" s="461"/>
      <c r="O382" s="462"/>
      <c r="P382" s="462"/>
    </row>
    <row r="383" spans="2:16">
      <c r="B383" s="455" t="s">
        <v>582</v>
      </c>
      <c r="C383" s="456"/>
      <c r="D383" s="457"/>
      <c r="E383" s="458" t="s">
        <v>576</v>
      </c>
      <c r="F383" s="459"/>
      <c r="G383" s="459"/>
      <c r="H383" s="459"/>
      <c r="I383" s="459"/>
      <c r="J383" s="456">
        <v>44302</v>
      </c>
      <c r="K383" s="459">
        <v>0</v>
      </c>
      <c r="L383" s="459">
        <v>115625</v>
      </c>
      <c r="M383" s="459">
        <f t="shared" si="26"/>
        <v>115625</v>
      </c>
      <c r="N383" s="461"/>
      <c r="O383" s="462"/>
      <c r="P383" s="462"/>
    </row>
    <row r="384" spans="2:16">
      <c r="B384" s="455" t="s">
        <v>575</v>
      </c>
      <c r="C384" s="456"/>
      <c r="D384" s="457"/>
      <c r="E384" s="458" t="s">
        <v>576</v>
      </c>
      <c r="F384" s="459"/>
      <c r="G384" s="459"/>
      <c r="H384" s="459"/>
      <c r="I384" s="459"/>
      <c r="J384" s="456">
        <v>44302</v>
      </c>
      <c r="K384" s="459">
        <v>0</v>
      </c>
      <c r="L384" s="459">
        <v>6300000</v>
      </c>
      <c r="M384" s="459">
        <f t="shared" si="26"/>
        <v>6300000</v>
      </c>
      <c r="N384" s="461"/>
      <c r="O384" s="462"/>
      <c r="P384" s="462"/>
    </row>
    <row r="385" spans="2:16">
      <c r="B385" s="455" t="s">
        <v>597</v>
      </c>
      <c r="C385" s="456"/>
      <c r="D385" s="457"/>
      <c r="E385" s="458" t="s">
        <v>576</v>
      </c>
      <c r="F385" s="459"/>
      <c r="G385" s="459"/>
      <c r="H385" s="459"/>
      <c r="I385" s="459"/>
      <c r="J385" s="456">
        <v>44302</v>
      </c>
      <c r="K385" s="459">
        <v>0</v>
      </c>
      <c r="L385" s="459">
        <v>1575000</v>
      </c>
      <c r="M385" s="459">
        <f t="shared" si="26"/>
        <v>1575000</v>
      </c>
      <c r="N385" s="461"/>
      <c r="O385" s="462"/>
      <c r="P385" s="462"/>
    </row>
    <row r="386" spans="2:16">
      <c r="B386" s="455" t="s">
        <v>596</v>
      </c>
      <c r="C386" s="456"/>
      <c r="D386" s="457"/>
      <c r="E386" s="458" t="s">
        <v>576</v>
      </c>
      <c r="F386" s="459"/>
      <c r="G386" s="459"/>
      <c r="H386" s="459"/>
      <c r="I386" s="459"/>
      <c r="J386" s="456">
        <v>44302</v>
      </c>
      <c r="K386" s="459">
        <v>0</v>
      </c>
      <c r="L386" s="459">
        <v>11563</v>
      </c>
      <c r="M386" s="459">
        <f t="shared" si="26"/>
        <v>11563</v>
      </c>
      <c r="N386" s="461"/>
      <c r="O386" s="462"/>
      <c r="P386" s="462"/>
    </row>
    <row r="387" spans="2:16">
      <c r="B387" s="455" t="s">
        <v>575</v>
      </c>
      <c r="C387" s="456"/>
      <c r="D387" s="457"/>
      <c r="E387" s="458" t="s">
        <v>576</v>
      </c>
      <c r="F387" s="459"/>
      <c r="G387" s="459"/>
      <c r="H387" s="459"/>
      <c r="I387" s="459"/>
      <c r="J387" s="456">
        <v>44302</v>
      </c>
      <c r="K387" s="459">
        <v>0</v>
      </c>
      <c r="L387" s="459">
        <v>3875000</v>
      </c>
      <c r="M387" s="459">
        <f t="shared" si="26"/>
        <v>3875000</v>
      </c>
      <c r="N387" s="461"/>
      <c r="O387" s="462"/>
      <c r="P387" s="462"/>
    </row>
    <row r="388" spans="2:16">
      <c r="B388" s="455" t="s">
        <v>582</v>
      </c>
      <c r="C388" s="456"/>
      <c r="D388" s="457"/>
      <c r="E388" s="458" t="s">
        <v>576</v>
      </c>
      <c r="F388" s="459"/>
      <c r="G388" s="459"/>
      <c r="H388" s="459"/>
      <c r="I388" s="459"/>
      <c r="J388" s="456">
        <v>44305</v>
      </c>
      <c r="K388" s="459">
        <v>0</v>
      </c>
      <c r="L388" s="459">
        <v>155000</v>
      </c>
      <c r="M388" s="459">
        <f t="shared" si="26"/>
        <v>155000</v>
      </c>
      <c r="N388" s="461"/>
      <c r="O388" s="462"/>
      <c r="P388" s="462"/>
    </row>
    <row r="389" spans="2:16">
      <c r="B389" s="455" t="s">
        <v>577</v>
      </c>
      <c r="C389" s="456"/>
      <c r="D389" s="457"/>
      <c r="E389" s="458" t="s">
        <v>576</v>
      </c>
      <c r="F389" s="459"/>
      <c r="G389" s="459"/>
      <c r="H389" s="459"/>
      <c r="I389" s="459"/>
      <c r="J389" s="456">
        <v>44305</v>
      </c>
      <c r="K389" s="459">
        <v>0</v>
      </c>
      <c r="L389" s="459">
        <v>6230849</v>
      </c>
      <c r="M389" s="459">
        <f t="shared" si="26"/>
        <v>6230849</v>
      </c>
      <c r="N389" s="461"/>
      <c r="O389" s="462"/>
      <c r="P389" s="462"/>
    </row>
    <row r="390" spans="2:16">
      <c r="B390" s="455" t="s">
        <v>599</v>
      </c>
      <c r="C390" s="456"/>
      <c r="D390" s="457"/>
      <c r="E390" s="458" t="s">
        <v>576</v>
      </c>
      <c r="F390" s="459"/>
      <c r="G390" s="459"/>
      <c r="H390" s="459"/>
      <c r="I390" s="459"/>
      <c r="J390" s="456">
        <v>44305</v>
      </c>
      <c r="K390" s="459">
        <v>0</v>
      </c>
      <c r="L390" s="459">
        <v>48825</v>
      </c>
      <c r="M390" s="459">
        <f t="shared" si="26"/>
        <v>48825</v>
      </c>
      <c r="N390" s="461"/>
      <c r="O390" s="462"/>
      <c r="P390" s="462"/>
    </row>
    <row r="391" spans="2:16">
      <c r="B391" s="455" t="s">
        <v>575</v>
      </c>
      <c r="C391" s="456"/>
      <c r="D391" s="457"/>
      <c r="E391" s="458" t="s">
        <v>576</v>
      </c>
      <c r="F391" s="459"/>
      <c r="G391" s="459"/>
      <c r="H391" s="459"/>
      <c r="I391" s="459"/>
      <c r="J391" s="456">
        <v>44305</v>
      </c>
      <c r="K391" s="459">
        <v>0</v>
      </c>
      <c r="L391" s="459">
        <v>946845</v>
      </c>
      <c r="M391" s="459">
        <f t="shared" si="26"/>
        <v>946845</v>
      </c>
      <c r="N391" s="461"/>
      <c r="O391" s="462"/>
      <c r="P391" s="462"/>
    </row>
    <row r="392" spans="2:16">
      <c r="B392" s="455" t="s">
        <v>575</v>
      </c>
      <c r="C392" s="456"/>
      <c r="D392" s="457"/>
      <c r="E392" s="458" t="s">
        <v>576</v>
      </c>
      <c r="F392" s="459"/>
      <c r="G392" s="459"/>
      <c r="H392" s="459"/>
      <c r="I392" s="459"/>
      <c r="J392" s="456">
        <v>44305</v>
      </c>
      <c r="K392" s="459">
        <v>0</v>
      </c>
      <c r="L392" s="459">
        <v>6059028</v>
      </c>
      <c r="M392" s="459">
        <f t="shared" si="26"/>
        <v>6059028</v>
      </c>
      <c r="N392" s="461"/>
      <c r="O392" s="462"/>
      <c r="P392" s="462"/>
    </row>
    <row r="393" spans="2:16">
      <c r="B393" s="455" t="s">
        <v>586</v>
      </c>
      <c r="C393" s="456"/>
      <c r="D393" s="457"/>
      <c r="E393" s="458" t="s">
        <v>576</v>
      </c>
      <c r="F393" s="459"/>
      <c r="G393" s="459"/>
      <c r="H393" s="459"/>
      <c r="I393" s="459"/>
      <c r="J393" s="456">
        <v>44305</v>
      </c>
      <c r="K393" s="459">
        <v>0</v>
      </c>
      <c r="L393" s="459">
        <v>9688</v>
      </c>
      <c r="M393" s="459">
        <f t="shared" si="26"/>
        <v>9688</v>
      </c>
      <c r="N393" s="461"/>
      <c r="O393" s="462"/>
      <c r="P393" s="462"/>
    </row>
    <row r="394" spans="2:16">
      <c r="B394" s="455" t="s">
        <v>577</v>
      </c>
      <c r="C394" s="456"/>
      <c r="D394" s="457"/>
      <c r="E394" s="458" t="s">
        <v>576</v>
      </c>
      <c r="F394" s="459"/>
      <c r="G394" s="459"/>
      <c r="H394" s="459"/>
      <c r="I394" s="459"/>
      <c r="J394" s="456">
        <v>44305</v>
      </c>
      <c r="K394" s="459">
        <v>0</v>
      </c>
      <c r="L394" s="459">
        <v>4811355</v>
      </c>
      <c r="M394" s="459">
        <f t="shared" si="26"/>
        <v>4811355</v>
      </c>
      <c r="N394" s="461"/>
      <c r="O394" s="462"/>
      <c r="P394" s="462"/>
    </row>
    <row r="395" spans="2:16">
      <c r="B395" s="455" t="s">
        <v>581</v>
      </c>
      <c r="C395" s="456"/>
      <c r="D395" s="457"/>
      <c r="E395" s="458" t="s">
        <v>576</v>
      </c>
      <c r="F395" s="459"/>
      <c r="G395" s="459"/>
      <c r="H395" s="459"/>
      <c r="I395" s="459"/>
      <c r="J395" s="456">
        <v>44306</v>
      </c>
      <c r="K395" s="459">
        <v>0</v>
      </c>
      <c r="L395" s="459">
        <v>962637</v>
      </c>
      <c r="M395" s="459">
        <f t="shared" si="26"/>
        <v>962637</v>
      </c>
      <c r="N395" s="461"/>
      <c r="O395" s="462"/>
      <c r="P395" s="462"/>
    </row>
    <row r="396" spans="2:16">
      <c r="B396" s="455" t="s">
        <v>577</v>
      </c>
      <c r="C396" s="456"/>
      <c r="D396" s="457"/>
      <c r="E396" s="458" t="s">
        <v>576</v>
      </c>
      <c r="F396" s="459"/>
      <c r="G396" s="459"/>
      <c r="H396" s="459"/>
      <c r="I396" s="459"/>
      <c r="J396" s="456">
        <v>44306</v>
      </c>
      <c r="K396" s="459">
        <v>0</v>
      </c>
      <c r="L396" s="459">
        <v>2689734</v>
      </c>
      <c r="M396" s="459">
        <f t="shared" si="26"/>
        <v>2689734</v>
      </c>
      <c r="N396" s="461"/>
      <c r="O396" s="462"/>
      <c r="P396" s="462"/>
    </row>
    <row r="397" spans="2:16">
      <c r="B397" s="455" t="s">
        <v>577</v>
      </c>
      <c r="C397" s="456"/>
      <c r="D397" s="457"/>
      <c r="E397" s="458" t="s">
        <v>576</v>
      </c>
      <c r="F397" s="459"/>
      <c r="G397" s="459"/>
      <c r="H397" s="459"/>
      <c r="I397" s="459"/>
      <c r="J397" s="456">
        <v>44306</v>
      </c>
      <c r="K397" s="459">
        <v>0</v>
      </c>
      <c r="L397" s="459">
        <v>8975342</v>
      </c>
      <c r="M397" s="459">
        <f t="shared" si="26"/>
        <v>8975342</v>
      </c>
      <c r="N397" s="461"/>
      <c r="O397" s="462"/>
      <c r="P397" s="462"/>
    </row>
    <row r="398" spans="2:16">
      <c r="B398" s="455" t="s">
        <v>582</v>
      </c>
      <c r="C398" s="456"/>
      <c r="D398" s="457"/>
      <c r="E398" s="458" t="s">
        <v>576</v>
      </c>
      <c r="F398" s="459"/>
      <c r="G398" s="459"/>
      <c r="H398" s="459"/>
      <c r="I398" s="459"/>
      <c r="J398" s="456">
        <v>44306</v>
      </c>
      <c r="K398" s="459">
        <v>0</v>
      </c>
      <c r="L398" s="459">
        <v>290625</v>
      </c>
      <c r="M398" s="459">
        <f t="shared" si="26"/>
        <v>290625</v>
      </c>
      <c r="N398" s="461"/>
      <c r="O398" s="462"/>
      <c r="P398" s="462"/>
    </row>
    <row r="399" spans="2:16">
      <c r="B399" s="455" t="s">
        <v>575</v>
      </c>
      <c r="C399" s="456"/>
      <c r="D399" s="457"/>
      <c r="E399" s="458" t="s">
        <v>576</v>
      </c>
      <c r="F399" s="459"/>
      <c r="G399" s="459"/>
      <c r="H399" s="459"/>
      <c r="I399" s="459"/>
      <c r="J399" s="456">
        <v>44306</v>
      </c>
      <c r="K399" s="459">
        <v>0</v>
      </c>
      <c r="L399" s="459">
        <v>1415634</v>
      </c>
      <c r="M399" s="459">
        <f t="shared" si="26"/>
        <v>1415634</v>
      </c>
      <c r="N399" s="461"/>
      <c r="O399" s="462"/>
      <c r="P399" s="462"/>
    </row>
    <row r="400" spans="2:16">
      <c r="B400" s="455" t="s">
        <v>577</v>
      </c>
      <c r="C400" s="456"/>
      <c r="D400" s="457"/>
      <c r="E400" s="458" t="s">
        <v>576</v>
      </c>
      <c r="F400" s="459"/>
      <c r="G400" s="459"/>
      <c r="H400" s="459"/>
      <c r="I400" s="459"/>
      <c r="J400" s="456">
        <v>44306</v>
      </c>
      <c r="K400" s="466">
        <v>300000000</v>
      </c>
      <c r="L400" s="466">
        <v>0</v>
      </c>
      <c r="M400" s="466">
        <f t="shared" si="26"/>
        <v>300000000</v>
      </c>
      <c r="N400" s="461"/>
      <c r="O400" s="462"/>
      <c r="P400" s="462"/>
    </row>
    <row r="401" spans="2:16">
      <c r="B401" s="455" t="s">
        <v>583</v>
      </c>
      <c r="C401" s="456"/>
      <c r="D401" s="457"/>
      <c r="E401" s="458" t="s">
        <v>576</v>
      </c>
      <c r="F401" s="459"/>
      <c r="G401" s="459"/>
      <c r="H401" s="459"/>
      <c r="I401" s="459"/>
      <c r="J401" s="456">
        <v>44308</v>
      </c>
      <c r="K401" s="459">
        <v>0</v>
      </c>
      <c r="L401" s="459">
        <v>40781</v>
      </c>
      <c r="M401" s="459">
        <f t="shared" si="26"/>
        <v>40781</v>
      </c>
      <c r="N401" s="461"/>
      <c r="O401" s="462"/>
      <c r="P401" s="462"/>
    </row>
    <row r="402" spans="2:16">
      <c r="B402" s="455" t="s">
        <v>581</v>
      </c>
      <c r="C402" s="456"/>
      <c r="D402" s="457"/>
      <c r="E402" s="458" t="s">
        <v>576</v>
      </c>
      <c r="F402" s="459"/>
      <c r="G402" s="459"/>
      <c r="H402" s="459"/>
      <c r="I402" s="459"/>
      <c r="J402" s="456">
        <v>44308</v>
      </c>
      <c r="K402" s="459">
        <v>0</v>
      </c>
      <c r="L402" s="459">
        <v>7968750</v>
      </c>
      <c r="M402" s="459">
        <f t="shared" si="26"/>
        <v>7968750</v>
      </c>
      <c r="N402" s="461"/>
      <c r="O402" s="462"/>
      <c r="P402" s="462"/>
    </row>
    <row r="403" spans="2:16">
      <c r="B403" s="455" t="s">
        <v>581</v>
      </c>
      <c r="C403" s="456"/>
      <c r="D403" s="457"/>
      <c r="E403" s="458" t="s">
        <v>576</v>
      </c>
      <c r="F403" s="459"/>
      <c r="G403" s="459"/>
      <c r="H403" s="459"/>
      <c r="I403" s="459"/>
      <c r="J403" s="456">
        <v>44308</v>
      </c>
      <c r="K403" s="459">
        <v>0</v>
      </c>
      <c r="L403" s="459">
        <v>2242942</v>
      </c>
      <c r="M403" s="459">
        <f t="shared" si="26"/>
        <v>2242942</v>
      </c>
      <c r="N403" s="461"/>
      <c r="O403" s="462"/>
      <c r="P403" s="462"/>
    </row>
    <row r="404" spans="2:16">
      <c r="B404" s="455" t="s">
        <v>585</v>
      </c>
      <c r="C404" s="456"/>
      <c r="D404" s="457"/>
      <c r="E404" s="458" t="s">
        <v>576</v>
      </c>
      <c r="F404" s="459"/>
      <c r="G404" s="459"/>
      <c r="H404" s="459"/>
      <c r="I404" s="459"/>
      <c r="J404" s="456">
        <v>44309</v>
      </c>
      <c r="K404" s="459">
        <v>0</v>
      </c>
      <c r="L404" s="459">
        <v>299178</v>
      </c>
      <c r="M404" s="459">
        <f t="shared" si="26"/>
        <v>299178</v>
      </c>
      <c r="N404" s="461"/>
      <c r="O404" s="462"/>
      <c r="P404" s="462"/>
    </row>
    <row r="405" spans="2:16">
      <c r="B405" s="455" t="s">
        <v>586</v>
      </c>
      <c r="C405" s="456"/>
      <c r="D405" s="457"/>
      <c r="E405" s="458" t="s">
        <v>576</v>
      </c>
      <c r="F405" s="459"/>
      <c r="G405" s="459"/>
      <c r="H405" s="459"/>
      <c r="I405" s="459"/>
      <c r="J405" s="456">
        <v>44312</v>
      </c>
      <c r="K405" s="459">
        <v>0</v>
      </c>
      <c r="L405" s="459">
        <v>121875</v>
      </c>
      <c r="M405" s="459">
        <f t="shared" ref="M405:M414" si="27">+K405+L405</f>
        <v>121875</v>
      </c>
      <c r="N405" s="461"/>
      <c r="O405" s="462"/>
      <c r="P405" s="462"/>
    </row>
    <row r="406" spans="2:16">
      <c r="B406" s="455" t="s">
        <v>580</v>
      </c>
      <c r="C406" s="456"/>
      <c r="D406" s="457"/>
      <c r="E406" s="458" t="s">
        <v>576</v>
      </c>
      <c r="F406" s="459"/>
      <c r="G406" s="459"/>
      <c r="H406" s="459"/>
      <c r="I406" s="459"/>
      <c r="J406" s="456">
        <v>44312</v>
      </c>
      <c r="K406" s="459">
        <v>0</v>
      </c>
      <c r="L406" s="459">
        <v>12065625</v>
      </c>
      <c r="M406" s="459">
        <f t="shared" si="27"/>
        <v>12065625</v>
      </c>
      <c r="N406" s="461"/>
      <c r="O406" s="462"/>
      <c r="P406" s="462"/>
    </row>
    <row r="407" spans="2:16">
      <c r="B407" s="455" t="s">
        <v>582</v>
      </c>
      <c r="C407" s="456"/>
      <c r="D407" s="457"/>
      <c r="E407" s="458" t="s">
        <v>576</v>
      </c>
      <c r="F407" s="459"/>
      <c r="G407" s="459"/>
      <c r="H407" s="459"/>
      <c r="I407" s="459"/>
      <c r="J407" s="456">
        <v>44312</v>
      </c>
      <c r="K407" s="459">
        <v>0</v>
      </c>
      <c r="L407" s="459">
        <v>99938</v>
      </c>
      <c r="M407" s="459">
        <f t="shared" si="27"/>
        <v>99938</v>
      </c>
      <c r="N407" s="461"/>
      <c r="O407" s="462"/>
      <c r="P407" s="462"/>
    </row>
    <row r="408" spans="2:16">
      <c r="B408" s="455" t="s">
        <v>581</v>
      </c>
      <c r="C408" s="456"/>
      <c r="D408" s="457"/>
      <c r="E408" s="458" t="s">
        <v>576</v>
      </c>
      <c r="F408" s="459"/>
      <c r="G408" s="459"/>
      <c r="H408" s="459"/>
      <c r="I408" s="459"/>
      <c r="J408" s="456">
        <v>44312</v>
      </c>
      <c r="K408" s="459">
        <v>0</v>
      </c>
      <c r="L408" s="459">
        <v>4780940</v>
      </c>
      <c r="M408" s="459">
        <f t="shared" si="27"/>
        <v>4780940</v>
      </c>
      <c r="N408" s="461"/>
      <c r="O408" s="462"/>
      <c r="P408" s="462"/>
    </row>
    <row r="409" spans="2:16">
      <c r="B409" s="455" t="s">
        <v>575</v>
      </c>
      <c r="C409" s="456"/>
      <c r="D409" s="457"/>
      <c r="E409" s="458" t="s">
        <v>576</v>
      </c>
      <c r="F409" s="459"/>
      <c r="G409" s="459"/>
      <c r="H409" s="459"/>
      <c r="I409" s="459"/>
      <c r="J409" s="456">
        <v>44313</v>
      </c>
      <c r="K409" s="459">
        <v>0</v>
      </c>
      <c r="L409" s="459">
        <v>2447907</v>
      </c>
      <c r="M409" s="459">
        <f t="shared" si="27"/>
        <v>2447907</v>
      </c>
      <c r="N409" s="461"/>
      <c r="O409" s="462"/>
      <c r="P409" s="462"/>
    </row>
    <row r="410" spans="2:16">
      <c r="B410" s="455" t="s">
        <v>580</v>
      </c>
      <c r="C410" s="456"/>
      <c r="D410" s="457"/>
      <c r="E410" s="458" t="s">
        <v>576</v>
      </c>
      <c r="F410" s="459"/>
      <c r="G410" s="459"/>
      <c r="H410" s="459"/>
      <c r="I410" s="459"/>
      <c r="J410" s="456">
        <v>44316</v>
      </c>
      <c r="K410" s="459">
        <v>0</v>
      </c>
      <c r="L410" s="459">
        <v>4790982</v>
      </c>
      <c r="M410" s="459">
        <f t="shared" si="27"/>
        <v>4790982</v>
      </c>
      <c r="N410" s="461"/>
      <c r="O410" s="462"/>
      <c r="P410" s="462"/>
    </row>
    <row r="411" spans="2:16">
      <c r="B411" s="455" t="s">
        <v>577</v>
      </c>
      <c r="C411" s="456"/>
      <c r="D411" s="457"/>
      <c r="E411" s="458" t="s">
        <v>576</v>
      </c>
      <c r="F411" s="459"/>
      <c r="G411" s="459"/>
      <c r="H411" s="459"/>
      <c r="I411" s="459"/>
      <c r="J411" s="456">
        <v>44316</v>
      </c>
      <c r="K411" s="459">
        <v>0</v>
      </c>
      <c r="L411" s="459">
        <v>2038705</v>
      </c>
      <c r="M411" s="459">
        <f t="shared" si="27"/>
        <v>2038705</v>
      </c>
      <c r="N411" s="461"/>
      <c r="O411" s="462"/>
      <c r="P411" s="462"/>
    </row>
    <row r="412" spans="2:16">
      <c r="B412" s="455" t="s">
        <v>577</v>
      </c>
      <c r="C412" s="456"/>
      <c r="D412" s="457"/>
      <c r="E412" s="458" t="s">
        <v>576</v>
      </c>
      <c r="F412" s="459"/>
      <c r="G412" s="459"/>
      <c r="H412" s="459"/>
      <c r="I412" s="459"/>
      <c r="J412" s="456">
        <v>44316</v>
      </c>
      <c r="K412" s="459">
        <v>0</v>
      </c>
      <c r="L412" s="459">
        <v>2034</v>
      </c>
      <c r="M412" s="459">
        <f t="shared" si="27"/>
        <v>2034</v>
      </c>
      <c r="N412" s="461"/>
      <c r="O412" s="462"/>
      <c r="P412" s="462"/>
    </row>
    <row r="413" spans="2:16">
      <c r="B413" s="455" t="s">
        <v>575</v>
      </c>
      <c r="C413" s="456"/>
      <c r="D413" s="457"/>
      <c r="E413" s="458" t="s">
        <v>576</v>
      </c>
      <c r="F413" s="459"/>
      <c r="G413" s="459"/>
      <c r="H413" s="459"/>
      <c r="I413" s="459"/>
      <c r="J413" s="456">
        <v>44316</v>
      </c>
      <c r="K413" s="459">
        <v>0</v>
      </c>
      <c r="L413" s="459">
        <v>1453</v>
      </c>
      <c r="M413" s="459">
        <f t="shared" si="27"/>
        <v>1453</v>
      </c>
      <c r="N413" s="461"/>
      <c r="O413" s="462"/>
      <c r="P413" s="462"/>
    </row>
    <row r="414" spans="2:16">
      <c r="B414" s="455" t="s">
        <v>580</v>
      </c>
      <c r="C414" s="456"/>
      <c r="D414" s="457"/>
      <c r="E414" s="458" t="s">
        <v>576</v>
      </c>
      <c r="F414" s="459"/>
      <c r="G414" s="459"/>
      <c r="H414" s="459"/>
      <c r="I414" s="459"/>
      <c r="J414" s="456">
        <v>44316</v>
      </c>
      <c r="K414" s="459">
        <v>0</v>
      </c>
      <c r="L414" s="459">
        <v>11910938</v>
      </c>
      <c r="M414" s="459">
        <f t="shared" si="27"/>
        <v>11910938</v>
      </c>
      <c r="N414" s="461"/>
      <c r="O414" s="462"/>
      <c r="P414" s="462"/>
    </row>
    <row r="415" spans="2:16">
      <c r="B415" s="467" t="s">
        <v>588</v>
      </c>
      <c r="C415" s="468"/>
      <c r="D415" s="469"/>
      <c r="E415" s="470"/>
      <c r="F415" s="459"/>
      <c r="G415" s="471">
        <f>(G803-F803)*1000000</f>
        <v>4951362.0000004722</v>
      </c>
      <c r="H415" s="465"/>
      <c r="I415" s="465"/>
      <c r="J415" s="472"/>
      <c r="K415" s="495"/>
      <c r="L415" s="495"/>
      <c r="M415" s="473"/>
      <c r="N415" s="461"/>
      <c r="O415" s="462"/>
      <c r="P415" s="462"/>
    </row>
    <row r="416" spans="2:16">
      <c r="B416" s="467" t="s">
        <v>589</v>
      </c>
      <c r="C416" s="468"/>
      <c r="D416" s="469"/>
      <c r="E416" s="470" t="s">
        <v>590</v>
      </c>
      <c r="F416" s="459">
        <f>SUBTOTAL(9,G416:H416)</f>
        <v>0</v>
      </c>
      <c r="G416" s="471"/>
      <c r="H416" s="465"/>
      <c r="I416" s="465"/>
      <c r="J416" s="472"/>
      <c r="K416" s="495">
        <v>57616663.302156858</v>
      </c>
      <c r="L416" s="495">
        <v>15171312.857132111</v>
      </c>
      <c r="M416" s="473"/>
      <c r="N416" s="461"/>
      <c r="O416" s="462"/>
      <c r="P416" s="462"/>
    </row>
    <row r="417" spans="2:16">
      <c r="B417" s="467" t="s">
        <v>591</v>
      </c>
      <c r="C417" s="468"/>
      <c r="D417" s="469"/>
      <c r="E417" s="470" t="s">
        <v>592</v>
      </c>
      <c r="F417" s="459">
        <f t="shared" ref="F417" si="28">SUBTOTAL(9,G417:H417)</f>
        <v>0</v>
      </c>
      <c r="G417" s="471"/>
      <c r="H417" s="465"/>
      <c r="I417" s="465"/>
      <c r="J417" s="472"/>
      <c r="K417" s="495">
        <v>17998160.667843632</v>
      </c>
      <c r="L417" s="495">
        <v>8627669.9605547432</v>
      </c>
      <c r="M417" s="473"/>
      <c r="N417" s="461"/>
      <c r="O417" s="462"/>
      <c r="P417" s="462"/>
    </row>
    <row r="418" spans="2:16" ht="12.5">
      <c r="B418" s="938" t="s">
        <v>593</v>
      </c>
      <c r="C418" s="939"/>
      <c r="D418" s="939"/>
      <c r="E418" s="940"/>
      <c r="F418" s="941">
        <f>SUM(F334:F417)</f>
        <v>1035000000</v>
      </c>
      <c r="G418" s="941">
        <f>SUM(G334:G417)</f>
        <v>1039951362.0000005</v>
      </c>
      <c r="H418" s="941">
        <f>SUM(H334:H417)</f>
        <v>0</v>
      </c>
      <c r="I418" s="941">
        <f>SUM(I334:I417)</f>
        <v>1035000000</v>
      </c>
      <c r="J418" s="941"/>
      <c r="K418" s="941">
        <f>SUM(K334:K417)</f>
        <v>375614823.97000051</v>
      </c>
      <c r="L418" s="941">
        <f>SUM(L334:L417)</f>
        <v>228406169.81768686</v>
      </c>
      <c r="M418" s="941">
        <f>SUM(M334:M417)</f>
        <v>504607187</v>
      </c>
      <c r="N418" s="942">
        <f>+G418-K418</f>
        <v>664336538.02999997</v>
      </c>
      <c r="O418" s="942">
        <f>+(G793-F793)*1000000</f>
        <v>-1373775934.7210045</v>
      </c>
      <c r="P418" s="942">
        <f>N418-O418</f>
        <v>2038112472.7510045</v>
      </c>
    </row>
    <row r="419" spans="2:16" ht="12.5">
      <c r="B419" s="455" t="s">
        <v>594</v>
      </c>
      <c r="C419" s="479">
        <v>44288</v>
      </c>
      <c r="D419" s="457">
        <v>2160</v>
      </c>
      <c r="E419" s="480" t="s">
        <v>576</v>
      </c>
      <c r="F419" s="459">
        <f t="shared" ref="F419:F420" si="29">SUBTOTAL(9,G419:H419)</f>
        <v>320000000</v>
      </c>
      <c r="G419" s="459">
        <v>320000000</v>
      </c>
      <c r="H419" s="459">
        <v>0</v>
      </c>
      <c r="I419" s="459">
        <f t="shared" ref="I419:I420" si="30">+G419+H419</f>
        <v>320000000</v>
      </c>
      <c r="J419" s="489"/>
      <c r="K419" s="490"/>
      <c r="L419" s="490"/>
      <c r="M419" s="490"/>
      <c r="N419" s="481"/>
      <c r="O419" s="462"/>
      <c r="P419" s="482"/>
    </row>
    <row r="420" spans="2:16" ht="12.5">
      <c r="B420" s="455" t="s">
        <v>594</v>
      </c>
      <c r="C420" s="479">
        <v>44300</v>
      </c>
      <c r="D420" s="457">
        <v>3240</v>
      </c>
      <c r="E420" s="480" t="s">
        <v>576</v>
      </c>
      <c r="F420" s="459">
        <f t="shared" si="29"/>
        <v>350000000</v>
      </c>
      <c r="G420" s="459">
        <v>350000000</v>
      </c>
      <c r="H420" s="459">
        <v>0</v>
      </c>
      <c r="I420" s="459">
        <f t="shared" si="30"/>
        <v>350000000</v>
      </c>
      <c r="J420" s="489"/>
      <c r="K420" s="490"/>
      <c r="L420" s="490"/>
      <c r="M420" s="490"/>
      <c r="N420" s="481"/>
      <c r="O420" s="462"/>
      <c r="P420" s="482"/>
    </row>
    <row r="421" spans="2:16" ht="12.5">
      <c r="B421" s="455" t="s">
        <v>594</v>
      </c>
      <c r="C421" s="479"/>
      <c r="D421" s="457"/>
      <c r="E421" s="480" t="s">
        <v>576</v>
      </c>
      <c r="F421" s="459"/>
      <c r="G421" s="459"/>
      <c r="H421" s="459"/>
      <c r="I421" s="459"/>
      <c r="J421" s="456">
        <v>44291</v>
      </c>
      <c r="K421" s="459">
        <v>0</v>
      </c>
      <c r="L421" s="459">
        <v>11331250</v>
      </c>
      <c r="M421" s="459">
        <f t="shared" ref="M421:M442" si="31">+K421+L421</f>
        <v>11331250</v>
      </c>
      <c r="N421" s="481"/>
      <c r="O421" s="462"/>
      <c r="P421" s="482"/>
    </row>
    <row r="422" spans="2:16" ht="12.5">
      <c r="B422" s="455" t="s">
        <v>594</v>
      </c>
      <c r="C422" s="479"/>
      <c r="D422" s="457"/>
      <c r="E422" s="480" t="s">
        <v>576</v>
      </c>
      <c r="F422" s="459"/>
      <c r="G422" s="459"/>
      <c r="H422" s="459"/>
      <c r="I422" s="459"/>
      <c r="J422" s="456">
        <v>44291</v>
      </c>
      <c r="K422" s="459">
        <v>0</v>
      </c>
      <c r="L422" s="459">
        <v>3982357</v>
      </c>
      <c r="M422" s="459">
        <f t="shared" si="31"/>
        <v>3982357</v>
      </c>
      <c r="N422" s="481"/>
      <c r="O422" s="462"/>
      <c r="P422" s="482"/>
    </row>
    <row r="423" spans="2:16" ht="12.5">
      <c r="B423" s="455" t="s">
        <v>594</v>
      </c>
      <c r="C423" s="479"/>
      <c r="D423" s="457"/>
      <c r="E423" s="480" t="s">
        <v>576</v>
      </c>
      <c r="F423" s="459"/>
      <c r="G423" s="459"/>
      <c r="H423" s="459"/>
      <c r="I423" s="459"/>
      <c r="J423" s="456">
        <v>44291</v>
      </c>
      <c r="K423" s="459">
        <v>0</v>
      </c>
      <c r="L423" s="459">
        <v>383360</v>
      </c>
      <c r="M423" s="459">
        <f t="shared" si="31"/>
        <v>383360</v>
      </c>
      <c r="N423" s="481"/>
      <c r="O423" s="462"/>
      <c r="P423" s="482"/>
    </row>
    <row r="424" spans="2:16" ht="12.5">
      <c r="B424" s="455" t="s">
        <v>594</v>
      </c>
      <c r="C424" s="479"/>
      <c r="D424" s="457"/>
      <c r="E424" s="480" t="s">
        <v>576</v>
      </c>
      <c r="F424" s="459"/>
      <c r="G424" s="459"/>
      <c r="H424" s="459"/>
      <c r="I424" s="459"/>
      <c r="J424" s="456">
        <v>44293</v>
      </c>
      <c r="K424" s="459">
        <v>0</v>
      </c>
      <c r="L424" s="459">
        <v>3265625</v>
      </c>
      <c r="M424" s="459">
        <f t="shared" si="31"/>
        <v>3265625</v>
      </c>
      <c r="N424" s="481"/>
      <c r="O424" s="462"/>
      <c r="P424" s="482"/>
    </row>
    <row r="425" spans="2:16" ht="12.5">
      <c r="B425" s="455" t="s">
        <v>594</v>
      </c>
      <c r="C425" s="479"/>
      <c r="D425" s="457"/>
      <c r="E425" s="480" t="s">
        <v>576</v>
      </c>
      <c r="F425" s="459"/>
      <c r="G425" s="459"/>
      <c r="H425" s="459"/>
      <c r="I425" s="459"/>
      <c r="J425" s="456">
        <v>44294</v>
      </c>
      <c r="K425" s="459">
        <v>0</v>
      </c>
      <c r="L425" s="459">
        <v>4312500</v>
      </c>
      <c r="M425" s="459">
        <f t="shared" si="31"/>
        <v>4312500</v>
      </c>
      <c r="N425" s="481"/>
      <c r="O425" s="462"/>
      <c r="P425" s="482"/>
    </row>
    <row r="426" spans="2:16" ht="12.5">
      <c r="B426" s="455" t="s">
        <v>594</v>
      </c>
      <c r="C426" s="479"/>
      <c r="D426" s="457"/>
      <c r="E426" s="480" t="s">
        <v>576</v>
      </c>
      <c r="F426" s="459"/>
      <c r="G426" s="459"/>
      <c r="H426" s="459"/>
      <c r="I426" s="459"/>
      <c r="J426" s="456">
        <v>44298</v>
      </c>
      <c r="K426" s="459">
        <v>0</v>
      </c>
      <c r="L426" s="459">
        <v>1930685</v>
      </c>
      <c r="M426" s="459">
        <f t="shared" si="31"/>
        <v>1930685</v>
      </c>
      <c r="N426" s="481"/>
      <c r="O426" s="462"/>
      <c r="P426" s="482"/>
    </row>
    <row r="427" spans="2:16" ht="12.5">
      <c r="B427" s="455" t="s">
        <v>594</v>
      </c>
      <c r="C427" s="479"/>
      <c r="D427" s="457"/>
      <c r="E427" s="480" t="s">
        <v>576</v>
      </c>
      <c r="F427" s="459"/>
      <c r="G427" s="459"/>
      <c r="H427" s="459"/>
      <c r="I427" s="459"/>
      <c r="J427" s="456">
        <v>44299</v>
      </c>
      <c r="K427" s="459">
        <v>0</v>
      </c>
      <c r="L427" s="459">
        <v>7356421</v>
      </c>
      <c r="M427" s="459">
        <f t="shared" si="31"/>
        <v>7356421</v>
      </c>
      <c r="N427" s="481"/>
      <c r="O427" s="462"/>
      <c r="P427" s="482"/>
    </row>
    <row r="428" spans="2:16" ht="12.5">
      <c r="B428" s="455" t="s">
        <v>594</v>
      </c>
      <c r="C428" s="479"/>
      <c r="D428" s="457"/>
      <c r="E428" s="480" t="s">
        <v>576</v>
      </c>
      <c r="F428" s="459"/>
      <c r="G428" s="459"/>
      <c r="H428" s="459"/>
      <c r="I428" s="459"/>
      <c r="J428" s="456">
        <v>44300</v>
      </c>
      <c r="K428" s="459">
        <v>0</v>
      </c>
      <c r="L428" s="459">
        <v>361108</v>
      </c>
      <c r="M428" s="459">
        <f t="shared" si="31"/>
        <v>361108</v>
      </c>
      <c r="N428" s="481"/>
      <c r="O428" s="462"/>
      <c r="P428" s="482"/>
    </row>
    <row r="429" spans="2:16" ht="12.5">
      <c r="B429" s="455" t="s">
        <v>594</v>
      </c>
      <c r="C429" s="479"/>
      <c r="D429" s="457"/>
      <c r="E429" s="480" t="s">
        <v>576</v>
      </c>
      <c r="F429" s="459"/>
      <c r="G429" s="459"/>
      <c r="H429" s="459"/>
      <c r="I429" s="459"/>
      <c r="J429" s="456">
        <v>44300</v>
      </c>
      <c r="K429" s="459">
        <v>0</v>
      </c>
      <c r="L429" s="459">
        <v>1295966</v>
      </c>
      <c r="M429" s="459">
        <f t="shared" si="31"/>
        <v>1295966</v>
      </c>
      <c r="N429" s="481"/>
      <c r="O429" s="462"/>
      <c r="P429" s="482"/>
    </row>
    <row r="430" spans="2:16" ht="12.5">
      <c r="B430" s="455" t="s">
        <v>594</v>
      </c>
      <c r="C430" s="479"/>
      <c r="D430" s="457"/>
      <c r="E430" s="480" t="s">
        <v>576</v>
      </c>
      <c r="F430" s="459"/>
      <c r="G430" s="459"/>
      <c r="H430" s="459"/>
      <c r="I430" s="459"/>
      <c r="J430" s="456">
        <v>44300</v>
      </c>
      <c r="K430" s="459">
        <v>0</v>
      </c>
      <c r="L430" s="459">
        <v>5418790</v>
      </c>
      <c r="M430" s="459">
        <f t="shared" si="31"/>
        <v>5418790</v>
      </c>
      <c r="N430" s="481"/>
      <c r="O430" s="462"/>
      <c r="P430" s="482"/>
    </row>
    <row r="431" spans="2:16" ht="12.5">
      <c r="B431" s="455" t="s">
        <v>594</v>
      </c>
      <c r="C431" s="479"/>
      <c r="D431" s="457"/>
      <c r="E431" s="480" t="s">
        <v>576</v>
      </c>
      <c r="F431" s="459"/>
      <c r="G431" s="459"/>
      <c r="H431" s="459"/>
      <c r="I431" s="459"/>
      <c r="J431" s="456">
        <v>44302</v>
      </c>
      <c r="K431" s="459">
        <v>0</v>
      </c>
      <c r="L431" s="459">
        <v>3875000</v>
      </c>
      <c r="M431" s="459">
        <f t="shared" si="31"/>
        <v>3875000</v>
      </c>
      <c r="N431" s="481"/>
      <c r="O431" s="462"/>
      <c r="P431" s="482"/>
    </row>
    <row r="432" spans="2:16" ht="12.5">
      <c r="B432" s="455" t="s">
        <v>594</v>
      </c>
      <c r="C432" s="479"/>
      <c r="D432" s="457"/>
      <c r="E432" s="480" t="s">
        <v>576</v>
      </c>
      <c r="F432" s="459"/>
      <c r="G432" s="459"/>
      <c r="H432" s="459"/>
      <c r="I432" s="459"/>
      <c r="J432" s="456">
        <v>44302</v>
      </c>
      <c r="K432" s="459">
        <v>0</v>
      </c>
      <c r="L432" s="459">
        <v>9018750</v>
      </c>
      <c r="M432" s="459">
        <f t="shared" si="31"/>
        <v>9018750</v>
      </c>
      <c r="N432" s="481"/>
      <c r="O432" s="462"/>
      <c r="P432" s="482"/>
    </row>
    <row r="433" spans="2:16" ht="12.5">
      <c r="B433" s="455" t="s">
        <v>594</v>
      </c>
      <c r="C433" s="479"/>
      <c r="D433" s="457"/>
      <c r="E433" s="480" t="s">
        <v>576</v>
      </c>
      <c r="F433" s="459"/>
      <c r="G433" s="459"/>
      <c r="H433" s="459"/>
      <c r="I433" s="459"/>
      <c r="J433" s="456">
        <v>44305</v>
      </c>
      <c r="K433" s="459">
        <v>0</v>
      </c>
      <c r="L433" s="459">
        <v>11049375</v>
      </c>
      <c r="M433" s="459">
        <f t="shared" si="31"/>
        <v>11049375</v>
      </c>
      <c r="N433" s="481"/>
      <c r="O433" s="462"/>
      <c r="P433" s="482"/>
    </row>
    <row r="434" spans="2:16" ht="12.5">
      <c r="B434" s="455" t="s">
        <v>594</v>
      </c>
      <c r="C434" s="479"/>
      <c r="D434" s="457"/>
      <c r="E434" s="480" t="s">
        <v>576</v>
      </c>
      <c r="F434" s="459"/>
      <c r="G434" s="459"/>
      <c r="H434" s="459"/>
      <c r="I434" s="459"/>
      <c r="J434" s="456">
        <v>44305</v>
      </c>
      <c r="K434" s="459">
        <v>0</v>
      </c>
      <c r="L434" s="459">
        <v>4818526</v>
      </c>
      <c r="M434" s="459">
        <f t="shared" si="31"/>
        <v>4818526</v>
      </c>
      <c r="N434" s="481"/>
      <c r="O434" s="462"/>
      <c r="P434" s="482"/>
    </row>
    <row r="435" spans="2:16" ht="12.5">
      <c r="B435" s="455" t="s">
        <v>594</v>
      </c>
      <c r="C435" s="479"/>
      <c r="D435" s="457"/>
      <c r="E435" s="480" t="s">
        <v>576</v>
      </c>
      <c r="F435" s="459"/>
      <c r="G435" s="459"/>
      <c r="H435" s="459"/>
      <c r="I435" s="459"/>
      <c r="J435" s="456">
        <v>44305</v>
      </c>
      <c r="K435" s="459">
        <v>0</v>
      </c>
      <c r="L435" s="459">
        <v>9068836</v>
      </c>
      <c r="M435" s="459">
        <f t="shared" si="31"/>
        <v>9068836</v>
      </c>
      <c r="N435" s="481"/>
      <c r="O435" s="462"/>
      <c r="P435" s="482"/>
    </row>
    <row r="436" spans="2:16" ht="12.5">
      <c r="B436" s="455" t="s">
        <v>594</v>
      </c>
      <c r="C436" s="479"/>
      <c r="D436" s="457"/>
      <c r="E436" s="480" t="s">
        <v>576</v>
      </c>
      <c r="F436" s="459"/>
      <c r="G436" s="459"/>
      <c r="H436" s="459"/>
      <c r="I436" s="459"/>
      <c r="J436" s="456">
        <v>44305</v>
      </c>
      <c r="K436" s="459">
        <v>0</v>
      </c>
      <c r="L436" s="459">
        <v>1545660</v>
      </c>
      <c r="M436" s="459">
        <f t="shared" si="31"/>
        <v>1545660</v>
      </c>
      <c r="N436" s="481"/>
      <c r="O436" s="462"/>
      <c r="P436" s="482"/>
    </row>
    <row r="437" spans="2:16" ht="12.5">
      <c r="B437" s="455" t="s">
        <v>594</v>
      </c>
      <c r="C437" s="479"/>
      <c r="D437" s="457"/>
      <c r="E437" s="480" t="s">
        <v>576</v>
      </c>
      <c r="F437" s="459"/>
      <c r="G437" s="459"/>
      <c r="H437" s="459"/>
      <c r="I437" s="459"/>
      <c r="J437" s="456">
        <v>44305</v>
      </c>
      <c r="K437" s="459">
        <v>0</v>
      </c>
      <c r="L437" s="459">
        <v>946800</v>
      </c>
      <c r="M437" s="459">
        <f t="shared" si="31"/>
        <v>946800</v>
      </c>
      <c r="N437" s="481"/>
      <c r="O437" s="462"/>
      <c r="P437" s="482"/>
    </row>
    <row r="438" spans="2:16" ht="12.5">
      <c r="B438" s="455" t="s">
        <v>594</v>
      </c>
      <c r="C438" s="479"/>
      <c r="D438" s="457"/>
      <c r="E438" s="480" t="s">
        <v>576</v>
      </c>
      <c r="F438" s="459"/>
      <c r="G438" s="459"/>
      <c r="H438" s="459"/>
      <c r="I438" s="459"/>
      <c r="J438" s="456">
        <v>44305</v>
      </c>
      <c r="K438" s="459">
        <v>300000000</v>
      </c>
      <c r="L438" s="459">
        <v>0</v>
      </c>
      <c r="M438" s="459">
        <f t="shared" si="31"/>
        <v>300000000</v>
      </c>
      <c r="N438" s="481"/>
      <c r="O438" s="462"/>
      <c r="P438" s="482"/>
    </row>
    <row r="439" spans="2:16" ht="12.5">
      <c r="B439" s="455" t="s">
        <v>594</v>
      </c>
      <c r="C439" s="479"/>
      <c r="D439" s="457"/>
      <c r="E439" s="480" t="s">
        <v>576</v>
      </c>
      <c r="F439" s="459"/>
      <c r="G439" s="459"/>
      <c r="H439" s="459"/>
      <c r="I439" s="459"/>
      <c r="J439" s="456">
        <v>44306</v>
      </c>
      <c r="K439" s="459">
        <v>0</v>
      </c>
      <c r="L439" s="459">
        <v>4813244</v>
      </c>
      <c r="M439" s="459">
        <f t="shared" si="31"/>
        <v>4813244</v>
      </c>
      <c r="N439" s="481"/>
      <c r="O439" s="462"/>
      <c r="P439" s="482"/>
    </row>
    <row r="440" spans="2:16" ht="12.5">
      <c r="B440" s="455" t="s">
        <v>594</v>
      </c>
      <c r="C440" s="479"/>
      <c r="D440" s="457"/>
      <c r="E440" s="480" t="s">
        <v>576</v>
      </c>
      <c r="F440" s="459"/>
      <c r="G440" s="459"/>
      <c r="H440" s="459"/>
      <c r="I440" s="459"/>
      <c r="J440" s="456">
        <v>44308</v>
      </c>
      <c r="K440" s="459">
        <v>0</v>
      </c>
      <c r="L440" s="459">
        <v>11214871</v>
      </c>
      <c r="M440" s="459">
        <f t="shared" si="31"/>
        <v>11214871</v>
      </c>
      <c r="N440" s="481"/>
      <c r="O440" s="462"/>
      <c r="P440" s="482"/>
    </row>
    <row r="441" spans="2:16" ht="12.5">
      <c r="B441" s="455" t="s">
        <v>594</v>
      </c>
      <c r="C441" s="479"/>
      <c r="D441" s="457"/>
      <c r="E441" s="480" t="s">
        <v>576</v>
      </c>
      <c r="F441" s="459"/>
      <c r="G441" s="459"/>
      <c r="H441" s="459"/>
      <c r="I441" s="459"/>
      <c r="J441" s="456">
        <v>44312</v>
      </c>
      <c r="K441" s="459">
        <v>0</v>
      </c>
      <c r="L441" s="459">
        <v>4094060</v>
      </c>
      <c r="M441" s="459">
        <f t="shared" si="31"/>
        <v>4094060</v>
      </c>
      <c r="N441" s="481"/>
      <c r="O441" s="462"/>
      <c r="P441" s="482"/>
    </row>
    <row r="442" spans="2:16" ht="12.5">
      <c r="B442" s="455" t="s">
        <v>594</v>
      </c>
      <c r="C442" s="479"/>
      <c r="D442" s="457"/>
      <c r="E442" s="480" t="s">
        <v>576</v>
      </c>
      <c r="F442" s="459"/>
      <c r="G442" s="459"/>
      <c r="H442" s="459"/>
      <c r="I442" s="459"/>
      <c r="J442" s="456">
        <v>44313</v>
      </c>
      <c r="K442" s="459">
        <v>0</v>
      </c>
      <c r="L442" s="459">
        <v>4895843</v>
      </c>
      <c r="M442" s="459">
        <f t="shared" si="31"/>
        <v>4895843</v>
      </c>
      <c r="N442" s="481"/>
      <c r="O442" s="462"/>
      <c r="P442" s="482"/>
    </row>
    <row r="443" spans="2:16" ht="12.5">
      <c r="B443" s="943" t="s">
        <v>595</v>
      </c>
      <c r="C443" s="944"/>
      <c r="D443" s="944"/>
      <c r="E443" s="945"/>
      <c r="F443" s="946">
        <f>SUM(F419:F442)</f>
        <v>670000000</v>
      </c>
      <c r="G443" s="946">
        <f>SUM(G419:G442)</f>
        <v>670000000</v>
      </c>
      <c r="H443" s="946">
        <f>SUM(H419:H442)</f>
        <v>0</v>
      </c>
      <c r="I443" s="946">
        <f>SUM(I419:I442)</f>
        <v>670000000</v>
      </c>
      <c r="J443" s="946"/>
      <c r="K443" s="946">
        <f>SUM(K419:K442)</f>
        <v>300000000</v>
      </c>
      <c r="L443" s="946">
        <f>SUM(L419:L442)</f>
        <v>104979027</v>
      </c>
      <c r="M443" s="946">
        <f>SUM(M419:M442)</f>
        <v>404979027</v>
      </c>
      <c r="N443" s="942">
        <f>+G443-K443</f>
        <v>370000000</v>
      </c>
      <c r="O443" s="942"/>
      <c r="P443" s="942">
        <f>+N443-O443</f>
        <v>370000000</v>
      </c>
    </row>
    <row r="444" spans="2:16">
      <c r="B444" s="455" t="s">
        <v>580</v>
      </c>
      <c r="C444" s="456">
        <v>44320</v>
      </c>
      <c r="D444" s="457">
        <v>1800</v>
      </c>
      <c r="E444" s="458" t="s">
        <v>576</v>
      </c>
      <c r="F444" s="459">
        <f t="shared" ref="F444:F457" si="32">SUBTOTAL(9,G444:H444)</f>
        <v>100000000</v>
      </c>
      <c r="G444" s="459">
        <v>100000000</v>
      </c>
      <c r="H444" s="459">
        <v>0</v>
      </c>
      <c r="I444" s="459">
        <f t="shared" ref="I444:I457" si="33">+G444+H444</f>
        <v>100000000</v>
      </c>
      <c r="J444" s="460"/>
      <c r="K444" s="460"/>
      <c r="L444" s="460"/>
      <c r="M444" s="459"/>
      <c r="N444" s="461"/>
      <c r="O444" s="462"/>
      <c r="P444" s="462"/>
    </row>
    <row r="445" spans="2:16">
      <c r="B445" s="455" t="s">
        <v>577</v>
      </c>
      <c r="C445" s="456">
        <v>44320</v>
      </c>
      <c r="D445" s="457">
        <v>1800</v>
      </c>
      <c r="E445" s="458" t="s">
        <v>576</v>
      </c>
      <c r="F445" s="459">
        <f t="shared" si="32"/>
        <v>200000000</v>
      </c>
      <c r="G445" s="459">
        <v>200000000</v>
      </c>
      <c r="H445" s="459">
        <v>0</v>
      </c>
      <c r="I445" s="459">
        <f t="shared" si="33"/>
        <v>200000000</v>
      </c>
      <c r="J445" s="460"/>
      <c r="K445" s="460"/>
      <c r="L445" s="460"/>
      <c r="M445" s="459"/>
      <c r="N445" s="461"/>
      <c r="O445" s="462"/>
      <c r="P445" s="462"/>
    </row>
    <row r="446" spans="2:16">
      <c r="B446" s="455" t="s">
        <v>596</v>
      </c>
      <c r="C446" s="456">
        <v>44320</v>
      </c>
      <c r="D446" s="457">
        <v>1800</v>
      </c>
      <c r="E446" s="458" t="s">
        <v>576</v>
      </c>
      <c r="F446" s="459">
        <f t="shared" si="32"/>
        <v>100000000</v>
      </c>
      <c r="G446" s="459">
        <v>100000000</v>
      </c>
      <c r="H446" s="459">
        <v>0</v>
      </c>
      <c r="I446" s="459">
        <f t="shared" si="33"/>
        <v>100000000</v>
      </c>
      <c r="J446" s="460"/>
      <c r="K446" s="460"/>
      <c r="L446" s="460"/>
      <c r="M446" s="459"/>
      <c r="N446" s="461"/>
      <c r="O446" s="462"/>
      <c r="P446" s="462"/>
    </row>
    <row r="447" spans="2:16">
      <c r="B447" s="455" t="s">
        <v>577</v>
      </c>
      <c r="C447" s="456">
        <v>44323</v>
      </c>
      <c r="D447" s="457">
        <v>360</v>
      </c>
      <c r="E447" s="458" t="s">
        <v>579</v>
      </c>
      <c r="F447" s="459">
        <f t="shared" si="32"/>
        <v>250000000</v>
      </c>
      <c r="G447" s="459">
        <v>247524752.47524753</v>
      </c>
      <c r="H447" s="459">
        <v>2475247.5247524679</v>
      </c>
      <c r="I447" s="459">
        <f t="shared" si="33"/>
        <v>250000000</v>
      </c>
      <c r="J447" s="460"/>
      <c r="K447" s="460"/>
      <c r="L447" s="460"/>
      <c r="M447" s="459"/>
      <c r="N447" s="461"/>
      <c r="O447" s="462"/>
      <c r="P447" s="462"/>
    </row>
    <row r="448" spans="2:16">
      <c r="B448" s="455" t="s">
        <v>600</v>
      </c>
      <c r="C448" s="456">
        <v>44329</v>
      </c>
      <c r="D448" s="457">
        <v>3600</v>
      </c>
      <c r="E448" s="458" t="s">
        <v>576</v>
      </c>
      <c r="F448" s="459">
        <f t="shared" si="32"/>
        <v>150000000</v>
      </c>
      <c r="G448" s="459">
        <v>150000000</v>
      </c>
      <c r="H448" s="459">
        <v>0</v>
      </c>
      <c r="I448" s="459">
        <f t="shared" si="33"/>
        <v>150000000</v>
      </c>
      <c r="J448" s="460"/>
      <c r="K448" s="460"/>
      <c r="L448" s="460"/>
      <c r="M448" s="459"/>
      <c r="N448" s="461"/>
      <c r="O448" s="462"/>
      <c r="P448" s="462"/>
    </row>
    <row r="449" spans="2:16">
      <c r="B449" s="455" t="s">
        <v>583</v>
      </c>
      <c r="C449" s="456">
        <v>44329</v>
      </c>
      <c r="D449" s="457">
        <v>3600</v>
      </c>
      <c r="E449" s="458" t="s">
        <v>576</v>
      </c>
      <c r="F449" s="459">
        <f t="shared" si="32"/>
        <v>1000000</v>
      </c>
      <c r="G449" s="459">
        <v>1000000</v>
      </c>
      <c r="H449" s="459">
        <v>0</v>
      </c>
      <c r="I449" s="459">
        <f t="shared" si="33"/>
        <v>1000000</v>
      </c>
      <c r="J449" s="460"/>
      <c r="K449" s="460"/>
      <c r="L449" s="460"/>
      <c r="M449" s="459"/>
      <c r="N449" s="461"/>
      <c r="O449" s="462"/>
      <c r="P449" s="462"/>
    </row>
    <row r="450" spans="2:16">
      <c r="B450" s="455" t="s">
        <v>578</v>
      </c>
      <c r="C450" s="456">
        <v>44334</v>
      </c>
      <c r="D450" s="457">
        <v>1080</v>
      </c>
      <c r="E450" s="458" t="s">
        <v>576</v>
      </c>
      <c r="F450" s="459">
        <f t="shared" si="32"/>
        <v>221500000</v>
      </c>
      <c r="G450" s="459">
        <v>221500000</v>
      </c>
      <c r="H450" s="459">
        <v>0</v>
      </c>
      <c r="I450" s="459">
        <f t="shared" si="33"/>
        <v>221500000</v>
      </c>
      <c r="J450" s="460"/>
      <c r="K450" s="460"/>
      <c r="L450" s="460"/>
      <c r="M450" s="459"/>
      <c r="N450" s="461"/>
      <c r="O450" s="462"/>
      <c r="P450" s="462"/>
    </row>
    <row r="451" spans="2:16">
      <c r="B451" s="455" t="s">
        <v>580</v>
      </c>
      <c r="C451" s="456">
        <v>44334</v>
      </c>
      <c r="D451" s="457">
        <v>1080</v>
      </c>
      <c r="E451" s="458" t="s">
        <v>576</v>
      </c>
      <c r="F451" s="459">
        <f t="shared" si="32"/>
        <v>88600000</v>
      </c>
      <c r="G451" s="459">
        <v>88600000</v>
      </c>
      <c r="H451" s="459">
        <v>0</v>
      </c>
      <c r="I451" s="459">
        <f t="shared" si="33"/>
        <v>88600000</v>
      </c>
      <c r="J451" s="460"/>
      <c r="K451" s="460"/>
      <c r="L451" s="460"/>
      <c r="M451" s="459"/>
      <c r="N451" s="461"/>
      <c r="O451" s="462"/>
      <c r="P451" s="462"/>
    </row>
    <row r="452" spans="2:16">
      <c r="B452" s="455" t="s">
        <v>577</v>
      </c>
      <c r="C452" s="456">
        <v>44334</v>
      </c>
      <c r="D452" s="457">
        <v>1080</v>
      </c>
      <c r="E452" s="458" t="s">
        <v>576</v>
      </c>
      <c r="F452" s="459">
        <f t="shared" si="32"/>
        <v>132900000</v>
      </c>
      <c r="G452" s="459">
        <v>132900000</v>
      </c>
      <c r="H452" s="459">
        <v>0</v>
      </c>
      <c r="I452" s="459">
        <f t="shared" si="33"/>
        <v>132900000</v>
      </c>
      <c r="J452" s="460"/>
      <c r="K452" s="460"/>
      <c r="L452" s="460"/>
      <c r="M452" s="459"/>
      <c r="N452" s="461"/>
      <c r="O452" s="462"/>
      <c r="P452" s="462"/>
    </row>
    <row r="453" spans="2:16">
      <c r="B453" s="455" t="s">
        <v>582</v>
      </c>
      <c r="C453" s="456">
        <v>44334</v>
      </c>
      <c r="D453" s="457">
        <v>1080</v>
      </c>
      <c r="E453" s="458" t="s">
        <v>576</v>
      </c>
      <c r="F453" s="459">
        <f t="shared" si="32"/>
        <v>7250000</v>
      </c>
      <c r="G453" s="459">
        <v>7250000</v>
      </c>
      <c r="H453" s="459">
        <v>0</v>
      </c>
      <c r="I453" s="459">
        <f t="shared" si="33"/>
        <v>7250000</v>
      </c>
      <c r="J453" s="460"/>
      <c r="K453" s="460"/>
      <c r="L453" s="460"/>
      <c r="M453" s="459"/>
      <c r="N453" s="461"/>
      <c r="O453" s="462"/>
      <c r="P453" s="462"/>
    </row>
    <row r="454" spans="2:16">
      <c r="B454" s="455" t="s">
        <v>580</v>
      </c>
      <c r="C454" s="456">
        <v>44337</v>
      </c>
      <c r="D454" s="457">
        <v>1440</v>
      </c>
      <c r="E454" s="458" t="s">
        <v>576</v>
      </c>
      <c r="F454" s="459">
        <f t="shared" si="32"/>
        <v>300000000</v>
      </c>
      <c r="G454" s="459">
        <v>300000000</v>
      </c>
      <c r="H454" s="459">
        <v>0</v>
      </c>
      <c r="I454" s="459">
        <f t="shared" si="33"/>
        <v>300000000</v>
      </c>
      <c r="J454" s="460"/>
      <c r="K454" s="460"/>
      <c r="L454" s="460"/>
      <c r="M454" s="459"/>
      <c r="N454" s="461"/>
      <c r="O454" s="462"/>
      <c r="P454" s="462"/>
    </row>
    <row r="455" spans="2:16">
      <c r="B455" s="455" t="s">
        <v>585</v>
      </c>
      <c r="C455" s="456">
        <v>44337</v>
      </c>
      <c r="D455" s="457">
        <v>1440</v>
      </c>
      <c r="E455" s="458" t="s">
        <v>576</v>
      </c>
      <c r="F455" s="459">
        <f t="shared" si="32"/>
        <v>50000000</v>
      </c>
      <c r="G455" s="459">
        <v>50000000</v>
      </c>
      <c r="H455" s="459">
        <v>0</v>
      </c>
      <c r="I455" s="459">
        <f t="shared" si="33"/>
        <v>50000000</v>
      </c>
      <c r="J455" s="460"/>
      <c r="K455" s="460"/>
      <c r="L455" s="460"/>
      <c r="M455" s="459"/>
      <c r="N455" s="461"/>
      <c r="O455" s="462"/>
      <c r="P455" s="462"/>
    </row>
    <row r="456" spans="2:16">
      <c r="B456" s="455" t="s">
        <v>586</v>
      </c>
      <c r="C456" s="456">
        <v>44337</v>
      </c>
      <c r="D456" s="457">
        <v>1440</v>
      </c>
      <c r="E456" s="458" t="s">
        <v>576</v>
      </c>
      <c r="F456" s="459">
        <f t="shared" si="32"/>
        <v>2750000</v>
      </c>
      <c r="G456" s="459">
        <v>2750000</v>
      </c>
      <c r="H456" s="459">
        <v>0</v>
      </c>
      <c r="I456" s="459">
        <f t="shared" si="33"/>
        <v>2750000</v>
      </c>
      <c r="J456" s="460"/>
      <c r="K456" s="460"/>
      <c r="L456" s="460"/>
      <c r="M456" s="459"/>
      <c r="N456" s="461"/>
      <c r="O456" s="462"/>
      <c r="P456" s="462"/>
    </row>
    <row r="457" spans="2:16">
      <c r="B457" s="455" t="s">
        <v>600</v>
      </c>
      <c r="C457" s="456">
        <v>44337</v>
      </c>
      <c r="D457" s="457">
        <v>1440</v>
      </c>
      <c r="E457" s="458" t="s">
        <v>576</v>
      </c>
      <c r="F457" s="459">
        <f t="shared" si="32"/>
        <v>100000000</v>
      </c>
      <c r="G457" s="459">
        <v>100000000</v>
      </c>
      <c r="H457" s="459">
        <v>0</v>
      </c>
      <c r="I457" s="459">
        <f t="shared" si="33"/>
        <v>100000000</v>
      </c>
      <c r="J457" s="460"/>
      <c r="K457" s="460"/>
      <c r="L457" s="460"/>
      <c r="M457" s="459"/>
      <c r="N457" s="461"/>
      <c r="O457" s="462"/>
      <c r="P457" s="462"/>
    </row>
    <row r="458" spans="2:16">
      <c r="B458" s="455" t="s">
        <v>575</v>
      </c>
      <c r="C458" s="456"/>
      <c r="D458" s="457"/>
      <c r="E458" s="458" t="s">
        <v>576</v>
      </c>
      <c r="F458" s="459"/>
      <c r="G458" s="459"/>
      <c r="H458" s="459"/>
      <c r="I458" s="459"/>
      <c r="J458" s="456">
        <v>44319</v>
      </c>
      <c r="K458" s="459">
        <v>0</v>
      </c>
      <c r="L458" s="459">
        <v>2094035</v>
      </c>
      <c r="M458" s="459">
        <f t="shared" ref="M458:M521" si="34">+K458+L458</f>
        <v>2094035</v>
      </c>
      <c r="N458" s="461"/>
      <c r="O458" s="462"/>
      <c r="P458" s="462"/>
    </row>
    <row r="459" spans="2:16">
      <c r="B459" s="455" t="s">
        <v>575</v>
      </c>
      <c r="C459" s="456"/>
      <c r="D459" s="457"/>
      <c r="E459" s="458" t="s">
        <v>576</v>
      </c>
      <c r="F459" s="459"/>
      <c r="G459" s="459"/>
      <c r="H459" s="459"/>
      <c r="I459" s="459"/>
      <c r="J459" s="456">
        <v>44319</v>
      </c>
      <c r="K459" s="459">
        <v>0</v>
      </c>
      <c r="L459" s="459">
        <v>2325000</v>
      </c>
      <c r="M459" s="459">
        <f t="shared" si="34"/>
        <v>2325000</v>
      </c>
      <c r="N459" s="461"/>
      <c r="O459" s="462"/>
      <c r="P459" s="462"/>
    </row>
    <row r="460" spans="2:16">
      <c r="B460" s="455" t="s">
        <v>582</v>
      </c>
      <c r="C460" s="456"/>
      <c r="D460" s="457"/>
      <c r="E460" s="458" t="s">
        <v>576</v>
      </c>
      <c r="F460" s="459"/>
      <c r="G460" s="459"/>
      <c r="H460" s="459"/>
      <c r="I460" s="459"/>
      <c r="J460" s="456">
        <v>44319</v>
      </c>
      <c r="K460" s="459">
        <v>0</v>
      </c>
      <c r="L460" s="459">
        <v>1125</v>
      </c>
      <c r="M460" s="459">
        <f t="shared" si="34"/>
        <v>1125</v>
      </c>
      <c r="N460" s="461"/>
      <c r="O460" s="462"/>
      <c r="P460" s="462"/>
    </row>
    <row r="461" spans="2:16">
      <c r="B461" s="455" t="s">
        <v>577</v>
      </c>
      <c r="C461" s="456"/>
      <c r="D461" s="457"/>
      <c r="E461" s="458" t="s">
        <v>576</v>
      </c>
      <c r="F461" s="459"/>
      <c r="G461" s="459"/>
      <c r="H461" s="459"/>
      <c r="I461" s="459"/>
      <c r="J461" s="456">
        <v>44319</v>
      </c>
      <c r="K461" s="459">
        <v>0</v>
      </c>
      <c r="L461" s="459">
        <v>3487500</v>
      </c>
      <c r="M461" s="459">
        <f t="shared" si="34"/>
        <v>3487500</v>
      </c>
      <c r="N461" s="461"/>
      <c r="O461" s="462"/>
      <c r="P461" s="462"/>
    </row>
    <row r="462" spans="2:16">
      <c r="B462" s="455" t="s">
        <v>584</v>
      </c>
      <c r="C462" s="456"/>
      <c r="D462" s="457"/>
      <c r="E462" s="458" t="s">
        <v>576</v>
      </c>
      <c r="F462" s="459"/>
      <c r="G462" s="459"/>
      <c r="H462" s="459"/>
      <c r="I462" s="459"/>
      <c r="J462" s="456">
        <v>44319</v>
      </c>
      <c r="K462" s="459">
        <v>0</v>
      </c>
      <c r="L462" s="459">
        <v>751973</v>
      </c>
      <c r="M462" s="459">
        <f t="shared" si="34"/>
        <v>751973</v>
      </c>
      <c r="N462" s="461"/>
      <c r="O462" s="462"/>
      <c r="P462" s="462"/>
    </row>
    <row r="463" spans="2:16">
      <c r="B463" s="455" t="s">
        <v>585</v>
      </c>
      <c r="C463" s="456"/>
      <c r="D463" s="457"/>
      <c r="E463" s="458" t="s">
        <v>576</v>
      </c>
      <c r="F463" s="459"/>
      <c r="G463" s="459"/>
      <c r="H463" s="459"/>
      <c r="I463" s="459"/>
      <c r="J463" s="456">
        <v>44322</v>
      </c>
      <c r="K463" s="459">
        <v>0</v>
      </c>
      <c r="L463" s="459">
        <v>1500000</v>
      </c>
      <c r="M463" s="459">
        <f t="shared" si="34"/>
        <v>1500000</v>
      </c>
      <c r="N463" s="461"/>
      <c r="O463" s="462"/>
      <c r="P463" s="462"/>
    </row>
    <row r="464" spans="2:16">
      <c r="B464" s="455" t="s">
        <v>585</v>
      </c>
      <c r="C464" s="456"/>
      <c r="D464" s="457"/>
      <c r="E464" s="458" t="s">
        <v>576</v>
      </c>
      <c r="F464" s="459"/>
      <c r="G464" s="459"/>
      <c r="H464" s="459"/>
      <c r="I464" s="459"/>
      <c r="J464" s="456">
        <v>44322</v>
      </c>
      <c r="K464" s="459">
        <v>0</v>
      </c>
      <c r="L464" s="459">
        <v>947936</v>
      </c>
      <c r="M464" s="459">
        <f t="shared" si="34"/>
        <v>947936</v>
      </c>
      <c r="N464" s="461"/>
      <c r="O464" s="462"/>
      <c r="P464" s="462"/>
    </row>
    <row r="465" spans="2:16">
      <c r="B465" s="455" t="s">
        <v>585</v>
      </c>
      <c r="C465" s="456"/>
      <c r="D465" s="457"/>
      <c r="E465" s="458" t="s">
        <v>576</v>
      </c>
      <c r="F465" s="459"/>
      <c r="G465" s="459"/>
      <c r="H465" s="459"/>
      <c r="I465" s="459"/>
      <c r="J465" s="456">
        <v>44322</v>
      </c>
      <c r="K465" s="459">
        <v>0</v>
      </c>
      <c r="L465" s="459">
        <v>9304688</v>
      </c>
      <c r="M465" s="459">
        <f t="shared" si="34"/>
        <v>9304688</v>
      </c>
      <c r="N465" s="461"/>
      <c r="O465" s="462"/>
      <c r="P465" s="462"/>
    </row>
    <row r="466" spans="2:16">
      <c r="B466" s="455" t="s">
        <v>582</v>
      </c>
      <c r="C466" s="456"/>
      <c r="D466" s="457"/>
      <c r="E466" s="458" t="s">
        <v>576</v>
      </c>
      <c r="F466" s="459"/>
      <c r="G466" s="459"/>
      <c r="H466" s="459"/>
      <c r="I466" s="459"/>
      <c r="J466" s="456">
        <v>44322</v>
      </c>
      <c r="K466" s="459">
        <v>0</v>
      </c>
      <c r="L466" s="459">
        <v>39000</v>
      </c>
      <c r="M466" s="459">
        <f t="shared" si="34"/>
        <v>39000</v>
      </c>
      <c r="N466" s="461"/>
      <c r="O466" s="462"/>
      <c r="P466" s="462"/>
    </row>
    <row r="467" spans="2:16">
      <c r="B467" s="455" t="s">
        <v>577</v>
      </c>
      <c r="C467" s="456"/>
      <c r="D467" s="457"/>
      <c r="E467" s="458" t="s">
        <v>576</v>
      </c>
      <c r="F467" s="459"/>
      <c r="G467" s="459"/>
      <c r="H467" s="459"/>
      <c r="I467" s="459"/>
      <c r="J467" s="456">
        <v>44322</v>
      </c>
      <c r="K467" s="459">
        <v>0</v>
      </c>
      <c r="L467" s="459">
        <v>8720814</v>
      </c>
      <c r="M467" s="459">
        <f t="shared" si="34"/>
        <v>8720814</v>
      </c>
      <c r="N467" s="461"/>
      <c r="O467" s="462"/>
      <c r="P467" s="462"/>
    </row>
    <row r="468" spans="2:16">
      <c r="B468" s="455" t="s">
        <v>577</v>
      </c>
      <c r="C468" s="456"/>
      <c r="D468" s="457"/>
      <c r="E468" s="458" t="s">
        <v>576</v>
      </c>
      <c r="F468" s="459"/>
      <c r="G468" s="459"/>
      <c r="H468" s="459"/>
      <c r="I468" s="459"/>
      <c r="J468" s="456">
        <v>44322</v>
      </c>
      <c r="K468" s="459">
        <v>0</v>
      </c>
      <c r="L468" s="459">
        <v>7050000</v>
      </c>
      <c r="M468" s="459">
        <f t="shared" si="34"/>
        <v>7050000</v>
      </c>
      <c r="N468" s="461"/>
      <c r="O468" s="462"/>
      <c r="P468" s="462"/>
    </row>
    <row r="469" spans="2:16">
      <c r="B469" s="455" t="s">
        <v>583</v>
      </c>
      <c r="C469" s="456"/>
      <c r="D469" s="457"/>
      <c r="E469" s="458" t="s">
        <v>576</v>
      </c>
      <c r="F469" s="459"/>
      <c r="G469" s="459"/>
      <c r="H469" s="459"/>
      <c r="I469" s="459"/>
      <c r="J469" s="456">
        <v>44322</v>
      </c>
      <c r="K469" s="459">
        <v>0</v>
      </c>
      <c r="L469" s="459">
        <v>150000</v>
      </c>
      <c r="M469" s="459">
        <f t="shared" si="34"/>
        <v>150000</v>
      </c>
      <c r="N469" s="461"/>
      <c r="O469" s="462"/>
      <c r="P469" s="462"/>
    </row>
    <row r="470" spans="2:16">
      <c r="B470" s="455" t="s">
        <v>575</v>
      </c>
      <c r="C470" s="456"/>
      <c r="D470" s="457"/>
      <c r="E470" s="458" t="s">
        <v>576</v>
      </c>
      <c r="F470" s="459"/>
      <c r="G470" s="459"/>
      <c r="H470" s="459"/>
      <c r="I470" s="459"/>
      <c r="J470" s="456">
        <v>44322</v>
      </c>
      <c r="K470" s="459">
        <v>0</v>
      </c>
      <c r="L470" s="459">
        <v>3450000</v>
      </c>
      <c r="M470" s="459">
        <f t="shared" si="34"/>
        <v>3450000</v>
      </c>
      <c r="N470" s="461"/>
      <c r="O470" s="462"/>
      <c r="P470" s="462"/>
    </row>
    <row r="471" spans="2:16">
      <c r="B471" s="455" t="s">
        <v>583</v>
      </c>
      <c r="C471" s="456"/>
      <c r="D471" s="457"/>
      <c r="E471" s="458" t="s">
        <v>576</v>
      </c>
      <c r="F471" s="459"/>
      <c r="G471" s="459"/>
      <c r="H471" s="459"/>
      <c r="I471" s="459"/>
      <c r="J471" s="456">
        <v>44326</v>
      </c>
      <c r="K471" s="459">
        <v>0</v>
      </c>
      <c r="L471" s="459">
        <v>170000</v>
      </c>
      <c r="M471" s="459">
        <f t="shared" si="34"/>
        <v>170000</v>
      </c>
      <c r="N471" s="461"/>
      <c r="O471" s="462"/>
      <c r="P471" s="462"/>
    </row>
    <row r="472" spans="2:16">
      <c r="B472" s="455" t="s">
        <v>577</v>
      </c>
      <c r="C472" s="456"/>
      <c r="D472" s="457"/>
      <c r="E472" s="458" t="s">
        <v>576</v>
      </c>
      <c r="F472" s="459"/>
      <c r="G472" s="459"/>
      <c r="H472" s="459"/>
      <c r="I472" s="459"/>
      <c r="J472" s="456">
        <v>44326</v>
      </c>
      <c r="K472" s="459">
        <v>0</v>
      </c>
      <c r="L472" s="459">
        <v>4559910</v>
      </c>
      <c r="M472" s="459">
        <f t="shared" si="34"/>
        <v>4559910</v>
      </c>
      <c r="N472" s="461"/>
      <c r="O472" s="462"/>
      <c r="P472" s="462"/>
    </row>
    <row r="473" spans="2:16">
      <c r="B473" s="455" t="s">
        <v>582</v>
      </c>
      <c r="C473" s="456"/>
      <c r="D473" s="457"/>
      <c r="E473" s="458" t="s">
        <v>576</v>
      </c>
      <c r="F473" s="459"/>
      <c r="G473" s="459"/>
      <c r="H473" s="459"/>
      <c r="I473" s="459"/>
      <c r="J473" s="456">
        <v>44326</v>
      </c>
      <c r="K473" s="459">
        <v>0</v>
      </c>
      <c r="L473" s="459">
        <v>170000</v>
      </c>
      <c r="M473" s="459">
        <f t="shared" si="34"/>
        <v>170000</v>
      </c>
      <c r="N473" s="461"/>
      <c r="O473" s="462"/>
      <c r="P473" s="462"/>
    </row>
    <row r="474" spans="2:16">
      <c r="B474" s="455" t="s">
        <v>577</v>
      </c>
      <c r="C474" s="456"/>
      <c r="D474" s="457"/>
      <c r="E474" s="458" t="s">
        <v>576</v>
      </c>
      <c r="F474" s="459"/>
      <c r="G474" s="459"/>
      <c r="H474" s="459"/>
      <c r="I474" s="459"/>
      <c r="J474" s="456">
        <v>44326</v>
      </c>
      <c r="K474" s="466">
        <v>222584000</v>
      </c>
      <c r="L474" s="466">
        <v>0</v>
      </c>
      <c r="M474" s="466">
        <f t="shared" si="34"/>
        <v>222584000</v>
      </c>
      <c r="N474" s="461"/>
      <c r="O474" s="462"/>
      <c r="P474" s="462"/>
    </row>
    <row r="475" spans="2:16">
      <c r="B475" s="455" t="s">
        <v>582</v>
      </c>
      <c r="C475" s="456"/>
      <c r="D475" s="457"/>
      <c r="E475" s="458" t="s">
        <v>576</v>
      </c>
      <c r="F475" s="459"/>
      <c r="G475" s="459"/>
      <c r="H475" s="459"/>
      <c r="I475" s="459"/>
      <c r="J475" s="456">
        <v>44326</v>
      </c>
      <c r="K475" s="466">
        <v>8000000</v>
      </c>
      <c r="L475" s="466">
        <v>0</v>
      </c>
      <c r="M475" s="466">
        <f t="shared" si="34"/>
        <v>8000000</v>
      </c>
      <c r="N475" s="461"/>
      <c r="O475" s="462"/>
      <c r="P475" s="462"/>
    </row>
    <row r="476" spans="2:16">
      <c r="B476" s="455" t="s">
        <v>580</v>
      </c>
      <c r="C476" s="456"/>
      <c r="D476" s="457"/>
      <c r="E476" s="458" t="s">
        <v>576</v>
      </c>
      <c r="F476" s="459"/>
      <c r="G476" s="459"/>
      <c r="H476" s="459"/>
      <c r="I476" s="459"/>
      <c r="J476" s="456">
        <v>44326</v>
      </c>
      <c r="K476" s="459">
        <v>0</v>
      </c>
      <c r="L476" s="459">
        <v>5446423</v>
      </c>
      <c r="M476" s="459">
        <f t="shared" si="34"/>
        <v>5446423</v>
      </c>
      <c r="N476" s="461"/>
      <c r="O476" s="462"/>
      <c r="P476" s="462"/>
    </row>
    <row r="477" spans="2:16">
      <c r="B477" s="455" t="s">
        <v>577</v>
      </c>
      <c r="C477" s="456"/>
      <c r="D477" s="457"/>
      <c r="E477" s="458" t="s">
        <v>576</v>
      </c>
      <c r="F477" s="459"/>
      <c r="G477" s="459"/>
      <c r="H477" s="459"/>
      <c r="I477" s="459"/>
      <c r="J477" s="456">
        <v>44326</v>
      </c>
      <c r="K477" s="459">
        <v>0</v>
      </c>
      <c r="L477" s="459">
        <v>4430067</v>
      </c>
      <c r="M477" s="459">
        <f t="shared" si="34"/>
        <v>4430067</v>
      </c>
      <c r="N477" s="461"/>
      <c r="O477" s="462"/>
      <c r="P477" s="462"/>
    </row>
    <row r="478" spans="2:16">
      <c r="B478" s="455" t="s">
        <v>582</v>
      </c>
      <c r="C478" s="456"/>
      <c r="D478" s="457"/>
      <c r="E478" s="458" t="s">
        <v>576</v>
      </c>
      <c r="F478" s="459"/>
      <c r="G478" s="459"/>
      <c r="H478" s="459"/>
      <c r="I478" s="459"/>
      <c r="J478" s="456">
        <v>44326</v>
      </c>
      <c r="K478" s="459">
        <v>0</v>
      </c>
      <c r="L478" s="459">
        <v>95</v>
      </c>
      <c r="M478" s="459">
        <f t="shared" si="34"/>
        <v>95</v>
      </c>
      <c r="N478" s="461"/>
      <c r="O478" s="462"/>
      <c r="P478" s="462"/>
    </row>
    <row r="479" spans="2:16">
      <c r="B479" s="455" t="s">
        <v>582</v>
      </c>
      <c r="C479" s="456"/>
      <c r="D479" s="457"/>
      <c r="E479" s="458" t="s">
        <v>576</v>
      </c>
      <c r="F479" s="459"/>
      <c r="G479" s="459"/>
      <c r="H479" s="459"/>
      <c r="I479" s="459"/>
      <c r="J479" s="456">
        <v>44326</v>
      </c>
      <c r="K479" s="459">
        <v>0</v>
      </c>
      <c r="L479" s="459">
        <v>3680888</v>
      </c>
      <c r="M479" s="459">
        <f t="shared" si="34"/>
        <v>3680888</v>
      </c>
      <c r="N479" s="461"/>
      <c r="O479" s="462"/>
      <c r="P479" s="462"/>
    </row>
    <row r="480" spans="2:16">
      <c r="B480" s="455" t="s">
        <v>580</v>
      </c>
      <c r="C480" s="456"/>
      <c r="D480" s="457"/>
      <c r="E480" s="458" t="s">
        <v>576</v>
      </c>
      <c r="F480" s="459"/>
      <c r="G480" s="459"/>
      <c r="H480" s="459"/>
      <c r="I480" s="459"/>
      <c r="J480" s="456">
        <v>44326</v>
      </c>
      <c r="K480" s="466">
        <v>77083000</v>
      </c>
      <c r="L480" s="466">
        <v>0</v>
      </c>
      <c r="M480" s="466">
        <f t="shared" si="34"/>
        <v>77083000</v>
      </c>
      <c r="N480" s="461"/>
      <c r="O480" s="462"/>
      <c r="P480" s="462"/>
    </row>
    <row r="481" spans="2:16">
      <c r="B481" s="455" t="s">
        <v>580</v>
      </c>
      <c r="C481" s="456"/>
      <c r="D481" s="457"/>
      <c r="E481" s="458" t="s">
        <v>576</v>
      </c>
      <c r="F481" s="459"/>
      <c r="G481" s="459"/>
      <c r="H481" s="459"/>
      <c r="I481" s="459"/>
      <c r="J481" s="456">
        <v>44326</v>
      </c>
      <c r="K481" s="459">
        <v>0</v>
      </c>
      <c r="L481" s="459">
        <v>1638014</v>
      </c>
      <c r="M481" s="459">
        <f t="shared" si="34"/>
        <v>1638014</v>
      </c>
      <c r="N481" s="461"/>
      <c r="O481" s="462"/>
      <c r="P481" s="462"/>
    </row>
    <row r="482" spans="2:16">
      <c r="B482" s="455" t="s">
        <v>575</v>
      </c>
      <c r="C482" s="456"/>
      <c r="D482" s="457"/>
      <c r="E482" s="458" t="s">
        <v>576</v>
      </c>
      <c r="F482" s="459"/>
      <c r="G482" s="459"/>
      <c r="H482" s="459"/>
      <c r="I482" s="459"/>
      <c r="J482" s="456">
        <v>44326</v>
      </c>
      <c r="K482" s="459">
        <v>0</v>
      </c>
      <c r="L482" s="459">
        <v>1546050</v>
      </c>
      <c r="M482" s="459">
        <f t="shared" si="34"/>
        <v>1546050</v>
      </c>
      <c r="N482" s="461"/>
      <c r="O482" s="462"/>
      <c r="P482" s="462"/>
    </row>
    <row r="483" spans="2:16">
      <c r="B483" s="455" t="s">
        <v>580</v>
      </c>
      <c r="C483" s="456"/>
      <c r="D483" s="457"/>
      <c r="E483" s="458" t="s">
        <v>576</v>
      </c>
      <c r="F483" s="459"/>
      <c r="G483" s="459"/>
      <c r="H483" s="459"/>
      <c r="I483" s="459"/>
      <c r="J483" s="456">
        <v>44326</v>
      </c>
      <c r="K483" s="459">
        <v>0</v>
      </c>
      <c r="L483" s="459">
        <v>4400558</v>
      </c>
      <c r="M483" s="459">
        <f t="shared" si="34"/>
        <v>4400558</v>
      </c>
      <c r="N483" s="461"/>
      <c r="O483" s="462"/>
      <c r="P483" s="462"/>
    </row>
    <row r="484" spans="2:16">
      <c r="B484" s="455" t="s">
        <v>583</v>
      </c>
      <c r="C484" s="456"/>
      <c r="D484" s="457"/>
      <c r="E484" s="458" t="s">
        <v>576</v>
      </c>
      <c r="F484" s="459"/>
      <c r="G484" s="459"/>
      <c r="H484" s="459"/>
      <c r="I484" s="459"/>
      <c r="J484" s="456">
        <v>44326</v>
      </c>
      <c r="K484" s="459">
        <v>0</v>
      </c>
      <c r="L484" s="459">
        <v>252578</v>
      </c>
      <c r="M484" s="459">
        <f t="shared" si="34"/>
        <v>252578</v>
      </c>
      <c r="N484" s="461"/>
      <c r="O484" s="462"/>
      <c r="P484" s="462"/>
    </row>
    <row r="485" spans="2:16">
      <c r="B485" s="455" t="s">
        <v>586</v>
      </c>
      <c r="C485" s="456"/>
      <c r="D485" s="457"/>
      <c r="E485" s="458" t="s">
        <v>576</v>
      </c>
      <c r="F485" s="459"/>
      <c r="G485" s="459"/>
      <c r="H485" s="459"/>
      <c r="I485" s="459"/>
      <c r="J485" s="456">
        <v>44326</v>
      </c>
      <c r="K485" s="466">
        <v>108433000</v>
      </c>
      <c r="L485" s="466">
        <v>0</v>
      </c>
      <c r="M485" s="466">
        <f t="shared" si="34"/>
        <v>108433000</v>
      </c>
      <c r="N485" s="461"/>
      <c r="O485" s="462"/>
      <c r="P485" s="462"/>
    </row>
    <row r="486" spans="2:16">
      <c r="B486" s="455" t="s">
        <v>586</v>
      </c>
      <c r="C486" s="456"/>
      <c r="D486" s="457"/>
      <c r="E486" s="458" t="s">
        <v>576</v>
      </c>
      <c r="F486" s="459"/>
      <c r="G486" s="459"/>
      <c r="H486" s="459"/>
      <c r="I486" s="459"/>
      <c r="J486" s="456">
        <v>44326</v>
      </c>
      <c r="K486" s="459">
        <v>0</v>
      </c>
      <c r="L486" s="459">
        <v>533375</v>
      </c>
      <c r="M486" s="459">
        <f t="shared" si="34"/>
        <v>533375</v>
      </c>
      <c r="N486" s="461"/>
      <c r="O486" s="462"/>
      <c r="P486" s="462"/>
    </row>
    <row r="487" spans="2:16">
      <c r="B487" s="455" t="s">
        <v>585</v>
      </c>
      <c r="C487" s="456"/>
      <c r="D487" s="457"/>
      <c r="E487" s="458" t="s">
        <v>576</v>
      </c>
      <c r="F487" s="459"/>
      <c r="G487" s="459"/>
      <c r="H487" s="459"/>
      <c r="I487" s="459"/>
      <c r="J487" s="456">
        <v>44326</v>
      </c>
      <c r="K487" s="459">
        <v>0</v>
      </c>
      <c r="L487" s="459">
        <v>1770826</v>
      </c>
      <c r="M487" s="459">
        <f t="shared" si="34"/>
        <v>1770826</v>
      </c>
      <c r="N487" s="461"/>
      <c r="O487" s="462"/>
      <c r="P487" s="462"/>
    </row>
    <row r="488" spans="2:16">
      <c r="B488" s="455" t="s">
        <v>586</v>
      </c>
      <c r="C488" s="456"/>
      <c r="D488" s="457"/>
      <c r="E488" s="458" t="s">
        <v>576</v>
      </c>
      <c r="F488" s="459"/>
      <c r="G488" s="459"/>
      <c r="H488" s="459"/>
      <c r="I488" s="459"/>
      <c r="J488" s="456">
        <v>44326</v>
      </c>
      <c r="K488" s="459">
        <v>0</v>
      </c>
      <c r="L488" s="459">
        <v>110938</v>
      </c>
      <c r="M488" s="459">
        <f t="shared" si="34"/>
        <v>110938</v>
      </c>
      <c r="N488" s="461"/>
      <c r="O488" s="462"/>
      <c r="P488" s="462"/>
    </row>
    <row r="489" spans="2:16">
      <c r="B489" s="455" t="s">
        <v>582</v>
      </c>
      <c r="C489" s="456"/>
      <c r="D489" s="457"/>
      <c r="E489" s="458" t="s">
        <v>576</v>
      </c>
      <c r="F489" s="459"/>
      <c r="G489" s="459"/>
      <c r="H489" s="459"/>
      <c r="I489" s="459"/>
      <c r="J489" s="456">
        <v>44326</v>
      </c>
      <c r="K489" s="459">
        <v>0</v>
      </c>
      <c r="L489" s="459">
        <v>8875</v>
      </c>
      <c r="M489" s="459">
        <f t="shared" si="34"/>
        <v>8875</v>
      </c>
      <c r="N489" s="461"/>
      <c r="O489" s="462"/>
      <c r="P489" s="462"/>
    </row>
    <row r="490" spans="2:16">
      <c r="B490" s="455" t="s">
        <v>597</v>
      </c>
      <c r="C490" s="456"/>
      <c r="D490" s="457"/>
      <c r="E490" s="458" t="s">
        <v>576</v>
      </c>
      <c r="F490" s="459"/>
      <c r="G490" s="459"/>
      <c r="H490" s="459"/>
      <c r="I490" s="459"/>
      <c r="J490" s="456">
        <v>44326</v>
      </c>
      <c r="K490" s="459">
        <v>0</v>
      </c>
      <c r="L490" s="459">
        <v>4084827</v>
      </c>
      <c r="M490" s="459">
        <f t="shared" si="34"/>
        <v>4084827</v>
      </c>
      <c r="N490" s="461"/>
      <c r="O490" s="462"/>
      <c r="P490" s="462"/>
    </row>
    <row r="491" spans="2:16">
      <c r="B491" s="455" t="s">
        <v>581</v>
      </c>
      <c r="C491" s="456"/>
      <c r="D491" s="457"/>
      <c r="E491" s="458" t="s">
        <v>576</v>
      </c>
      <c r="F491" s="459"/>
      <c r="G491" s="459"/>
      <c r="H491" s="459"/>
      <c r="I491" s="459"/>
      <c r="J491" s="456">
        <v>44327</v>
      </c>
      <c r="K491" s="459">
        <v>0</v>
      </c>
      <c r="L491" s="459">
        <v>1637682</v>
      </c>
      <c r="M491" s="459">
        <f t="shared" si="34"/>
        <v>1637682</v>
      </c>
      <c r="N491" s="461"/>
      <c r="O491" s="462"/>
      <c r="P491" s="462"/>
    </row>
    <row r="492" spans="2:16">
      <c r="B492" s="455" t="s">
        <v>577</v>
      </c>
      <c r="C492" s="456"/>
      <c r="D492" s="457"/>
      <c r="E492" s="458" t="s">
        <v>576</v>
      </c>
      <c r="F492" s="459"/>
      <c r="G492" s="459"/>
      <c r="H492" s="459"/>
      <c r="I492" s="459"/>
      <c r="J492" s="456">
        <v>44327</v>
      </c>
      <c r="K492" s="459">
        <v>0</v>
      </c>
      <c r="L492" s="459">
        <v>6181223</v>
      </c>
      <c r="M492" s="459">
        <f t="shared" si="34"/>
        <v>6181223</v>
      </c>
      <c r="N492" s="461"/>
      <c r="O492" s="462"/>
      <c r="P492" s="462"/>
    </row>
    <row r="493" spans="2:16">
      <c r="B493" s="455" t="s">
        <v>577</v>
      </c>
      <c r="C493" s="456"/>
      <c r="D493" s="457"/>
      <c r="E493" s="458" t="s">
        <v>576</v>
      </c>
      <c r="F493" s="459"/>
      <c r="G493" s="459"/>
      <c r="H493" s="459"/>
      <c r="I493" s="459"/>
      <c r="J493" s="456">
        <v>44328</v>
      </c>
      <c r="K493" s="459">
        <v>0</v>
      </c>
      <c r="L493" s="459">
        <v>1339281</v>
      </c>
      <c r="M493" s="459">
        <f t="shared" si="34"/>
        <v>1339281</v>
      </c>
      <c r="N493" s="461"/>
      <c r="O493" s="462"/>
      <c r="P493" s="462"/>
    </row>
    <row r="494" spans="2:16">
      <c r="B494" s="455" t="s">
        <v>580</v>
      </c>
      <c r="C494" s="456"/>
      <c r="D494" s="457"/>
      <c r="E494" s="458" t="s">
        <v>576</v>
      </c>
      <c r="F494" s="459"/>
      <c r="G494" s="459"/>
      <c r="H494" s="459"/>
      <c r="I494" s="459"/>
      <c r="J494" s="456">
        <v>44328</v>
      </c>
      <c r="K494" s="459">
        <v>0</v>
      </c>
      <c r="L494" s="459">
        <v>2232141</v>
      </c>
      <c r="M494" s="459">
        <f t="shared" si="34"/>
        <v>2232141</v>
      </c>
      <c r="N494" s="461"/>
      <c r="O494" s="462"/>
      <c r="P494" s="462"/>
    </row>
    <row r="495" spans="2:16">
      <c r="B495" s="455" t="s">
        <v>584</v>
      </c>
      <c r="C495" s="456"/>
      <c r="D495" s="457"/>
      <c r="E495" s="458" t="s">
        <v>576</v>
      </c>
      <c r="F495" s="459"/>
      <c r="G495" s="459"/>
      <c r="H495" s="459"/>
      <c r="I495" s="459"/>
      <c r="J495" s="456">
        <v>44328</v>
      </c>
      <c r="K495" s="459">
        <v>0</v>
      </c>
      <c r="L495" s="459">
        <v>2566953</v>
      </c>
      <c r="M495" s="459">
        <f t="shared" si="34"/>
        <v>2566953</v>
      </c>
      <c r="N495" s="461"/>
      <c r="O495" s="462"/>
      <c r="P495" s="462"/>
    </row>
    <row r="496" spans="2:16">
      <c r="B496" s="455" t="s">
        <v>577</v>
      </c>
      <c r="C496" s="456"/>
      <c r="D496" s="457"/>
      <c r="E496" s="458" t="s">
        <v>576</v>
      </c>
      <c r="F496" s="459"/>
      <c r="G496" s="459"/>
      <c r="H496" s="459"/>
      <c r="I496" s="459"/>
      <c r="J496" s="456">
        <v>44329</v>
      </c>
      <c r="K496" s="459">
        <v>0</v>
      </c>
      <c r="L496" s="459">
        <v>4939870</v>
      </c>
      <c r="M496" s="459">
        <f t="shared" si="34"/>
        <v>4939870</v>
      </c>
      <c r="N496" s="461"/>
      <c r="O496" s="462"/>
      <c r="P496" s="462"/>
    </row>
    <row r="497" spans="2:16">
      <c r="B497" s="455" t="s">
        <v>601</v>
      </c>
      <c r="C497" s="456"/>
      <c r="D497" s="457"/>
      <c r="E497" s="458" t="s">
        <v>576</v>
      </c>
      <c r="F497" s="459"/>
      <c r="G497" s="459"/>
      <c r="H497" s="459"/>
      <c r="I497" s="459"/>
      <c r="J497" s="456">
        <v>44329</v>
      </c>
      <c r="K497" s="459">
        <v>0</v>
      </c>
      <c r="L497" s="459">
        <v>3700</v>
      </c>
      <c r="M497" s="459">
        <f t="shared" si="34"/>
        <v>3700</v>
      </c>
      <c r="N497" s="461"/>
      <c r="O497" s="462"/>
      <c r="P497" s="462"/>
    </row>
    <row r="498" spans="2:16">
      <c r="B498" s="455" t="s">
        <v>587</v>
      </c>
      <c r="C498" s="456"/>
      <c r="D498" s="457"/>
      <c r="E498" s="458" t="s">
        <v>576</v>
      </c>
      <c r="F498" s="459"/>
      <c r="G498" s="459"/>
      <c r="H498" s="459"/>
      <c r="I498" s="459"/>
      <c r="J498" s="456">
        <v>44329</v>
      </c>
      <c r="K498" s="459">
        <v>0</v>
      </c>
      <c r="L498" s="459">
        <v>4813</v>
      </c>
      <c r="M498" s="459">
        <f t="shared" si="34"/>
        <v>4813</v>
      </c>
      <c r="N498" s="461"/>
      <c r="O498" s="462"/>
      <c r="P498" s="462"/>
    </row>
    <row r="499" spans="2:16">
      <c r="B499" s="455" t="s">
        <v>577</v>
      </c>
      <c r="C499" s="456"/>
      <c r="D499" s="457"/>
      <c r="E499" s="458" t="s">
        <v>576</v>
      </c>
      <c r="F499" s="459"/>
      <c r="G499" s="459"/>
      <c r="H499" s="459"/>
      <c r="I499" s="459"/>
      <c r="J499" s="456">
        <v>44329</v>
      </c>
      <c r="K499" s="459">
        <v>0</v>
      </c>
      <c r="L499" s="459">
        <v>7098438</v>
      </c>
      <c r="M499" s="459">
        <f t="shared" si="34"/>
        <v>7098438</v>
      </c>
      <c r="N499" s="461"/>
      <c r="O499" s="462"/>
      <c r="P499" s="462"/>
    </row>
    <row r="500" spans="2:16">
      <c r="B500" s="455" t="s">
        <v>580</v>
      </c>
      <c r="C500" s="456"/>
      <c r="D500" s="457"/>
      <c r="E500" s="458" t="s">
        <v>576</v>
      </c>
      <c r="F500" s="459"/>
      <c r="G500" s="459"/>
      <c r="H500" s="459"/>
      <c r="I500" s="459"/>
      <c r="J500" s="456">
        <v>44329</v>
      </c>
      <c r="K500" s="459">
        <v>0</v>
      </c>
      <c r="L500" s="459">
        <v>964151</v>
      </c>
      <c r="M500" s="459">
        <f t="shared" si="34"/>
        <v>964151</v>
      </c>
      <c r="N500" s="461"/>
      <c r="O500" s="462"/>
      <c r="P500" s="462"/>
    </row>
    <row r="501" spans="2:16">
      <c r="B501" s="455" t="s">
        <v>596</v>
      </c>
      <c r="C501" s="456"/>
      <c r="D501" s="457"/>
      <c r="E501" s="458" t="s">
        <v>576</v>
      </c>
      <c r="F501" s="459"/>
      <c r="G501" s="459"/>
      <c r="H501" s="459"/>
      <c r="I501" s="459"/>
      <c r="J501" s="456">
        <v>44330</v>
      </c>
      <c r="K501" s="459">
        <v>0</v>
      </c>
      <c r="L501" s="459">
        <v>7625</v>
      </c>
      <c r="M501" s="459">
        <f t="shared" si="34"/>
        <v>7625</v>
      </c>
      <c r="N501" s="461"/>
      <c r="O501" s="462"/>
      <c r="P501" s="462"/>
    </row>
    <row r="502" spans="2:16">
      <c r="B502" s="455" t="s">
        <v>602</v>
      </c>
      <c r="C502" s="456"/>
      <c r="D502" s="457"/>
      <c r="E502" s="458" t="s">
        <v>576</v>
      </c>
      <c r="F502" s="459"/>
      <c r="G502" s="459"/>
      <c r="H502" s="459"/>
      <c r="I502" s="459"/>
      <c r="J502" s="456">
        <v>44330</v>
      </c>
      <c r="K502" s="459">
        <v>0</v>
      </c>
      <c r="L502" s="459">
        <v>1096666</v>
      </c>
      <c r="M502" s="459">
        <f t="shared" si="34"/>
        <v>1096666</v>
      </c>
      <c r="N502" s="461"/>
      <c r="O502" s="462"/>
      <c r="P502" s="462"/>
    </row>
    <row r="503" spans="2:16">
      <c r="B503" s="455" t="s">
        <v>577</v>
      </c>
      <c r="C503" s="456"/>
      <c r="D503" s="457"/>
      <c r="E503" s="458" t="s">
        <v>576</v>
      </c>
      <c r="F503" s="459"/>
      <c r="G503" s="459"/>
      <c r="H503" s="459"/>
      <c r="I503" s="459"/>
      <c r="J503" s="456">
        <v>44330</v>
      </c>
      <c r="K503" s="459">
        <v>0</v>
      </c>
      <c r="L503" s="459">
        <v>3870069</v>
      </c>
      <c r="M503" s="459">
        <f t="shared" si="34"/>
        <v>3870069</v>
      </c>
      <c r="N503" s="461"/>
      <c r="O503" s="462"/>
      <c r="P503" s="462"/>
    </row>
    <row r="504" spans="2:16">
      <c r="B504" s="455" t="s">
        <v>583</v>
      </c>
      <c r="C504" s="456"/>
      <c r="D504" s="457"/>
      <c r="E504" s="458" t="s">
        <v>576</v>
      </c>
      <c r="F504" s="459"/>
      <c r="G504" s="459"/>
      <c r="H504" s="459"/>
      <c r="I504" s="459"/>
      <c r="J504" s="456">
        <v>44330</v>
      </c>
      <c r="K504" s="459">
        <v>0</v>
      </c>
      <c r="L504" s="459">
        <v>38125</v>
      </c>
      <c r="M504" s="459">
        <f t="shared" si="34"/>
        <v>38125</v>
      </c>
      <c r="N504" s="461"/>
      <c r="O504" s="462"/>
      <c r="P504" s="462"/>
    </row>
    <row r="505" spans="2:16">
      <c r="B505" s="455" t="s">
        <v>585</v>
      </c>
      <c r="C505" s="456"/>
      <c r="D505" s="457"/>
      <c r="E505" s="458" t="s">
        <v>576</v>
      </c>
      <c r="F505" s="459"/>
      <c r="G505" s="459"/>
      <c r="H505" s="459"/>
      <c r="I505" s="459"/>
      <c r="J505" s="456">
        <v>44330</v>
      </c>
      <c r="K505" s="459">
        <v>0</v>
      </c>
      <c r="L505" s="459">
        <v>47847</v>
      </c>
      <c r="M505" s="459">
        <f t="shared" si="34"/>
        <v>47847</v>
      </c>
      <c r="N505" s="461"/>
      <c r="O505" s="462"/>
      <c r="P505" s="462"/>
    </row>
    <row r="506" spans="2:16">
      <c r="B506" s="455" t="s">
        <v>603</v>
      </c>
      <c r="C506" s="456"/>
      <c r="D506" s="457"/>
      <c r="E506" s="458" t="s">
        <v>576</v>
      </c>
      <c r="F506" s="459"/>
      <c r="G506" s="459"/>
      <c r="H506" s="459"/>
      <c r="I506" s="459"/>
      <c r="J506" s="456">
        <v>44330</v>
      </c>
      <c r="K506" s="459">
        <v>0</v>
      </c>
      <c r="L506" s="459">
        <v>114375</v>
      </c>
      <c r="M506" s="459">
        <f t="shared" si="34"/>
        <v>114375</v>
      </c>
      <c r="N506" s="461"/>
      <c r="O506" s="462"/>
      <c r="P506" s="462"/>
    </row>
    <row r="507" spans="2:16">
      <c r="B507" s="455" t="s">
        <v>575</v>
      </c>
      <c r="C507" s="456"/>
      <c r="D507" s="457"/>
      <c r="E507" s="458" t="s">
        <v>576</v>
      </c>
      <c r="F507" s="459"/>
      <c r="G507" s="459"/>
      <c r="H507" s="459"/>
      <c r="I507" s="459"/>
      <c r="J507" s="456">
        <v>44330</v>
      </c>
      <c r="K507" s="459">
        <v>0</v>
      </c>
      <c r="L507" s="459">
        <v>285156</v>
      </c>
      <c r="M507" s="459">
        <f t="shared" si="34"/>
        <v>285156</v>
      </c>
      <c r="N507" s="461"/>
      <c r="O507" s="462"/>
      <c r="P507" s="462"/>
    </row>
    <row r="508" spans="2:16">
      <c r="B508" s="455" t="s">
        <v>581</v>
      </c>
      <c r="C508" s="456"/>
      <c r="D508" s="457"/>
      <c r="E508" s="458" t="s">
        <v>576</v>
      </c>
      <c r="F508" s="459"/>
      <c r="G508" s="459"/>
      <c r="H508" s="459"/>
      <c r="I508" s="459"/>
      <c r="J508" s="456">
        <v>44330</v>
      </c>
      <c r="K508" s="459">
        <v>0</v>
      </c>
      <c r="L508" s="459">
        <v>95694</v>
      </c>
      <c r="M508" s="459">
        <f t="shared" si="34"/>
        <v>95694</v>
      </c>
      <c r="N508" s="461"/>
      <c r="O508" s="462"/>
      <c r="P508" s="462"/>
    </row>
    <row r="509" spans="2:16">
      <c r="B509" s="455" t="s">
        <v>575</v>
      </c>
      <c r="C509" s="456"/>
      <c r="D509" s="457"/>
      <c r="E509" s="458" t="s">
        <v>576</v>
      </c>
      <c r="F509" s="459"/>
      <c r="G509" s="459"/>
      <c r="H509" s="459"/>
      <c r="I509" s="459"/>
      <c r="J509" s="456">
        <v>44333</v>
      </c>
      <c r="K509" s="459">
        <v>0</v>
      </c>
      <c r="L509" s="459">
        <v>3065355</v>
      </c>
      <c r="M509" s="459">
        <f t="shared" si="34"/>
        <v>3065355</v>
      </c>
      <c r="N509" s="461"/>
      <c r="O509" s="462"/>
      <c r="P509" s="462"/>
    </row>
    <row r="510" spans="2:16">
      <c r="B510" s="455" t="s">
        <v>586</v>
      </c>
      <c r="C510" s="456"/>
      <c r="D510" s="457"/>
      <c r="E510" s="458" t="s">
        <v>576</v>
      </c>
      <c r="F510" s="459"/>
      <c r="G510" s="459"/>
      <c r="H510" s="459"/>
      <c r="I510" s="459"/>
      <c r="J510" s="456">
        <v>44333</v>
      </c>
      <c r="K510" s="459">
        <v>0</v>
      </c>
      <c r="L510" s="459">
        <v>180000</v>
      </c>
      <c r="M510" s="459">
        <f t="shared" si="34"/>
        <v>180000</v>
      </c>
      <c r="N510" s="461"/>
      <c r="O510" s="462"/>
      <c r="P510" s="462"/>
    </row>
    <row r="511" spans="2:16">
      <c r="B511" s="455" t="s">
        <v>580</v>
      </c>
      <c r="C511" s="456"/>
      <c r="D511" s="457"/>
      <c r="E511" s="458" t="s">
        <v>576</v>
      </c>
      <c r="F511" s="459"/>
      <c r="G511" s="459"/>
      <c r="H511" s="459"/>
      <c r="I511" s="459"/>
      <c r="J511" s="456">
        <v>44333</v>
      </c>
      <c r="K511" s="459">
        <v>0</v>
      </c>
      <c r="L511" s="459">
        <v>4036095</v>
      </c>
      <c r="M511" s="459">
        <f t="shared" si="34"/>
        <v>4036095</v>
      </c>
      <c r="N511" s="461"/>
      <c r="O511" s="462"/>
      <c r="P511" s="462"/>
    </row>
    <row r="512" spans="2:16">
      <c r="B512" s="455" t="s">
        <v>582</v>
      </c>
      <c r="C512" s="456"/>
      <c r="D512" s="457"/>
      <c r="E512" s="458" t="s">
        <v>576</v>
      </c>
      <c r="F512" s="459"/>
      <c r="G512" s="459"/>
      <c r="H512" s="459"/>
      <c r="I512" s="459"/>
      <c r="J512" s="456">
        <v>44333</v>
      </c>
      <c r="K512" s="459">
        <v>0</v>
      </c>
      <c r="L512" s="459">
        <v>175000</v>
      </c>
      <c r="M512" s="459">
        <f t="shared" si="34"/>
        <v>175000</v>
      </c>
      <c r="N512" s="461"/>
      <c r="O512" s="462"/>
      <c r="P512" s="462"/>
    </row>
    <row r="513" spans="2:16">
      <c r="B513" s="455" t="s">
        <v>577</v>
      </c>
      <c r="C513" s="456"/>
      <c r="D513" s="457"/>
      <c r="E513" s="458" t="s">
        <v>576</v>
      </c>
      <c r="F513" s="459"/>
      <c r="G513" s="459"/>
      <c r="H513" s="459"/>
      <c r="I513" s="459"/>
      <c r="J513" s="456">
        <v>44333</v>
      </c>
      <c r="K513" s="459">
        <v>0</v>
      </c>
      <c r="L513" s="459">
        <v>4432553</v>
      </c>
      <c r="M513" s="459">
        <f t="shared" si="34"/>
        <v>4432553</v>
      </c>
      <c r="N513" s="461"/>
      <c r="O513" s="462"/>
      <c r="P513" s="462"/>
    </row>
    <row r="514" spans="2:16">
      <c r="B514" s="455" t="s">
        <v>577</v>
      </c>
      <c r="C514" s="456"/>
      <c r="D514" s="457"/>
      <c r="E514" s="458" t="s">
        <v>576</v>
      </c>
      <c r="F514" s="459"/>
      <c r="G514" s="459"/>
      <c r="H514" s="459"/>
      <c r="I514" s="459"/>
      <c r="J514" s="456">
        <v>44334</v>
      </c>
      <c r="K514" s="459">
        <v>0</v>
      </c>
      <c r="L514" s="459">
        <v>5785013</v>
      </c>
      <c r="M514" s="459">
        <f t="shared" si="34"/>
        <v>5785013</v>
      </c>
      <c r="N514" s="461"/>
      <c r="O514" s="462"/>
      <c r="P514" s="462"/>
    </row>
    <row r="515" spans="2:16">
      <c r="B515" s="455" t="s">
        <v>575</v>
      </c>
      <c r="C515" s="456"/>
      <c r="D515" s="457"/>
      <c r="E515" s="458" t="s">
        <v>576</v>
      </c>
      <c r="F515" s="459"/>
      <c r="G515" s="459"/>
      <c r="H515" s="459"/>
      <c r="I515" s="459"/>
      <c r="J515" s="456">
        <v>44334</v>
      </c>
      <c r="K515" s="459">
        <v>0</v>
      </c>
      <c r="L515" s="459">
        <v>1508395</v>
      </c>
      <c r="M515" s="459">
        <f t="shared" si="34"/>
        <v>1508395</v>
      </c>
      <c r="N515" s="461"/>
      <c r="O515" s="462"/>
      <c r="P515" s="462"/>
    </row>
    <row r="516" spans="2:16">
      <c r="B516" s="455" t="s">
        <v>580</v>
      </c>
      <c r="C516" s="456"/>
      <c r="D516" s="457"/>
      <c r="E516" s="458" t="s">
        <v>576</v>
      </c>
      <c r="F516" s="459"/>
      <c r="G516" s="459"/>
      <c r="H516" s="459"/>
      <c r="I516" s="459"/>
      <c r="J516" s="456">
        <v>44334</v>
      </c>
      <c r="K516" s="459">
        <v>0</v>
      </c>
      <c r="L516" s="459">
        <v>2503993</v>
      </c>
      <c r="M516" s="459">
        <f t="shared" si="34"/>
        <v>2503993</v>
      </c>
      <c r="N516" s="461"/>
      <c r="O516" s="462"/>
      <c r="P516" s="462"/>
    </row>
    <row r="517" spans="2:16">
      <c r="B517" s="455" t="s">
        <v>583</v>
      </c>
      <c r="C517" s="456"/>
      <c r="D517" s="457"/>
      <c r="E517" s="458" t="s">
        <v>576</v>
      </c>
      <c r="F517" s="459"/>
      <c r="G517" s="459"/>
      <c r="H517" s="459"/>
      <c r="I517" s="459"/>
      <c r="J517" s="456">
        <v>44336</v>
      </c>
      <c r="K517" s="459">
        <v>0</v>
      </c>
      <c r="L517" s="459">
        <v>61250</v>
      </c>
      <c r="M517" s="459">
        <f t="shared" si="34"/>
        <v>61250</v>
      </c>
      <c r="N517" s="461"/>
      <c r="O517" s="462"/>
      <c r="P517" s="462"/>
    </row>
    <row r="518" spans="2:16">
      <c r="B518" s="455" t="s">
        <v>582</v>
      </c>
      <c r="C518" s="456"/>
      <c r="D518" s="457"/>
      <c r="E518" s="458" t="s">
        <v>576</v>
      </c>
      <c r="F518" s="459"/>
      <c r="G518" s="459"/>
      <c r="H518" s="459"/>
      <c r="I518" s="459"/>
      <c r="J518" s="456">
        <v>44336</v>
      </c>
      <c r="K518" s="459">
        <v>0</v>
      </c>
      <c r="L518" s="459">
        <v>77</v>
      </c>
      <c r="M518" s="459">
        <f t="shared" si="34"/>
        <v>77</v>
      </c>
      <c r="N518" s="461"/>
      <c r="O518" s="462"/>
      <c r="P518" s="462"/>
    </row>
    <row r="519" spans="2:16">
      <c r="B519" s="455" t="s">
        <v>582</v>
      </c>
      <c r="C519" s="456"/>
      <c r="D519" s="457"/>
      <c r="E519" s="458" t="s">
        <v>576</v>
      </c>
      <c r="F519" s="459"/>
      <c r="G519" s="459"/>
      <c r="H519" s="459"/>
      <c r="I519" s="459"/>
      <c r="J519" s="456">
        <v>44336</v>
      </c>
      <c r="K519" s="459">
        <v>0</v>
      </c>
      <c r="L519" s="459">
        <v>6125</v>
      </c>
      <c r="M519" s="459">
        <f t="shared" si="34"/>
        <v>6125</v>
      </c>
      <c r="N519" s="461"/>
      <c r="O519" s="462"/>
      <c r="P519" s="462"/>
    </row>
    <row r="520" spans="2:16">
      <c r="B520" s="455" t="s">
        <v>585</v>
      </c>
      <c r="C520" s="456"/>
      <c r="D520" s="457"/>
      <c r="E520" s="458" t="s">
        <v>576</v>
      </c>
      <c r="F520" s="459"/>
      <c r="G520" s="459"/>
      <c r="H520" s="459"/>
      <c r="I520" s="459"/>
      <c r="J520" s="456">
        <v>44336</v>
      </c>
      <c r="K520" s="459">
        <v>0</v>
      </c>
      <c r="L520" s="459">
        <v>3592833</v>
      </c>
      <c r="M520" s="459">
        <f t="shared" si="34"/>
        <v>3592833</v>
      </c>
      <c r="N520" s="461"/>
      <c r="O520" s="462"/>
      <c r="P520" s="462"/>
    </row>
    <row r="521" spans="2:16">
      <c r="B521" s="455" t="s">
        <v>578</v>
      </c>
      <c r="C521" s="456"/>
      <c r="D521" s="457"/>
      <c r="E521" s="458" t="s">
        <v>576</v>
      </c>
      <c r="F521" s="459"/>
      <c r="G521" s="459"/>
      <c r="H521" s="459"/>
      <c r="I521" s="459"/>
      <c r="J521" s="456">
        <v>44336</v>
      </c>
      <c r="K521" s="459">
        <v>0</v>
      </c>
      <c r="L521" s="459">
        <v>164318</v>
      </c>
      <c r="M521" s="459">
        <f t="shared" si="34"/>
        <v>164318</v>
      </c>
      <c r="N521" s="461"/>
      <c r="O521" s="462"/>
      <c r="P521" s="462"/>
    </row>
    <row r="522" spans="2:16">
      <c r="B522" s="455" t="s">
        <v>577</v>
      </c>
      <c r="C522" s="456"/>
      <c r="D522" s="457"/>
      <c r="E522" s="458" t="s">
        <v>576</v>
      </c>
      <c r="F522" s="459"/>
      <c r="G522" s="459"/>
      <c r="H522" s="459"/>
      <c r="I522" s="459"/>
      <c r="J522" s="456">
        <v>44336</v>
      </c>
      <c r="K522" s="459">
        <v>0</v>
      </c>
      <c r="L522" s="459">
        <v>3592833</v>
      </c>
      <c r="M522" s="459">
        <f t="shared" ref="M522:M541" si="35">+K522+L522</f>
        <v>3592833</v>
      </c>
      <c r="N522" s="461"/>
      <c r="O522" s="462"/>
      <c r="P522" s="462"/>
    </row>
    <row r="523" spans="2:16">
      <c r="B523" s="455" t="s">
        <v>580</v>
      </c>
      <c r="C523" s="456"/>
      <c r="D523" s="457"/>
      <c r="E523" s="458" t="s">
        <v>576</v>
      </c>
      <c r="F523" s="459"/>
      <c r="G523" s="459"/>
      <c r="H523" s="459"/>
      <c r="I523" s="459"/>
      <c r="J523" s="456">
        <v>44336</v>
      </c>
      <c r="K523" s="459">
        <v>0</v>
      </c>
      <c r="L523" s="459">
        <v>388432</v>
      </c>
      <c r="M523" s="459">
        <f t="shared" si="35"/>
        <v>388432</v>
      </c>
      <c r="N523" s="461"/>
      <c r="O523" s="462"/>
      <c r="P523" s="462"/>
    </row>
    <row r="524" spans="2:16">
      <c r="B524" s="455" t="s">
        <v>575</v>
      </c>
      <c r="C524" s="456"/>
      <c r="D524" s="457"/>
      <c r="E524" s="458" t="s">
        <v>576</v>
      </c>
      <c r="F524" s="459"/>
      <c r="G524" s="459"/>
      <c r="H524" s="459"/>
      <c r="I524" s="459"/>
      <c r="J524" s="456">
        <v>44336</v>
      </c>
      <c r="K524" s="459">
        <v>0</v>
      </c>
      <c r="L524" s="459">
        <v>224083</v>
      </c>
      <c r="M524" s="459">
        <f t="shared" si="35"/>
        <v>224083</v>
      </c>
      <c r="N524" s="461"/>
      <c r="O524" s="462"/>
      <c r="P524" s="462"/>
    </row>
    <row r="525" spans="2:16">
      <c r="B525" s="455" t="s">
        <v>577</v>
      </c>
      <c r="C525" s="456"/>
      <c r="D525" s="457"/>
      <c r="E525" s="458" t="s">
        <v>576</v>
      </c>
      <c r="F525" s="459"/>
      <c r="G525" s="459"/>
      <c r="H525" s="459"/>
      <c r="I525" s="459"/>
      <c r="J525" s="456">
        <v>44340</v>
      </c>
      <c r="K525" s="459">
        <v>0</v>
      </c>
      <c r="L525" s="459">
        <v>6609375</v>
      </c>
      <c r="M525" s="459">
        <f t="shared" si="35"/>
        <v>6609375</v>
      </c>
      <c r="N525" s="461"/>
      <c r="O525" s="462"/>
      <c r="P525" s="462"/>
    </row>
    <row r="526" spans="2:16">
      <c r="B526" s="455" t="s">
        <v>575</v>
      </c>
      <c r="C526" s="456"/>
      <c r="D526" s="457"/>
      <c r="E526" s="458" t="s">
        <v>576</v>
      </c>
      <c r="F526" s="459"/>
      <c r="G526" s="459"/>
      <c r="H526" s="459"/>
      <c r="I526" s="459"/>
      <c r="J526" s="456">
        <v>44340</v>
      </c>
      <c r="K526" s="459">
        <v>0</v>
      </c>
      <c r="L526" s="459">
        <v>371064</v>
      </c>
      <c r="M526" s="459">
        <f t="shared" si="35"/>
        <v>371064</v>
      </c>
      <c r="N526" s="461"/>
      <c r="O526" s="462"/>
      <c r="P526" s="462"/>
    </row>
    <row r="527" spans="2:16">
      <c r="B527" s="455" t="s">
        <v>577</v>
      </c>
      <c r="C527" s="456"/>
      <c r="D527" s="457"/>
      <c r="E527" s="458" t="s">
        <v>576</v>
      </c>
      <c r="F527" s="459"/>
      <c r="G527" s="459"/>
      <c r="H527" s="459"/>
      <c r="I527" s="459"/>
      <c r="J527" s="456">
        <v>44340</v>
      </c>
      <c r="K527" s="459">
        <v>0</v>
      </c>
      <c r="L527" s="459">
        <v>3706091</v>
      </c>
      <c r="M527" s="459">
        <f t="shared" si="35"/>
        <v>3706091</v>
      </c>
      <c r="N527" s="461"/>
      <c r="O527" s="462"/>
      <c r="P527" s="462"/>
    </row>
    <row r="528" spans="2:16">
      <c r="B528" s="455" t="s">
        <v>577</v>
      </c>
      <c r="C528" s="456"/>
      <c r="D528" s="457"/>
      <c r="E528" s="458" t="s">
        <v>576</v>
      </c>
      <c r="F528" s="459"/>
      <c r="G528" s="459"/>
      <c r="H528" s="459"/>
      <c r="I528" s="459"/>
      <c r="J528" s="456">
        <v>44340</v>
      </c>
      <c r="K528" s="459">
        <v>0</v>
      </c>
      <c r="L528" s="459">
        <v>9153298</v>
      </c>
      <c r="M528" s="459">
        <f t="shared" si="35"/>
        <v>9153298</v>
      </c>
      <c r="N528" s="461"/>
      <c r="O528" s="462"/>
      <c r="P528" s="462"/>
    </row>
    <row r="529" spans="2:16">
      <c r="B529" s="455" t="s">
        <v>575</v>
      </c>
      <c r="C529" s="456"/>
      <c r="D529" s="457"/>
      <c r="E529" s="458" t="s">
        <v>576</v>
      </c>
      <c r="F529" s="459"/>
      <c r="G529" s="459"/>
      <c r="H529" s="459"/>
      <c r="I529" s="459"/>
      <c r="J529" s="456">
        <v>44340</v>
      </c>
      <c r="K529" s="459">
        <v>0</v>
      </c>
      <c r="L529" s="459">
        <v>2826671</v>
      </c>
      <c r="M529" s="459">
        <f t="shared" si="35"/>
        <v>2826671</v>
      </c>
      <c r="N529" s="461"/>
      <c r="O529" s="462"/>
      <c r="P529" s="462"/>
    </row>
    <row r="530" spans="2:16">
      <c r="B530" s="455" t="s">
        <v>582</v>
      </c>
      <c r="C530" s="456"/>
      <c r="D530" s="457"/>
      <c r="E530" s="458" t="s">
        <v>576</v>
      </c>
      <c r="F530" s="459"/>
      <c r="G530" s="459"/>
      <c r="H530" s="459"/>
      <c r="I530" s="459"/>
      <c r="J530" s="456">
        <v>44340</v>
      </c>
      <c r="K530" s="459">
        <v>0</v>
      </c>
      <c r="L530" s="459">
        <v>140625</v>
      </c>
      <c r="M530" s="459">
        <f t="shared" si="35"/>
        <v>140625</v>
      </c>
      <c r="N530" s="461"/>
      <c r="O530" s="462"/>
      <c r="P530" s="462"/>
    </row>
    <row r="531" spans="2:16">
      <c r="B531" s="455" t="s">
        <v>582</v>
      </c>
      <c r="C531" s="456"/>
      <c r="D531" s="457"/>
      <c r="E531" s="458" t="s">
        <v>576</v>
      </c>
      <c r="F531" s="459"/>
      <c r="G531" s="459"/>
      <c r="H531" s="459"/>
      <c r="I531" s="459"/>
      <c r="J531" s="456">
        <v>44340</v>
      </c>
      <c r="K531" s="459">
        <v>0</v>
      </c>
      <c r="L531" s="459">
        <v>287500</v>
      </c>
      <c r="M531" s="459">
        <f t="shared" si="35"/>
        <v>287500</v>
      </c>
      <c r="N531" s="461"/>
      <c r="O531" s="462"/>
      <c r="P531" s="462"/>
    </row>
    <row r="532" spans="2:16">
      <c r="B532" s="455" t="s">
        <v>580</v>
      </c>
      <c r="C532" s="456"/>
      <c r="D532" s="457"/>
      <c r="E532" s="458" t="s">
        <v>576</v>
      </c>
      <c r="F532" s="459"/>
      <c r="G532" s="459"/>
      <c r="H532" s="459"/>
      <c r="I532" s="459"/>
      <c r="J532" s="456">
        <v>44342</v>
      </c>
      <c r="K532" s="459">
        <v>0</v>
      </c>
      <c r="L532" s="459">
        <v>6562509</v>
      </c>
      <c r="M532" s="459">
        <f t="shared" si="35"/>
        <v>6562509</v>
      </c>
      <c r="N532" s="461"/>
      <c r="O532" s="462"/>
      <c r="P532" s="462"/>
    </row>
    <row r="533" spans="2:16">
      <c r="B533" s="455" t="s">
        <v>577</v>
      </c>
      <c r="C533" s="456"/>
      <c r="D533" s="457"/>
      <c r="E533" s="458" t="s">
        <v>576</v>
      </c>
      <c r="F533" s="459"/>
      <c r="G533" s="459"/>
      <c r="H533" s="459"/>
      <c r="I533" s="459"/>
      <c r="J533" s="456">
        <v>44344</v>
      </c>
      <c r="K533" s="459">
        <v>0</v>
      </c>
      <c r="L533" s="459">
        <v>4505552</v>
      </c>
      <c r="M533" s="459">
        <f t="shared" si="35"/>
        <v>4505552</v>
      </c>
      <c r="N533" s="461"/>
      <c r="O533" s="462"/>
      <c r="P533" s="462"/>
    </row>
    <row r="534" spans="2:16">
      <c r="B534" s="455" t="s">
        <v>583</v>
      </c>
      <c r="C534" s="456"/>
      <c r="D534" s="457"/>
      <c r="E534" s="458" t="s">
        <v>576</v>
      </c>
      <c r="F534" s="459"/>
      <c r="G534" s="459"/>
      <c r="H534" s="459"/>
      <c r="I534" s="459"/>
      <c r="J534" s="456">
        <v>44344</v>
      </c>
      <c r="K534" s="459">
        <v>0</v>
      </c>
      <c r="L534" s="459">
        <v>71094</v>
      </c>
      <c r="M534" s="459">
        <f t="shared" si="35"/>
        <v>71094</v>
      </c>
      <c r="N534" s="461"/>
      <c r="O534" s="462"/>
      <c r="P534" s="462"/>
    </row>
    <row r="535" spans="2:16">
      <c r="B535" s="455" t="s">
        <v>582</v>
      </c>
      <c r="C535" s="456"/>
      <c r="D535" s="457"/>
      <c r="E535" s="458" t="s">
        <v>576</v>
      </c>
      <c r="F535" s="459"/>
      <c r="G535" s="459"/>
      <c r="H535" s="459"/>
      <c r="I535" s="459"/>
      <c r="J535" s="456">
        <v>44344</v>
      </c>
      <c r="K535" s="459">
        <v>0</v>
      </c>
      <c r="L535" s="459">
        <v>71094</v>
      </c>
      <c r="M535" s="459">
        <f t="shared" si="35"/>
        <v>71094</v>
      </c>
      <c r="N535" s="461"/>
      <c r="O535" s="462"/>
      <c r="P535" s="462"/>
    </row>
    <row r="536" spans="2:16">
      <c r="B536" s="455" t="s">
        <v>583</v>
      </c>
      <c r="C536" s="456"/>
      <c r="D536" s="457"/>
      <c r="E536" s="458" t="s">
        <v>576</v>
      </c>
      <c r="F536" s="459"/>
      <c r="G536" s="459"/>
      <c r="H536" s="459"/>
      <c r="I536" s="459"/>
      <c r="J536" s="456">
        <v>44347</v>
      </c>
      <c r="K536" s="459">
        <v>0</v>
      </c>
      <c r="L536" s="459">
        <v>46250</v>
      </c>
      <c r="M536" s="459">
        <f t="shared" si="35"/>
        <v>46250</v>
      </c>
      <c r="N536" s="461"/>
      <c r="O536" s="462"/>
      <c r="P536" s="462"/>
    </row>
    <row r="537" spans="2:16">
      <c r="B537" s="455" t="s">
        <v>575</v>
      </c>
      <c r="C537" s="456"/>
      <c r="D537" s="457"/>
      <c r="E537" s="458" t="s">
        <v>576</v>
      </c>
      <c r="F537" s="459"/>
      <c r="G537" s="459"/>
      <c r="H537" s="459"/>
      <c r="I537" s="459"/>
      <c r="J537" s="456">
        <v>44347</v>
      </c>
      <c r="K537" s="459">
        <v>0</v>
      </c>
      <c r="L537" s="459">
        <v>1487671</v>
      </c>
      <c r="M537" s="459">
        <f t="shared" si="35"/>
        <v>1487671</v>
      </c>
      <c r="N537" s="461"/>
      <c r="O537" s="462"/>
      <c r="P537" s="462"/>
    </row>
    <row r="538" spans="2:16">
      <c r="B538" s="455" t="s">
        <v>575</v>
      </c>
      <c r="C538" s="456"/>
      <c r="D538" s="457"/>
      <c r="E538" s="458" t="s">
        <v>576</v>
      </c>
      <c r="F538" s="459"/>
      <c r="G538" s="459"/>
      <c r="H538" s="459"/>
      <c r="I538" s="459"/>
      <c r="J538" s="456">
        <v>44347</v>
      </c>
      <c r="K538" s="466">
        <v>50000000</v>
      </c>
      <c r="L538" s="466">
        <v>0</v>
      </c>
      <c r="M538" s="466">
        <f t="shared" si="35"/>
        <v>50000000</v>
      </c>
      <c r="N538" s="461"/>
      <c r="O538" s="462"/>
      <c r="P538" s="462"/>
    </row>
    <row r="539" spans="2:16">
      <c r="B539" s="455" t="s">
        <v>577</v>
      </c>
      <c r="C539" s="456"/>
      <c r="D539" s="457"/>
      <c r="E539" s="458" t="s">
        <v>576</v>
      </c>
      <c r="F539" s="459"/>
      <c r="G539" s="459"/>
      <c r="H539" s="459"/>
      <c r="I539" s="459"/>
      <c r="J539" s="456">
        <v>44347</v>
      </c>
      <c r="K539" s="459">
        <v>0</v>
      </c>
      <c r="L539" s="459">
        <v>1478058</v>
      </c>
      <c r="M539" s="459">
        <f t="shared" si="35"/>
        <v>1478058</v>
      </c>
      <c r="N539" s="461"/>
      <c r="O539" s="462"/>
      <c r="P539" s="462"/>
    </row>
    <row r="540" spans="2:16">
      <c r="B540" s="455" t="s">
        <v>585</v>
      </c>
      <c r="C540" s="456"/>
      <c r="D540" s="457"/>
      <c r="E540" s="458" t="s">
        <v>576</v>
      </c>
      <c r="F540" s="459"/>
      <c r="G540" s="459"/>
      <c r="H540" s="459"/>
      <c r="I540" s="459"/>
      <c r="J540" s="456">
        <v>44347</v>
      </c>
      <c r="K540" s="459">
        <v>0</v>
      </c>
      <c r="L540" s="459">
        <v>6088281</v>
      </c>
      <c r="M540" s="459">
        <f t="shared" si="35"/>
        <v>6088281</v>
      </c>
      <c r="N540" s="461"/>
      <c r="O540" s="462"/>
      <c r="P540" s="462"/>
    </row>
    <row r="541" spans="2:16">
      <c r="B541" s="455" t="s">
        <v>580</v>
      </c>
      <c r="C541" s="456"/>
      <c r="D541" s="457"/>
      <c r="E541" s="458" t="s">
        <v>576</v>
      </c>
      <c r="F541" s="459"/>
      <c r="G541" s="459"/>
      <c r="H541" s="459"/>
      <c r="I541" s="459"/>
      <c r="J541" s="456">
        <v>44347</v>
      </c>
      <c r="K541" s="459">
        <v>0</v>
      </c>
      <c r="L541" s="459">
        <v>1478058</v>
      </c>
      <c r="M541" s="459">
        <f t="shared" si="35"/>
        <v>1478058</v>
      </c>
      <c r="N541" s="461"/>
      <c r="O541" s="462"/>
      <c r="P541" s="462"/>
    </row>
    <row r="542" spans="2:16">
      <c r="B542" s="467" t="s">
        <v>588</v>
      </c>
      <c r="C542" s="468"/>
      <c r="D542" s="469"/>
      <c r="E542" s="470"/>
      <c r="F542" s="459"/>
      <c r="G542" s="471">
        <f>(H803-G803)*1000000</f>
        <v>4918762.0000000149</v>
      </c>
      <c r="H542" s="465"/>
      <c r="I542" s="465"/>
      <c r="J542" s="472"/>
      <c r="K542" s="495"/>
      <c r="L542" s="495"/>
      <c r="M542" s="473"/>
      <c r="N542" s="461"/>
      <c r="O542" s="462"/>
      <c r="P542" s="462"/>
    </row>
    <row r="543" spans="2:16">
      <c r="B543" s="467" t="s">
        <v>589</v>
      </c>
      <c r="C543" s="468"/>
      <c r="D543" s="469"/>
      <c r="E543" s="470" t="s">
        <v>590</v>
      </c>
      <c r="F543" s="459">
        <f>SUBTOTAL(9,G543:H543)</f>
        <v>0</v>
      </c>
      <c r="G543" s="471"/>
      <c r="H543" s="465"/>
      <c r="I543" s="465"/>
      <c r="J543" s="472"/>
      <c r="K543" s="495"/>
      <c r="L543" s="495"/>
      <c r="M543" s="473"/>
      <c r="N543" s="461"/>
      <c r="O543" s="462"/>
      <c r="P543" s="462"/>
    </row>
    <row r="544" spans="2:16">
      <c r="B544" s="467" t="s">
        <v>591</v>
      </c>
      <c r="C544" s="468"/>
      <c r="D544" s="469"/>
      <c r="E544" s="470" t="s">
        <v>592</v>
      </c>
      <c r="F544" s="459">
        <f t="shared" ref="F544" si="36">SUBTOTAL(9,G544:H544)</f>
        <v>0</v>
      </c>
      <c r="G544" s="471"/>
      <c r="H544" s="465"/>
      <c r="I544" s="465"/>
      <c r="J544" s="472"/>
      <c r="K544" s="495"/>
      <c r="L544" s="495"/>
      <c r="M544" s="473"/>
      <c r="N544" s="461"/>
      <c r="O544" s="462"/>
      <c r="P544" s="462"/>
    </row>
    <row r="545" spans="2:16" ht="12.5">
      <c r="B545" s="938" t="s">
        <v>593</v>
      </c>
      <c r="C545" s="939"/>
      <c r="D545" s="939"/>
      <c r="E545" s="940"/>
      <c r="F545" s="941">
        <f>SUM(F444:F544)</f>
        <v>1704000000</v>
      </c>
      <c r="G545" s="941">
        <f t="shared" ref="G545:I545" si="37">SUM(G444:G544)</f>
        <v>1706443514.4752474</v>
      </c>
      <c r="H545" s="941">
        <f t="shared" si="37"/>
        <v>2475247.5247524679</v>
      </c>
      <c r="I545" s="941">
        <f t="shared" si="37"/>
        <v>1704000000</v>
      </c>
      <c r="J545" s="941"/>
      <c r="K545" s="941">
        <f>SUM(K444:K544)</f>
        <v>466100000</v>
      </c>
      <c r="L545" s="941">
        <f t="shared" ref="L545:M545" si="38">SUM(L444:L544)</f>
        <v>179748850</v>
      </c>
      <c r="M545" s="941">
        <f t="shared" si="38"/>
        <v>645848850</v>
      </c>
      <c r="N545" s="942">
        <f>+G545-K545</f>
        <v>1240343514.4752474</v>
      </c>
      <c r="O545" s="942">
        <f>+(H793-G793)*1000000</f>
        <v>893206383.97455466</v>
      </c>
      <c r="P545" s="942">
        <f>N545-O545</f>
        <v>347137130.50069273</v>
      </c>
    </row>
    <row r="546" spans="2:16" ht="12.5">
      <c r="B546" s="455" t="s">
        <v>594</v>
      </c>
      <c r="C546" s="479">
        <v>44323</v>
      </c>
      <c r="D546" s="457">
        <v>360</v>
      </c>
      <c r="E546" s="459" t="s">
        <v>579</v>
      </c>
      <c r="F546" s="459">
        <f t="shared" ref="F546:F547" si="39">SUBTOTAL(9,G546:H546)</f>
        <v>250000000</v>
      </c>
      <c r="G546" s="459">
        <v>247524752.47524753</v>
      </c>
      <c r="H546" s="459">
        <v>2475247.5247524679</v>
      </c>
      <c r="I546" s="459">
        <f t="shared" ref="I546:I547" si="40">+G546+H546</f>
        <v>250000000</v>
      </c>
      <c r="J546" s="489"/>
      <c r="K546" s="490"/>
      <c r="L546" s="490"/>
      <c r="M546" s="490"/>
      <c r="N546" s="502"/>
      <c r="O546" s="503"/>
      <c r="P546" s="503"/>
    </row>
    <row r="547" spans="2:16" ht="12.5">
      <c r="B547" s="455" t="s">
        <v>594</v>
      </c>
      <c r="C547" s="479">
        <v>44329</v>
      </c>
      <c r="D547" s="457">
        <v>3600</v>
      </c>
      <c r="E547" s="459" t="s">
        <v>576</v>
      </c>
      <c r="F547" s="459">
        <f t="shared" si="39"/>
        <v>500000000</v>
      </c>
      <c r="G547" s="459">
        <v>500000000</v>
      </c>
      <c r="H547" s="459">
        <v>0</v>
      </c>
      <c r="I547" s="459">
        <f t="shared" si="40"/>
        <v>500000000</v>
      </c>
      <c r="J547" s="489"/>
      <c r="K547" s="490"/>
      <c r="L547" s="490"/>
      <c r="M547" s="490"/>
      <c r="N547" s="502"/>
      <c r="O547" s="503"/>
      <c r="P547" s="503"/>
    </row>
    <row r="548" spans="2:16" ht="12.5">
      <c r="B548" s="455" t="s">
        <v>594</v>
      </c>
      <c r="C548" s="493"/>
      <c r="D548" s="493"/>
      <c r="E548" s="459" t="s">
        <v>576</v>
      </c>
      <c r="F548" s="489"/>
      <c r="G548" s="489"/>
      <c r="H548" s="489"/>
      <c r="I548" s="489"/>
      <c r="J548" s="456">
        <v>44319</v>
      </c>
      <c r="K548" s="459">
        <v>0</v>
      </c>
      <c r="L548" s="459">
        <v>8248028</v>
      </c>
      <c r="M548" s="459">
        <f t="shared" ref="M548:M565" si="41">+K548+L548</f>
        <v>8248028</v>
      </c>
      <c r="N548" s="502"/>
      <c r="O548" s="503"/>
      <c r="P548" s="503"/>
    </row>
    <row r="549" spans="2:16" ht="12.5">
      <c r="B549" s="455" t="s">
        <v>594</v>
      </c>
      <c r="C549" s="493"/>
      <c r="D549" s="493"/>
      <c r="E549" s="459" t="s">
        <v>576</v>
      </c>
      <c r="F549" s="489"/>
      <c r="G549" s="489"/>
      <c r="H549" s="489"/>
      <c r="I549" s="489"/>
      <c r="J549" s="456">
        <v>44319</v>
      </c>
      <c r="K549" s="459">
        <v>0</v>
      </c>
      <c r="L549" s="459">
        <v>7036122</v>
      </c>
      <c r="M549" s="459">
        <f t="shared" si="41"/>
        <v>7036122</v>
      </c>
      <c r="N549" s="502"/>
      <c r="O549" s="503"/>
      <c r="P549" s="503"/>
    </row>
    <row r="550" spans="2:16" ht="12.5">
      <c r="B550" s="455" t="s">
        <v>594</v>
      </c>
      <c r="C550" s="493"/>
      <c r="D550" s="493"/>
      <c r="E550" s="459" t="s">
        <v>576</v>
      </c>
      <c r="F550" s="489"/>
      <c r="G550" s="489"/>
      <c r="H550" s="489"/>
      <c r="I550" s="489"/>
      <c r="J550" s="456">
        <v>44319</v>
      </c>
      <c r="K550" s="459">
        <v>0</v>
      </c>
      <c r="L550" s="459">
        <v>7098438</v>
      </c>
      <c r="M550" s="459">
        <f t="shared" si="41"/>
        <v>7098438</v>
      </c>
      <c r="N550" s="502"/>
      <c r="O550" s="503"/>
      <c r="P550" s="503"/>
    </row>
    <row r="551" spans="2:16" ht="12.5">
      <c r="B551" s="455" t="s">
        <v>594</v>
      </c>
      <c r="C551" s="493"/>
      <c r="D551" s="493"/>
      <c r="E551" s="459" t="s">
        <v>576</v>
      </c>
      <c r="F551" s="489"/>
      <c r="G551" s="489"/>
      <c r="H551" s="489"/>
      <c r="I551" s="489"/>
      <c r="J551" s="456">
        <v>44321</v>
      </c>
      <c r="K551" s="459">
        <v>0</v>
      </c>
      <c r="L551" s="459">
        <v>9562500</v>
      </c>
      <c r="M551" s="459">
        <f t="shared" si="41"/>
        <v>9562500</v>
      </c>
      <c r="N551" s="502"/>
      <c r="O551" s="503"/>
      <c r="P551" s="503"/>
    </row>
    <row r="552" spans="2:16" ht="12.5">
      <c r="B552" s="455" t="s">
        <v>594</v>
      </c>
      <c r="C552" s="493"/>
      <c r="D552" s="493"/>
      <c r="E552" s="459" t="s">
        <v>576</v>
      </c>
      <c r="F552" s="489"/>
      <c r="G552" s="489"/>
      <c r="H552" s="489"/>
      <c r="I552" s="489"/>
      <c r="J552" s="456">
        <v>44326</v>
      </c>
      <c r="K552" s="459">
        <v>0</v>
      </c>
      <c r="L552" s="459">
        <v>5296613</v>
      </c>
      <c r="M552" s="459">
        <f t="shared" si="41"/>
        <v>5296613</v>
      </c>
      <c r="N552" s="502"/>
      <c r="O552" s="503"/>
      <c r="P552" s="503"/>
    </row>
    <row r="553" spans="2:16" ht="12.5">
      <c r="B553" s="455" t="s">
        <v>594</v>
      </c>
      <c r="C553" s="493"/>
      <c r="D553" s="493"/>
      <c r="E553" s="459" t="s">
        <v>576</v>
      </c>
      <c r="F553" s="489"/>
      <c r="G553" s="489"/>
      <c r="H553" s="489"/>
      <c r="I553" s="489"/>
      <c r="J553" s="456">
        <v>44326</v>
      </c>
      <c r="K553" s="459">
        <v>0</v>
      </c>
      <c r="L553" s="459">
        <v>5797700</v>
      </c>
      <c r="M553" s="459">
        <f t="shared" si="41"/>
        <v>5797700</v>
      </c>
      <c r="N553" s="502"/>
      <c r="O553" s="503"/>
      <c r="P553" s="503"/>
    </row>
    <row r="554" spans="2:16" ht="12.5">
      <c r="B554" s="455" t="s">
        <v>594</v>
      </c>
      <c r="C554" s="493"/>
      <c r="D554" s="493"/>
      <c r="E554" s="459" t="s">
        <v>576</v>
      </c>
      <c r="F554" s="489"/>
      <c r="G554" s="489"/>
      <c r="H554" s="489"/>
      <c r="I554" s="489"/>
      <c r="J554" s="456">
        <v>44327</v>
      </c>
      <c r="K554" s="459">
        <v>0</v>
      </c>
      <c r="L554" s="459">
        <v>5349845</v>
      </c>
      <c r="M554" s="459">
        <f t="shared" si="41"/>
        <v>5349845</v>
      </c>
      <c r="N554" s="502"/>
      <c r="O554" s="503"/>
      <c r="P554" s="503"/>
    </row>
    <row r="555" spans="2:16" ht="12.5">
      <c r="B555" s="455" t="s">
        <v>594</v>
      </c>
      <c r="C555" s="493"/>
      <c r="D555" s="493"/>
      <c r="E555" s="459" t="s">
        <v>576</v>
      </c>
      <c r="F555" s="489"/>
      <c r="G555" s="489"/>
      <c r="H555" s="489"/>
      <c r="I555" s="489"/>
      <c r="J555" s="456">
        <v>44328</v>
      </c>
      <c r="K555" s="459">
        <v>0</v>
      </c>
      <c r="L555" s="459">
        <v>2455375</v>
      </c>
      <c r="M555" s="459">
        <f t="shared" si="41"/>
        <v>2455375</v>
      </c>
      <c r="N555" s="502"/>
      <c r="O555" s="503"/>
      <c r="P555" s="503"/>
    </row>
    <row r="556" spans="2:16" ht="12.5">
      <c r="B556" s="455" t="s">
        <v>594</v>
      </c>
      <c r="C556" s="493"/>
      <c r="D556" s="493"/>
      <c r="E556" s="459" t="s">
        <v>576</v>
      </c>
      <c r="F556" s="489"/>
      <c r="G556" s="489"/>
      <c r="H556" s="489"/>
      <c r="I556" s="489"/>
      <c r="J556" s="456">
        <v>44329</v>
      </c>
      <c r="K556" s="459">
        <v>0</v>
      </c>
      <c r="L556" s="459">
        <v>964104</v>
      </c>
      <c r="M556" s="459">
        <f t="shared" si="41"/>
        <v>964104</v>
      </c>
      <c r="N556" s="502"/>
      <c r="O556" s="503"/>
      <c r="P556" s="503"/>
    </row>
    <row r="557" spans="2:16" ht="12.5">
      <c r="B557" s="455" t="s">
        <v>594</v>
      </c>
      <c r="C557" s="493"/>
      <c r="D557" s="493"/>
      <c r="E557" s="459" t="s">
        <v>576</v>
      </c>
      <c r="F557" s="489"/>
      <c r="G557" s="489"/>
      <c r="H557" s="489"/>
      <c r="I557" s="489"/>
      <c r="J557" s="456">
        <v>44330</v>
      </c>
      <c r="K557" s="459">
        <v>0</v>
      </c>
      <c r="L557" s="459">
        <v>285194</v>
      </c>
      <c r="M557" s="459">
        <f t="shared" si="41"/>
        <v>285194</v>
      </c>
      <c r="N557" s="502"/>
      <c r="O557" s="503"/>
      <c r="P557" s="503"/>
    </row>
    <row r="558" spans="2:16" ht="12.5">
      <c r="B558" s="455" t="s">
        <v>594</v>
      </c>
      <c r="C558" s="493"/>
      <c r="D558" s="493"/>
      <c r="E558" s="459" t="s">
        <v>576</v>
      </c>
      <c r="F558" s="489"/>
      <c r="G558" s="489"/>
      <c r="H558" s="489"/>
      <c r="I558" s="489"/>
      <c r="J558" s="456">
        <v>44333</v>
      </c>
      <c r="K558" s="459">
        <v>0</v>
      </c>
      <c r="L558" s="459">
        <v>8648697</v>
      </c>
      <c r="M558" s="459">
        <f t="shared" si="41"/>
        <v>8648697</v>
      </c>
      <c r="N558" s="502"/>
      <c r="O558" s="503"/>
      <c r="P558" s="503"/>
    </row>
    <row r="559" spans="2:16" ht="12.5">
      <c r="B559" s="455" t="s">
        <v>594</v>
      </c>
      <c r="C559" s="493"/>
      <c r="D559" s="493"/>
      <c r="E559" s="459" t="s">
        <v>576</v>
      </c>
      <c r="F559" s="489"/>
      <c r="G559" s="489"/>
      <c r="H559" s="489"/>
      <c r="I559" s="489"/>
      <c r="J559" s="456">
        <v>44333</v>
      </c>
      <c r="K559" s="459">
        <v>0</v>
      </c>
      <c r="L559" s="459">
        <v>4036050</v>
      </c>
      <c r="M559" s="459">
        <f t="shared" si="41"/>
        <v>4036050</v>
      </c>
      <c r="N559" s="502"/>
      <c r="O559" s="503"/>
      <c r="P559" s="503"/>
    </row>
    <row r="560" spans="2:16" ht="12.5">
      <c r="B560" s="455" t="s">
        <v>594</v>
      </c>
      <c r="C560" s="493"/>
      <c r="D560" s="493"/>
      <c r="E560" s="459" t="s">
        <v>576</v>
      </c>
      <c r="F560" s="489"/>
      <c r="G560" s="489"/>
      <c r="H560" s="489"/>
      <c r="I560" s="489"/>
      <c r="J560" s="456">
        <v>44334</v>
      </c>
      <c r="K560" s="459">
        <v>0</v>
      </c>
      <c r="L560" s="459">
        <v>1251974</v>
      </c>
      <c r="M560" s="459">
        <f t="shared" si="41"/>
        <v>1251974</v>
      </c>
      <c r="N560" s="502"/>
      <c r="O560" s="503"/>
      <c r="P560" s="503"/>
    </row>
    <row r="561" spans="2:16" ht="12.5">
      <c r="B561" s="455" t="s">
        <v>594</v>
      </c>
      <c r="C561" s="493"/>
      <c r="D561" s="493"/>
      <c r="E561" s="459" t="s">
        <v>576</v>
      </c>
      <c r="F561" s="489"/>
      <c r="G561" s="489"/>
      <c r="H561" s="489"/>
      <c r="I561" s="489"/>
      <c r="J561" s="456">
        <v>44340</v>
      </c>
      <c r="K561" s="459">
        <v>0</v>
      </c>
      <c r="L561" s="459">
        <v>942238</v>
      </c>
      <c r="M561" s="459">
        <f t="shared" si="41"/>
        <v>942238</v>
      </c>
      <c r="N561" s="502"/>
      <c r="O561" s="503"/>
      <c r="P561" s="503"/>
    </row>
    <row r="562" spans="2:16" ht="12.5">
      <c r="B562" s="455" t="s">
        <v>594</v>
      </c>
      <c r="C562" s="493"/>
      <c r="D562" s="493"/>
      <c r="E562" s="459" t="s">
        <v>576</v>
      </c>
      <c r="F562" s="489"/>
      <c r="G562" s="489"/>
      <c r="H562" s="489"/>
      <c r="I562" s="489"/>
      <c r="J562" s="456">
        <v>44340</v>
      </c>
      <c r="K562" s="459">
        <v>0</v>
      </c>
      <c r="L562" s="459">
        <v>8181263</v>
      </c>
      <c r="M562" s="459">
        <f t="shared" si="41"/>
        <v>8181263</v>
      </c>
      <c r="N562" s="502"/>
      <c r="O562" s="503"/>
      <c r="P562" s="503"/>
    </row>
    <row r="563" spans="2:16" ht="12.5">
      <c r="B563" s="455" t="s">
        <v>594</v>
      </c>
      <c r="C563" s="493"/>
      <c r="D563" s="493"/>
      <c r="E563" s="459" t="s">
        <v>576</v>
      </c>
      <c r="F563" s="489"/>
      <c r="G563" s="489"/>
      <c r="H563" s="489"/>
      <c r="I563" s="489"/>
      <c r="J563" s="456">
        <v>44342</v>
      </c>
      <c r="K563" s="459">
        <v>0</v>
      </c>
      <c r="L563" s="459">
        <v>2624991</v>
      </c>
      <c r="M563" s="459">
        <f t="shared" si="41"/>
        <v>2624991</v>
      </c>
      <c r="N563" s="502"/>
      <c r="O563" s="503"/>
      <c r="P563" s="503"/>
    </row>
    <row r="564" spans="2:16" ht="12.5">
      <c r="B564" s="455" t="s">
        <v>594</v>
      </c>
      <c r="C564" s="493"/>
      <c r="D564" s="493"/>
      <c r="E564" s="459" t="s">
        <v>576</v>
      </c>
      <c r="F564" s="489"/>
      <c r="G564" s="489"/>
      <c r="H564" s="489"/>
      <c r="I564" s="489"/>
      <c r="J564" s="456">
        <v>44344</v>
      </c>
      <c r="K564" s="459">
        <v>0</v>
      </c>
      <c r="L564" s="459">
        <v>1039760</v>
      </c>
      <c r="M564" s="459">
        <f t="shared" si="41"/>
        <v>1039760</v>
      </c>
      <c r="N564" s="502"/>
      <c r="O564" s="503"/>
      <c r="P564" s="503"/>
    </row>
    <row r="565" spans="2:16" ht="12.5">
      <c r="B565" s="455" t="s">
        <v>594</v>
      </c>
      <c r="C565" s="493"/>
      <c r="D565" s="493"/>
      <c r="E565" s="459" t="s">
        <v>576</v>
      </c>
      <c r="F565" s="489"/>
      <c r="G565" s="489"/>
      <c r="H565" s="489"/>
      <c r="I565" s="489"/>
      <c r="J565" s="456">
        <v>44347</v>
      </c>
      <c r="K565" s="459">
        <v>0</v>
      </c>
      <c r="L565" s="459">
        <v>2448729</v>
      </c>
      <c r="M565" s="459">
        <f t="shared" si="41"/>
        <v>2448729</v>
      </c>
      <c r="N565" s="502"/>
      <c r="O565" s="503"/>
      <c r="P565" s="503"/>
    </row>
    <row r="566" spans="2:16" ht="12.5">
      <c r="B566" s="943" t="s">
        <v>595</v>
      </c>
      <c r="C566" s="944"/>
      <c r="D566" s="944"/>
      <c r="E566" s="945"/>
      <c r="F566" s="946">
        <f>SUM(F546:F565)</f>
        <v>750000000</v>
      </c>
      <c r="G566" s="946">
        <f>SUM(G546:G565)</f>
        <v>747524752.4752475</v>
      </c>
      <c r="H566" s="946">
        <f>SUM(H546:H565)</f>
        <v>2475247.5247524679</v>
      </c>
      <c r="I566" s="946">
        <f>SUM(I546:I565)</f>
        <v>750000000</v>
      </c>
      <c r="J566" s="946"/>
      <c r="K566" s="946">
        <f>SUM(K546:K565)</f>
        <v>0</v>
      </c>
      <c r="L566" s="946">
        <f>SUM(L546:L565)</f>
        <v>81267621</v>
      </c>
      <c r="M566" s="946">
        <f>SUM(M546:M565)</f>
        <v>81267621</v>
      </c>
      <c r="N566" s="942">
        <f>+G566-K566</f>
        <v>747524752.4752475</v>
      </c>
      <c r="O566" s="942"/>
      <c r="P566" s="942">
        <f>+N566-O566</f>
        <v>747524752.4752475</v>
      </c>
    </row>
    <row r="567" spans="2:16">
      <c r="B567" s="455" t="s">
        <v>578</v>
      </c>
      <c r="C567" s="456">
        <v>44350</v>
      </c>
      <c r="D567" s="457">
        <v>1440</v>
      </c>
      <c r="E567" s="458" t="s">
        <v>576</v>
      </c>
      <c r="F567" s="459">
        <f t="shared" ref="F567:F570" si="42">SUBTOTAL(9,G567:H567)</f>
        <v>440000000</v>
      </c>
      <c r="G567" s="459">
        <v>440000000</v>
      </c>
      <c r="H567" s="459">
        <v>0</v>
      </c>
      <c r="I567" s="459">
        <f t="shared" ref="I567:I570" si="43">+G567+H567</f>
        <v>440000000</v>
      </c>
      <c r="J567" s="460"/>
      <c r="K567" s="460"/>
      <c r="L567" s="460"/>
      <c r="M567" s="459"/>
      <c r="N567" s="461"/>
      <c r="O567" s="462"/>
      <c r="P567" s="462"/>
    </row>
    <row r="568" spans="2:16">
      <c r="B568" s="455" t="s">
        <v>582</v>
      </c>
      <c r="C568" s="456">
        <v>44358</v>
      </c>
      <c r="D568" s="457">
        <v>1080</v>
      </c>
      <c r="E568" s="458" t="s">
        <v>576</v>
      </c>
      <c r="F568" s="459">
        <f t="shared" si="42"/>
        <v>19000000</v>
      </c>
      <c r="G568" s="459">
        <v>19000000</v>
      </c>
      <c r="H568" s="459">
        <v>0</v>
      </c>
      <c r="I568" s="459">
        <f t="shared" si="43"/>
        <v>19000000</v>
      </c>
      <c r="J568" s="460"/>
      <c r="K568" s="460"/>
      <c r="L568" s="460"/>
      <c r="M568" s="459"/>
      <c r="N568" s="461"/>
      <c r="O568" s="462"/>
      <c r="P568" s="462"/>
    </row>
    <row r="569" spans="2:16">
      <c r="B569" s="455" t="s">
        <v>583</v>
      </c>
      <c r="C569" s="456">
        <v>44358</v>
      </c>
      <c r="D569" s="457">
        <v>1080</v>
      </c>
      <c r="E569" s="458" t="s">
        <v>576</v>
      </c>
      <c r="F569" s="459">
        <f t="shared" si="42"/>
        <v>8000000</v>
      </c>
      <c r="G569" s="459">
        <v>8000000</v>
      </c>
      <c r="H569" s="459">
        <v>0</v>
      </c>
      <c r="I569" s="459">
        <f t="shared" si="43"/>
        <v>8000000</v>
      </c>
      <c r="J569" s="460"/>
      <c r="K569" s="460"/>
      <c r="L569" s="460"/>
      <c r="M569" s="459"/>
      <c r="N569" s="461"/>
      <c r="O569" s="462"/>
      <c r="P569" s="462"/>
    </row>
    <row r="570" spans="2:16">
      <c r="B570" s="455" t="s">
        <v>578</v>
      </c>
      <c r="C570" s="456">
        <v>44371</v>
      </c>
      <c r="D570" s="457">
        <v>1800</v>
      </c>
      <c r="E570" s="458" t="s">
        <v>576</v>
      </c>
      <c r="F570" s="459">
        <f t="shared" si="42"/>
        <v>332500000</v>
      </c>
      <c r="G570" s="459">
        <v>332500000</v>
      </c>
      <c r="H570" s="459">
        <v>0</v>
      </c>
      <c r="I570" s="459">
        <f t="shared" si="43"/>
        <v>332500000</v>
      </c>
      <c r="J570" s="460"/>
      <c r="K570" s="460"/>
      <c r="L570" s="460"/>
      <c r="M570" s="459"/>
      <c r="N570" s="461"/>
      <c r="O570" s="462"/>
      <c r="P570" s="462"/>
    </row>
    <row r="571" spans="2:16">
      <c r="B571" s="455" t="s">
        <v>587</v>
      </c>
      <c r="C571" s="456"/>
      <c r="D571" s="457"/>
      <c r="E571" s="458" t="s">
        <v>576</v>
      </c>
      <c r="F571" s="459"/>
      <c r="G571" s="459"/>
      <c r="H571" s="459"/>
      <c r="I571" s="459"/>
      <c r="J571" s="456">
        <v>44349</v>
      </c>
      <c r="K571" s="459">
        <v>0</v>
      </c>
      <c r="L571" s="459">
        <v>4438</v>
      </c>
      <c r="M571" s="459">
        <f t="shared" ref="M571:M625" si="44">+K571+L571</f>
        <v>4438</v>
      </c>
      <c r="N571" s="461"/>
      <c r="O571" s="462"/>
      <c r="P571" s="462"/>
    </row>
    <row r="572" spans="2:16">
      <c r="B572" s="455" t="s">
        <v>580</v>
      </c>
      <c r="C572" s="456"/>
      <c r="D572" s="457"/>
      <c r="E572" s="458" t="s">
        <v>576</v>
      </c>
      <c r="F572" s="459"/>
      <c r="G572" s="459"/>
      <c r="H572" s="459"/>
      <c r="I572" s="459"/>
      <c r="J572" s="456">
        <v>44349</v>
      </c>
      <c r="K572" s="459">
        <v>0</v>
      </c>
      <c r="L572" s="459">
        <v>1232738</v>
      </c>
      <c r="M572" s="459">
        <f t="shared" si="44"/>
        <v>1232738</v>
      </c>
      <c r="N572" s="461"/>
      <c r="O572" s="462"/>
      <c r="P572" s="462"/>
    </row>
    <row r="573" spans="2:16">
      <c r="B573" s="455" t="s">
        <v>582</v>
      </c>
      <c r="C573" s="456"/>
      <c r="D573" s="457"/>
      <c r="E573" s="458" t="s">
        <v>576</v>
      </c>
      <c r="F573" s="459"/>
      <c r="G573" s="459"/>
      <c r="H573" s="459"/>
      <c r="I573" s="459"/>
      <c r="J573" s="456">
        <v>44349</v>
      </c>
      <c r="K573" s="459">
        <v>0</v>
      </c>
      <c r="L573" s="459">
        <v>11094</v>
      </c>
      <c r="M573" s="459">
        <f t="shared" si="44"/>
        <v>11094</v>
      </c>
      <c r="N573" s="461"/>
      <c r="O573" s="462"/>
      <c r="P573" s="462"/>
    </row>
    <row r="574" spans="2:16">
      <c r="B574" s="455" t="s">
        <v>582</v>
      </c>
      <c r="C574" s="456"/>
      <c r="D574" s="457"/>
      <c r="E574" s="458" t="s">
        <v>576</v>
      </c>
      <c r="F574" s="459"/>
      <c r="G574" s="459"/>
      <c r="H574" s="459"/>
      <c r="I574" s="459"/>
      <c r="J574" s="456">
        <v>44349</v>
      </c>
      <c r="K574" s="459">
        <v>0</v>
      </c>
      <c r="L574" s="459">
        <v>44375</v>
      </c>
      <c r="M574" s="459">
        <f t="shared" si="44"/>
        <v>44375</v>
      </c>
      <c r="N574" s="461"/>
      <c r="O574" s="462"/>
      <c r="P574" s="462"/>
    </row>
    <row r="575" spans="2:16">
      <c r="B575" s="455" t="s">
        <v>575</v>
      </c>
      <c r="C575" s="456"/>
      <c r="D575" s="457"/>
      <c r="E575" s="458" t="s">
        <v>576</v>
      </c>
      <c r="F575" s="459"/>
      <c r="G575" s="459"/>
      <c r="H575" s="459"/>
      <c r="I575" s="459"/>
      <c r="J575" s="456">
        <v>44349</v>
      </c>
      <c r="K575" s="459">
        <v>0</v>
      </c>
      <c r="L575" s="459">
        <v>1232715</v>
      </c>
      <c r="M575" s="459">
        <f t="shared" si="44"/>
        <v>1232715</v>
      </c>
      <c r="N575" s="461"/>
      <c r="O575" s="462"/>
      <c r="P575" s="462"/>
    </row>
    <row r="576" spans="2:16">
      <c r="B576" s="455" t="s">
        <v>577</v>
      </c>
      <c r="C576" s="456"/>
      <c r="D576" s="457"/>
      <c r="E576" s="458" t="s">
        <v>576</v>
      </c>
      <c r="F576" s="459"/>
      <c r="G576" s="459"/>
      <c r="H576" s="459"/>
      <c r="I576" s="459"/>
      <c r="J576" s="456">
        <v>44349</v>
      </c>
      <c r="K576" s="459">
        <v>0</v>
      </c>
      <c r="L576" s="459">
        <v>2913707</v>
      </c>
      <c r="M576" s="459">
        <f t="shared" si="44"/>
        <v>2913707</v>
      </c>
      <c r="N576" s="461"/>
      <c r="O576" s="462"/>
      <c r="P576" s="462"/>
    </row>
    <row r="577" spans="2:16">
      <c r="B577" s="455" t="s">
        <v>586</v>
      </c>
      <c r="C577" s="456"/>
      <c r="D577" s="457"/>
      <c r="E577" s="458" t="s">
        <v>576</v>
      </c>
      <c r="F577" s="459"/>
      <c r="G577" s="459"/>
      <c r="H577" s="459"/>
      <c r="I577" s="459"/>
      <c r="J577" s="456">
        <v>44350</v>
      </c>
      <c r="K577" s="459">
        <v>0</v>
      </c>
      <c r="L577" s="459">
        <v>368750</v>
      </c>
      <c r="M577" s="459">
        <f t="shared" si="44"/>
        <v>368750</v>
      </c>
      <c r="N577" s="461"/>
      <c r="O577" s="462"/>
      <c r="P577" s="462"/>
    </row>
    <row r="578" spans="2:16">
      <c r="B578" s="455" t="s">
        <v>583</v>
      </c>
      <c r="C578" s="456"/>
      <c r="D578" s="457"/>
      <c r="E578" s="458" t="s">
        <v>576</v>
      </c>
      <c r="F578" s="459"/>
      <c r="G578" s="459"/>
      <c r="H578" s="459"/>
      <c r="I578" s="459"/>
      <c r="J578" s="456">
        <v>44350</v>
      </c>
      <c r="K578" s="459">
        <v>0</v>
      </c>
      <c r="L578" s="459">
        <v>1844</v>
      </c>
      <c r="M578" s="459">
        <f t="shared" si="44"/>
        <v>1844</v>
      </c>
      <c r="N578" s="461"/>
      <c r="O578" s="462"/>
      <c r="P578" s="462"/>
    </row>
    <row r="579" spans="2:16">
      <c r="B579" s="455" t="s">
        <v>582</v>
      </c>
      <c r="C579" s="456"/>
      <c r="D579" s="457"/>
      <c r="E579" s="458" t="s">
        <v>576</v>
      </c>
      <c r="F579" s="459"/>
      <c r="G579" s="459"/>
      <c r="H579" s="459"/>
      <c r="I579" s="459"/>
      <c r="J579" s="456">
        <v>44350</v>
      </c>
      <c r="K579" s="459">
        <v>0</v>
      </c>
      <c r="L579" s="459">
        <v>885000</v>
      </c>
      <c r="M579" s="459">
        <f t="shared" si="44"/>
        <v>885000</v>
      </c>
      <c r="N579" s="461"/>
      <c r="O579" s="462"/>
      <c r="P579" s="462"/>
    </row>
    <row r="580" spans="2:16">
      <c r="B580" s="455" t="s">
        <v>575</v>
      </c>
      <c r="C580" s="456"/>
      <c r="D580" s="457"/>
      <c r="E580" s="458" t="s">
        <v>576</v>
      </c>
      <c r="F580" s="459"/>
      <c r="G580" s="459"/>
      <c r="H580" s="459"/>
      <c r="I580" s="459"/>
      <c r="J580" s="456">
        <v>44350</v>
      </c>
      <c r="K580" s="459">
        <v>0</v>
      </c>
      <c r="L580" s="459">
        <v>1258924</v>
      </c>
      <c r="M580" s="459">
        <f t="shared" si="44"/>
        <v>1258924</v>
      </c>
      <c r="N580" s="461"/>
      <c r="O580" s="462"/>
      <c r="P580" s="462"/>
    </row>
    <row r="581" spans="2:16">
      <c r="B581" s="455" t="s">
        <v>585</v>
      </c>
      <c r="C581" s="456"/>
      <c r="D581" s="457"/>
      <c r="E581" s="458" t="s">
        <v>576</v>
      </c>
      <c r="F581" s="459"/>
      <c r="G581" s="459"/>
      <c r="H581" s="459"/>
      <c r="I581" s="459"/>
      <c r="J581" s="456">
        <v>44350</v>
      </c>
      <c r="K581" s="459">
        <v>0</v>
      </c>
      <c r="L581" s="459">
        <v>3457031</v>
      </c>
      <c r="M581" s="459">
        <f t="shared" si="44"/>
        <v>3457031</v>
      </c>
      <c r="N581" s="461"/>
      <c r="O581" s="462"/>
      <c r="P581" s="462"/>
    </row>
    <row r="582" spans="2:16">
      <c r="B582" s="455" t="s">
        <v>575</v>
      </c>
      <c r="C582" s="456"/>
      <c r="D582" s="457"/>
      <c r="E582" s="458" t="s">
        <v>576</v>
      </c>
      <c r="F582" s="459"/>
      <c r="G582" s="459"/>
      <c r="H582" s="459"/>
      <c r="I582" s="459"/>
      <c r="J582" s="456">
        <v>44350</v>
      </c>
      <c r="K582" s="459">
        <v>0</v>
      </c>
      <c r="L582" s="459">
        <v>2074219</v>
      </c>
      <c r="M582" s="459">
        <f t="shared" si="44"/>
        <v>2074219</v>
      </c>
      <c r="N582" s="461"/>
      <c r="O582" s="462"/>
      <c r="P582" s="462"/>
    </row>
    <row r="583" spans="2:16">
      <c r="B583" s="455" t="s">
        <v>577</v>
      </c>
      <c r="C583" s="456"/>
      <c r="D583" s="457"/>
      <c r="E583" s="458" t="s">
        <v>576</v>
      </c>
      <c r="F583" s="459"/>
      <c r="G583" s="459"/>
      <c r="H583" s="459"/>
      <c r="I583" s="459"/>
      <c r="J583" s="456">
        <v>44350</v>
      </c>
      <c r="K583" s="459">
        <v>0</v>
      </c>
      <c r="L583" s="459">
        <v>6084811</v>
      </c>
      <c r="M583" s="459">
        <f t="shared" si="44"/>
        <v>6084811</v>
      </c>
      <c r="N583" s="461"/>
      <c r="O583" s="462"/>
      <c r="P583" s="462"/>
    </row>
    <row r="584" spans="2:16">
      <c r="B584" s="455" t="s">
        <v>577</v>
      </c>
      <c r="C584" s="456"/>
      <c r="D584" s="457"/>
      <c r="E584" s="458" t="s">
        <v>579</v>
      </c>
      <c r="F584" s="459"/>
      <c r="G584" s="459"/>
      <c r="H584" s="459"/>
      <c r="I584" s="459"/>
      <c r="J584" s="456">
        <v>44354</v>
      </c>
      <c r="K584" s="771">
        <v>59850374.06483791</v>
      </c>
      <c r="L584" s="771">
        <v>149625.93516208977</v>
      </c>
      <c r="M584" s="771">
        <f t="shared" si="44"/>
        <v>60000000</v>
      </c>
      <c r="N584" s="461"/>
      <c r="O584" s="462"/>
      <c r="P584" s="462"/>
    </row>
    <row r="585" spans="2:16">
      <c r="B585" s="455" t="s">
        <v>581</v>
      </c>
      <c r="C585" s="456"/>
      <c r="D585" s="457"/>
      <c r="E585" s="458" t="s">
        <v>579</v>
      </c>
      <c r="F585" s="459"/>
      <c r="G585" s="459"/>
      <c r="H585" s="459"/>
      <c r="I585" s="459"/>
      <c r="J585" s="456">
        <v>44354</v>
      </c>
      <c r="K585" s="771">
        <v>59850374.06483791</v>
      </c>
      <c r="L585" s="771">
        <v>149625.93516208977</v>
      </c>
      <c r="M585" s="771">
        <f t="shared" si="44"/>
        <v>60000000</v>
      </c>
      <c r="N585" s="461"/>
      <c r="O585" s="462"/>
      <c r="P585" s="462"/>
    </row>
    <row r="586" spans="2:16">
      <c r="B586" s="455" t="s">
        <v>580</v>
      </c>
      <c r="C586" s="456"/>
      <c r="D586" s="457"/>
      <c r="E586" s="458" t="s">
        <v>579</v>
      </c>
      <c r="F586" s="459"/>
      <c r="G586" s="459"/>
      <c r="H586" s="459"/>
      <c r="I586" s="459"/>
      <c r="J586" s="456">
        <v>44354</v>
      </c>
      <c r="K586" s="771">
        <v>59850374.06483791</v>
      </c>
      <c r="L586" s="771">
        <v>149625.93516208977</v>
      </c>
      <c r="M586" s="771">
        <f t="shared" si="44"/>
        <v>60000000</v>
      </c>
      <c r="N586" s="461"/>
      <c r="O586" s="462"/>
      <c r="P586" s="462"/>
    </row>
    <row r="587" spans="2:16">
      <c r="B587" s="455" t="s">
        <v>578</v>
      </c>
      <c r="C587" s="456"/>
      <c r="D587" s="457"/>
      <c r="E587" s="458" t="s">
        <v>579</v>
      </c>
      <c r="F587" s="459"/>
      <c r="G587" s="459"/>
      <c r="H587" s="459"/>
      <c r="I587" s="459"/>
      <c r="J587" s="456">
        <v>44354</v>
      </c>
      <c r="K587" s="771">
        <v>59850374.06483791</v>
      </c>
      <c r="L587" s="771">
        <v>149625.93516208977</v>
      </c>
      <c r="M587" s="771">
        <f t="shared" si="44"/>
        <v>60000000</v>
      </c>
      <c r="N587" s="461"/>
      <c r="O587" s="462"/>
      <c r="P587" s="462"/>
    </row>
    <row r="588" spans="2:16">
      <c r="B588" s="455" t="s">
        <v>577</v>
      </c>
      <c r="C588" s="456"/>
      <c r="D588" s="457"/>
      <c r="E588" s="458" t="s">
        <v>576</v>
      </c>
      <c r="F588" s="459"/>
      <c r="G588" s="459"/>
      <c r="H588" s="459"/>
      <c r="I588" s="459"/>
      <c r="J588" s="456">
        <v>44354</v>
      </c>
      <c r="K588" s="459">
        <v>0</v>
      </c>
      <c r="L588" s="459">
        <v>1458333</v>
      </c>
      <c r="M588" s="459">
        <f t="shared" si="44"/>
        <v>1458333</v>
      </c>
      <c r="N588" s="461"/>
      <c r="O588" s="462"/>
      <c r="P588" s="462"/>
    </row>
    <row r="589" spans="2:16">
      <c r="B589" s="455" t="s">
        <v>575</v>
      </c>
      <c r="C589" s="456"/>
      <c r="D589" s="457"/>
      <c r="E589" s="458" t="s">
        <v>576</v>
      </c>
      <c r="F589" s="459"/>
      <c r="G589" s="459"/>
      <c r="H589" s="459"/>
      <c r="I589" s="459"/>
      <c r="J589" s="456">
        <v>44354</v>
      </c>
      <c r="K589" s="459">
        <v>0</v>
      </c>
      <c r="L589" s="459">
        <v>9479167</v>
      </c>
      <c r="M589" s="459">
        <f t="shared" si="44"/>
        <v>9479167</v>
      </c>
      <c r="N589" s="461"/>
      <c r="O589" s="462"/>
      <c r="P589" s="462"/>
    </row>
    <row r="590" spans="2:16">
      <c r="B590" s="455" t="s">
        <v>577</v>
      </c>
      <c r="C590" s="456"/>
      <c r="D590" s="457"/>
      <c r="E590" s="458" t="s">
        <v>576</v>
      </c>
      <c r="F590" s="459"/>
      <c r="G590" s="459"/>
      <c r="H590" s="459"/>
      <c r="I590" s="459"/>
      <c r="J590" s="456">
        <v>44354</v>
      </c>
      <c r="K590" s="459">
        <v>0</v>
      </c>
      <c r="L590" s="459">
        <v>2187500</v>
      </c>
      <c r="M590" s="459">
        <f t="shared" si="44"/>
        <v>2187500</v>
      </c>
      <c r="N590" s="461"/>
      <c r="O590" s="462"/>
      <c r="P590" s="462"/>
    </row>
    <row r="591" spans="2:16">
      <c r="B591" s="455" t="s">
        <v>582</v>
      </c>
      <c r="C591" s="456"/>
      <c r="D591" s="457"/>
      <c r="E591" s="458" t="s">
        <v>576</v>
      </c>
      <c r="F591" s="459"/>
      <c r="G591" s="459"/>
      <c r="H591" s="459"/>
      <c r="I591" s="459"/>
      <c r="J591" s="456">
        <v>44355</v>
      </c>
      <c r="K591" s="459">
        <v>0</v>
      </c>
      <c r="L591" s="459">
        <v>69375</v>
      </c>
      <c r="M591" s="459">
        <f t="shared" si="44"/>
        <v>69375</v>
      </c>
      <c r="N591" s="461"/>
      <c r="O591" s="462"/>
      <c r="P591" s="462"/>
    </row>
    <row r="592" spans="2:16">
      <c r="B592" s="455" t="s">
        <v>577</v>
      </c>
      <c r="C592" s="456"/>
      <c r="D592" s="457"/>
      <c r="E592" s="458" t="s">
        <v>576</v>
      </c>
      <c r="F592" s="459"/>
      <c r="G592" s="459"/>
      <c r="H592" s="459"/>
      <c r="I592" s="459"/>
      <c r="J592" s="456">
        <v>44355</v>
      </c>
      <c r="K592" s="459">
        <v>0</v>
      </c>
      <c r="L592" s="459">
        <v>4625000</v>
      </c>
      <c r="M592" s="459">
        <f t="shared" si="44"/>
        <v>4625000</v>
      </c>
      <c r="N592" s="461"/>
      <c r="O592" s="462"/>
      <c r="P592" s="462"/>
    </row>
    <row r="593" spans="2:16">
      <c r="B593" s="455" t="s">
        <v>585</v>
      </c>
      <c r="C593" s="456"/>
      <c r="D593" s="457"/>
      <c r="E593" s="458" t="s">
        <v>576</v>
      </c>
      <c r="F593" s="459"/>
      <c r="G593" s="459"/>
      <c r="H593" s="459"/>
      <c r="I593" s="459"/>
      <c r="J593" s="456">
        <v>44355</v>
      </c>
      <c r="K593" s="459">
        <v>0</v>
      </c>
      <c r="L593" s="459">
        <v>6868125</v>
      </c>
      <c r="M593" s="459">
        <f t="shared" si="44"/>
        <v>6868125</v>
      </c>
      <c r="N593" s="461"/>
      <c r="O593" s="462"/>
      <c r="P593" s="462"/>
    </row>
    <row r="594" spans="2:16">
      <c r="B594" s="455" t="s">
        <v>583</v>
      </c>
      <c r="C594" s="456"/>
      <c r="D594" s="457"/>
      <c r="E594" s="458" t="s">
        <v>576</v>
      </c>
      <c r="F594" s="459"/>
      <c r="G594" s="459"/>
      <c r="H594" s="459"/>
      <c r="I594" s="459"/>
      <c r="J594" s="456">
        <v>44355</v>
      </c>
      <c r="K594" s="459">
        <v>0</v>
      </c>
      <c r="L594" s="459">
        <v>221875</v>
      </c>
      <c r="M594" s="459">
        <f t="shared" si="44"/>
        <v>221875</v>
      </c>
      <c r="N594" s="461"/>
      <c r="O594" s="462"/>
      <c r="P594" s="462"/>
    </row>
    <row r="595" spans="2:16">
      <c r="B595" s="455" t="s">
        <v>586</v>
      </c>
      <c r="C595" s="456"/>
      <c r="D595" s="457"/>
      <c r="E595" s="458" t="s">
        <v>576</v>
      </c>
      <c r="F595" s="459"/>
      <c r="G595" s="459"/>
      <c r="H595" s="459"/>
      <c r="I595" s="459"/>
      <c r="J595" s="456">
        <v>44355</v>
      </c>
      <c r="K595" s="459">
        <v>0</v>
      </c>
      <c r="L595" s="459">
        <v>9250</v>
      </c>
      <c r="M595" s="459">
        <f t="shared" si="44"/>
        <v>9250</v>
      </c>
      <c r="N595" s="461"/>
      <c r="O595" s="462"/>
      <c r="P595" s="462"/>
    </row>
    <row r="596" spans="2:16">
      <c r="B596" s="455" t="s">
        <v>586</v>
      </c>
      <c r="C596" s="456"/>
      <c r="D596" s="457"/>
      <c r="E596" s="458" t="s">
        <v>576</v>
      </c>
      <c r="F596" s="459"/>
      <c r="G596" s="459"/>
      <c r="H596" s="459"/>
      <c r="I596" s="459"/>
      <c r="J596" s="456">
        <v>44355</v>
      </c>
      <c r="K596" s="459">
        <v>0</v>
      </c>
      <c r="L596" s="459">
        <v>110938</v>
      </c>
      <c r="M596" s="459">
        <f t="shared" si="44"/>
        <v>110938</v>
      </c>
      <c r="N596" s="461"/>
      <c r="O596" s="462"/>
      <c r="P596" s="462"/>
    </row>
    <row r="597" spans="2:16">
      <c r="B597" s="455" t="s">
        <v>575</v>
      </c>
      <c r="C597" s="456"/>
      <c r="D597" s="457"/>
      <c r="E597" s="458" t="s">
        <v>576</v>
      </c>
      <c r="F597" s="459"/>
      <c r="G597" s="459"/>
      <c r="H597" s="459"/>
      <c r="I597" s="459"/>
      <c r="J597" s="456">
        <v>44355</v>
      </c>
      <c r="K597" s="459">
        <v>0</v>
      </c>
      <c r="L597" s="459">
        <v>7103195</v>
      </c>
      <c r="M597" s="459">
        <f t="shared" si="44"/>
        <v>7103195</v>
      </c>
      <c r="N597" s="461"/>
      <c r="O597" s="462"/>
      <c r="P597" s="462"/>
    </row>
    <row r="598" spans="2:16">
      <c r="B598" s="455" t="s">
        <v>581</v>
      </c>
      <c r="C598" s="456"/>
      <c r="D598" s="457"/>
      <c r="E598" s="458" t="s">
        <v>576</v>
      </c>
      <c r="F598" s="459"/>
      <c r="G598" s="459"/>
      <c r="H598" s="459"/>
      <c r="I598" s="459"/>
      <c r="J598" s="456">
        <v>44358</v>
      </c>
      <c r="K598" s="459">
        <v>0</v>
      </c>
      <c r="L598" s="459">
        <v>3404010</v>
      </c>
      <c r="M598" s="459">
        <f t="shared" si="44"/>
        <v>3404010</v>
      </c>
      <c r="N598" s="461"/>
      <c r="O598" s="462"/>
      <c r="P598" s="462"/>
    </row>
    <row r="599" spans="2:16">
      <c r="B599" s="455" t="s">
        <v>575</v>
      </c>
      <c r="C599" s="456"/>
      <c r="D599" s="457"/>
      <c r="E599" s="458" t="s">
        <v>576</v>
      </c>
      <c r="F599" s="459"/>
      <c r="G599" s="459"/>
      <c r="H599" s="459"/>
      <c r="I599" s="459"/>
      <c r="J599" s="456">
        <v>44358</v>
      </c>
      <c r="K599" s="459">
        <v>0</v>
      </c>
      <c r="L599" s="459">
        <v>1451895</v>
      </c>
      <c r="M599" s="459">
        <f t="shared" si="44"/>
        <v>1451895</v>
      </c>
      <c r="N599" s="461"/>
      <c r="O599" s="462"/>
      <c r="P599" s="462"/>
    </row>
    <row r="600" spans="2:16">
      <c r="B600" s="455" t="s">
        <v>582</v>
      </c>
      <c r="C600" s="456"/>
      <c r="D600" s="457"/>
      <c r="E600" s="458" t="s">
        <v>576</v>
      </c>
      <c r="F600" s="459"/>
      <c r="G600" s="459"/>
      <c r="H600" s="459"/>
      <c r="I600" s="459"/>
      <c r="J600" s="456">
        <v>44358</v>
      </c>
      <c r="K600" s="459">
        <v>0</v>
      </c>
      <c r="L600" s="459">
        <v>142969</v>
      </c>
      <c r="M600" s="459">
        <f t="shared" si="44"/>
        <v>142969</v>
      </c>
      <c r="N600" s="461"/>
      <c r="O600" s="462"/>
      <c r="P600" s="462"/>
    </row>
    <row r="601" spans="2:16">
      <c r="B601" s="455" t="s">
        <v>583</v>
      </c>
      <c r="C601" s="456"/>
      <c r="D601" s="457"/>
      <c r="E601" s="458" t="s">
        <v>576</v>
      </c>
      <c r="F601" s="459"/>
      <c r="G601" s="459"/>
      <c r="H601" s="459"/>
      <c r="I601" s="459"/>
      <c r="J601" s="456">
        <v>44358</v>
      </c>
      <c r="K601" s="459">
        <v>0</v>
      </c>
      <c r="L601" s="459">
        <v>95</v>
      </c>
      <c r="M601" s="459">
        <f t="shared" si="44"/>
        <v>95</v>
      </c>
      <c r="N601" s="461"/>
      <c r="O601" s="462"/>
      <c r="P601" s="462"/>
    </row>
    <row r="602" spans="2:16">
      <c r="B602" s="455" t="s">
        <v>575</v>
      </c>
      <c r="C602" s="456"/>
      <c r="D602" s="457"/>
      <c r="E602" s="458" t="s">
        <v>576</v>
      </c>
      <c r="F602" s="459"/>
      <c r="G602" s="459"/>
      <c r="H602" s="459"/>
      <c r="I602" s="459"/>
      <c r="J602" s="456">
        <v>44358</v>
      </c>
      <c r="K602" s="459">
        <v>0</v>
      </c>
      <c r="L602" s="459">
        <v>8625000</v>
      </c>
      <c r="M602" s="459">
        <f t="shared" si="44"/>
        <v>8625000</v>
      </c>
      <c r="N602" s="461"/>
      <c r="O602" s="462"/>
      <c r="P602" s="462"/>
    </row>
    <row r="603" spans="2:16">
      <c r="B603" s="455" t="s">
        <v>577</v>
      </c>
      <c r="C603" s="456"/>
      <c r="D603" s="457"/>
      <c r="E603" s="458" t="s">
        <v>576</v>
      </c>
      <c r="F603" s="459"/>
      <c r="G603" s="459"/>
      <c r="H603" s="459"/>
      <c r="I603" s="459"/>
      <c r="J603" s="456">
        <v>44358</v>
      </c>
      <c r="K603" s="459">
        <v>0</v>
      </c>
      <c r="L603" s="459">
        <v>756190</v>
      </c>
      <c r="M603" s="459">
        <f t="shared" si="44"/>
        <v>756190</v>
      </c>
      <c r="N603" s="461"/>
      <c r="O603" s="462"/>
      <c r="P603" s="462"/>
    </row>
    <row r="604" spans="2:16">
      <c r="B604" s="455" t="s">
        <v>577</v>
      </c>
      <c r="C604" s="456"/>
      <c r="D604" s="457"/>
      <c r="E604" s="458" t="s">
        <v>576</v>
      </c>
      <c r="F604" s="459"/>
      <c r="G604" s="459"/>
      <c r="H604" s="459"/>
      <c r="I604" s="459"/>
      <c r="J604" s="456">
        <v>44361</v>
      </c>
      <c r="K604" s="459">
        <v>0</v>
      </c>
      <c r="L604" s="459">
        <v>1684665</v>
      </c>
      <c r="M604" s="459">
        <f t="shared" si="44"/>
        <v>1684665</v>
      </c>
      <c r="N604" s="461"/>
      <c r="O604" s="462"/>
      <c r="P604" s="462"/>
    </row>
    <row r="605" spans="2:16">
      <c r="B605" s="455" t="s">
        <v>583</v>
      </c>
      <c r="C605" s="456"/>
      <c r="D605" s="457"/>
      <c r="E605" s="458" t="s">
        <v>576</v>
      </c>
      <c r="F605" s="459"/>
      <c r="G605" s="459"/>
      <c r="H605" s="459"/>
      <c r="I605" s="459"/>
      <c r="J605" s="456">
        <v>44361</v>
      </c>
      <c r="K605" s="459">
        <v>0</v>
      </c>
      <c r="L605" s="459">
        <v>2625</v>
      </c>
      <c r="M605" s="459">
        <f t="shared" si="44"/>
        <v>2625</v>
      </c>
      <c r="N605" s="461"/>
      <c r="O605" s="462"/>
      <c r="P605" s="462"/>
    </row>
    <row r="606" spans="2:16">
      <c r="B606" s="455" t="s">
        <v>575</v>
      </c>
      <c r="C606" s="456"/>
      <c r="D606" s="457"/>
      <c r="E606" s="458" t="s">
        <v>576</v>
      </c>
      <c r="F606" s="459"/>
      <c r="G606" s="459"/>
      <c r="H606" s="459"/>
      <c r="I606" s="459"/>
      <c r="J606" s="456">
        <v>44361</v>
      </c>
      <c r="K606" s="459">
        <v>0</v>
      </c>
      <c r="L606" s="459">
        <v>2541660</v>
      </c>
      <c r="M606" s="459">
        <f t="shared" si="44"/>
        <v>2541660</v>
      </c>
      <c r="N606" s="461"/>
      <c r="O606" s="462"/>
      <c r="P606" s="462"/>
    </row>
    <row r="607" spans="2:16">
      <c r="B607" s="455" t="s">
        <v>586</v>
      </c>
      <c r="C607" s="456"/>
      <c r="D607" s="457"/>
      <c r="E607" s="458" t="s">
        <v>576</v>
      </c>
      <c r="F607" s="459"/>
      <c r="G607" s="459"/>
      <c r="H607" s="459"/>
      <c r="I607" s="459"/>
      <c r="J607" s="456">
        <v>44361</v>
      </c>
      <c r="K607" s="459">
        <v>0</v>
      </c>
      <c r="L607" s="459">
        <v>2234993</v>
      </c>
      <c r="M607" s="459">
        <f t="shared" si="44"/>
        <v>2234993</v>
      </c>
      <c r="N607" s="461"/>
      <c r="O607" s="462"/>
      <c r="P607" s="462"/>
    </row>
    <row r="608" spans="2:16">
      <c r="B608" s="455" t="s">
        <v>575</v>
      </c>
      <c r="C608" s="456"/>
      <c r="D608" s="457"/>
      <c r="E608" s="458" t="s">
        <v>576</v>
      </c>
      <c r="F608" s="459"/>
      <c r="G608" s="459"/>
      <c r="H608" s="459"/>
      <c r="I608" s="459"/>
      <c r="J608" s="456">
        <v>44362</v>
      </c>
      <c r="K608" s="459">
        <v>0</v>
      </c>
      <c r="L608" s="459">
        <v>1976760</v>
      </c>
      <c r="M608" s="459">
        <f t="shared" si="44"/>
        <v>1976760</v>
      </c>
      <c r="N608" s="461"/>
      <c r="O608" s="462"/>
      <c r="P608" s="462"/>
    </row>
    <row r="609" spans="2:16">
      <c r="B609" s="455" t="s">
        <v>580</v>
      </c>
      <c r="C609" s="456"/>
      <c r="D609" s="457"/>
      <c r="E609" s="458" t="s">
        <v>576</v>
      </c>
      <c r="F609" s="459"/>
      <c r="G609" s="459"/>
      <c r="H609" s="459"/>
      <c r="I609" s="459"/>
      <c r="J609" s="456">
        <v>44362</v>
      </c>
      <c r="K609" s="459">
        <v>0</v>
      </c>
      <c r="L609" s="459">
        <v>2975000</v>
      </c>
      <c r="M609" s="459">
        <f t="shared" si="44"/>
        <v>2975000</v>
      </c>
      <c r="N609" s="461"/>
      <c r="O609" s="462"/>
      <c r="P609" s="462"/>
    </row>
    <row r="610" spans="2:16">
      <c r="B610" s="455" t="s">
        <v>580</v>
      </c>
      <c r="C610" s="456"/>
      <c r="D610" s="457"/>
      <c r="E610" s="458" t="s">
        <v>576</v>
      </c>
      <c r="F610" s="459"/>
      <c r="G610" s="459"/>
      <c r="H610" s="459"/>
      <c r="I610" s="459"/>
      <c r="J610" s="456">
        <v>44362</v>
      </c>
      <c r="K610" s="459">
        <v>0</v>
      </c>
      <c r="L610" s="459">
        <v>554625</v>
      </c>
      <c r="M610" s="459">
        <f t="shared" si="44"/>
        <v>554625</v>
      </c>
      <c r="N610" s="461"/>
      <c r="O610" s="462"/>
      <c r="P610" s="462"/>
    </row>
    <row r="611" spans="2:16">
      <c r="B611" s="455" t="s">
        <v>580</v>
      </c>
      <c r="C611" s="456"/>
      <c r="D611" s="457"/>
      <c r="E611" s="458" t="s">
        <v>576</v>
      </c>
      <c r="F611" s="459"/>
      <c r="G611" s="459"/>
      <c r="H611" s="459"/>
      <c r="I611" s="459"/>
      <c r="J611" s="456">
        <v>44362</v>
      </c>
      <c r="K611" s="459">
        <v>0</v>
      </c>
      <c r="L611" s="459">
        <v>572114</v>
      </c>
      <c r="M611" s="459">
        <f t="shared" si="44"/>
        <v>572114</v>
      </c>
      <c r="N611" s="461"/>
      <c r="O611" s="462"/>
      <c r="P611" s="462"/>
    </row>
    <row r="612" spans="2:16">
      <c r="B612" s="455" t="s">
        <v>577</v>
      </c>
      <c r="C612" s="456"/>
      <c r="D612" s="457"/>
      <c r="E612" s="458" t="s">
        <v>576</v>
      </c>
      <c r="F612" s="459"/>
      <c r="G612" s="459"/>
      <c r="H612" s="459"/>
      <c r="I612" s="459"/>
      <c r="J612" s="456">
        <v>44362</v>
      </c>
      <c r="K612" s="459">
        <v>0</v>
      </c>
      <c r="L612" s="459">
        <v>1536471</v>
      </c>
      <c r="M612" s="459">
        <f t="shared" si="44"/>
        <v>1536471</v>
      </c>
      <c r="N612" s="461"/>
      <c r="O612" s="462"/>
      <c r="P612" s="462"/>
    </row>
    <row r="613" spans="2:16">
      <c r="B613" s="455" t="s">
        <v>580</v>
      </c>
      <c r="C613" s="456"/>
      <c r="D613" s="457"/>
      <c r="E613" s="458" t="s">
        <v>576</v>
      </c>
      <c r="F613" s="459"/>
      <c r="G613" s="459"/>
      <c r="H613" s="459"/>
      <c r="I613" s="459"/>
      <c r="J613" s="456">
        <v>44362</v>
      </c>
      <c r="K613" s="459">
        <v>0</v>
      </c>
      <c r="L613" s="459">
        <v>768236</v>
      </c>
      <c r="M613" s="459">
        <f t="shared" si="44"/>
        <v>768236</v>
      </c>
      <c r="N613" s="461"/>
      <c r="O613" s="462"/>
      <c r="P613" s="462"/>
    </row>
    <row r="614" spans="2:16">
      <c r="B614" s="455" t="s">
        <v>584</v>
      </c>
      <c r="C614" s="456"/>
      <c r="D614" s="457"/>
      <c r="E614" s="458" t="s">
        <v>576</v>
      </c>
      <c r="F614" s="459"/>
      <c r="G614" s="459"/>
      <c r="H614" s="459"/>
      <c r="I614" s="459"/>
      <c r="J614" s="456">
        <v>44362</v>
      </c>
      <c r="K614" s="459">
        <v>0</v>
      </c>
      <c r="L614" s="459">
        <v>296501</v>
      </c>
      <c r="M614" s="459">
        <f t="shared" si="44"/>
        <v>296501</v>
      </c>
      <c r="N614" s="461"/>
      <c r="O614" s="462"/>
      <c r="P614" s="462"/>
    </row>
    <row r="615" spans="2:16">
      <c r="B615" s="455" t="s">
        <v>585</v>
      </c>
      <c r="C615" s="456"/>
      <c r="D615" s="457"/>
      <c r="E615" s="458" t="s">
        <v>576</v>
      </c>
      <c r="F615" s="459"/>
      <c r="G615" s="459"/>
      <c r="H615" s="459"/>
      <c r="I615" s="459"/>
      <c r="J615" s="456">
        <v>44362</v>
      </c>
      <c r="K615" s="459">
        <v>0</v>
      </c>
      <c r="L615" s="459">
        <v>2281744</v>
      </c>
      <c r="M615" s="459">
        <f t="shared" si="44"/>
        <v>2281744</v>
      </c>
      <c r="N615" s="461"/>
      <c r="O615" s="462"/>
      <c r="P615" s="462"/>
    </row>
    <row r="616" spans="2:16">
      <c r="B616" s="455" t="s">
        <v>577</v>
      </c>
      <c r="C616" s="456"/>
      <c r="D616" s="457"/>
      <c r="E616" s="458" t="s">
        <v>576</v>
      </c>
      <c r="F616" s="459"/>
      <c r="G616" s="459"/>
      <c r="H616" s="459"/>
      <c r="I616" s="459"/>
      <c r="J616" s="456">
        <v>44365</v>
      </c>
      <c r="K616" s="459">
        <v>0</v>
      </c>
      <c r="L616" s="459">
        <v>1536971</v>
      </c>
      <c r="M616" s="459">
        <f t="shared" si="44"/>
        <v>1536971</v>
      </c>
      <c r="N616" s="461"/>
      <c r="O616" s="462"/>
      <c r="P616" s="462"/>
    </row>
    <row r="617" spans="2:16">
      <c r="B617" s="455" t="s">
        <v>581</v>
      </c>
      <c r="C617" s="456"/>
      <c r="D617" s="457"/>
      <c r="E617" s="458" t="s">
        <v>576</v>
      </c>
      <c r="F617" s="459"/>
      <c r="G617" s="459"/>
      <c r="H617" s="459"/>
      <c r="I617" s="459"/>
      <c r="J617" s="456">
        <v>44365</v>
      </c>
      <c r="K617" s="459">
        <v>0</v>
      </c>
      <c r="L617" s="459">
        <v>2218341</v>
      </c>
      <c r="M617" s="459">
        <f t="shared" si="44"/>
        <v>2218341</v>
      </c>
      <c r="N617" s="461"/>
      <c r="O617" s="462"/>
      <c r="P617" s="462"/>
    </row>
    <row r="618" spans="2:16">
      <c r="B618" s="455" t="s">
        <v>575</v>
      </c>
      <c r="C618" s="456"/>
      <c r="D618" s="457"/>
      <c r="E618" s="458" t="s">
        <v>576</v>
      </c>
      <c r="F618" s="459"/>
      <c r="G618" s="459"/>
      <c r="H618" s="459"/>
      <c r="I618" s="459"/>
      <c r="J618" s="456">
        <v>44368</v>
      </c>
      <c r="K618" s="466">
        <v>100000000</v>
      </c>
      <c r="L618" s="466">
        <v>0</v>
      </c>
      <c r="M618" s="466">
        <f t="shared" si="44"/>
        <v>100000000</v>
      </c>
      <c r="N618" s="461"/>
      <c r="O618" s="462"/>
      <c r="P618" s="462"/>
    </row>
    <row r="619" spans="2:16">
      <c r="B619" s="455" t="s">
        <v>575</v>
      </c>
      <c r="C619" s="456"/>
      <c r="D619" s="457"/>
      <c r="E619" s="458" t="s">
        <v>576</v>
      </c>
      <c r="F619" s="459"/>
      <c r="G619" s="459"/>
      <c r="H619" s="459"/>
      <c r="I619" s="459"/>
      <c r="J619" s="456">
        <v>44368</v>
      </c>
      <c r="K619" s="459">
        <v>0</v>
      </c>
      <c r="L619" s="459">
        <v>2929452</v>
      </c>
      <c r="M619" s="459">
        <f t="shared" si="44"/>
        <v>2929452</v>
      </c>
      <c r="N619" s="461"/>
      <c r="O619" s="462"/>
      <c r="P619" s="462"/>
    </row>
    <row r="620" spans="2:16">
      <c r="B620" s="455" t="s">
        <v>575</v>
      </c>
      <c r="C620" s="456"/>
      <c r="D620" s="457"/>
      <c r="E620" s="458" t="s">
        <v>576</v>
      </c>
      <c r="F620" s="459"/>
      <c r="G620" s="459"/>
      <c r="H620" s="459"/>
      <c r="I620" s="459"/>
      <c r="J620" s="456">
        <v>44368</v>
      </c>
      <c r="K620" s="459">
        <v>0</v>
      </c>
      <c r="L620" s="459">
        <v>2898288</v>
      </c>
      <c r="M620" s="459">
        <f t="shared" si="44"/>
        <v>2898288</v>
      </c>
      <c r="N620" s="461"/>
      <c r="O620" s="462"/>
      <c r="P620" s="462"/>
    </row>
    <row r="621" spans="2:16">
      <c r="B621" s="455" t="s">
        <v>575</v>
      </c>
      <c r="C621" s="456"/>
      <c r="D621" s="457"/>
      <c r="E621" s="458" t="s">
        <v>576</v>
      </c>
      <c r="F621" s="459"/>
      <c r="G621" s="459"/>
      <c r="H621" s="459"/>
      <c r="I621" s="459"/>
      <c r="J621" s="456">
        <v>44368</v>
      </c>
      <c r="K621" s="466">
        <v>100000000</v>
      </c>
      <c r="L621" s="466">
        <v>0</v>
      </c>
      <c r="M621" s="466">
        <f t="shared" si="44"/>
        <v>100000000</v>
      </c>
      <c r="N621" s="461"/>
      <c r="O621" s="462"/>
      <c r="P621" s="462"/>
    </row>
    <row r="622" spans="2:16">
      <c r="B622" s="455" t="s">
        <v>575</v>
      </c>
      <c r="C622" s="456"/>
      <c r="D622" s="457"/>
      <c r="E622" s="458" t="s">
        <v>576</v>
      </c>
      <c r="F622" s="459"/>
      <c r="G622" s="459"/>
      <c r="H622" s="459"/>
      <c r="I622" s="459"/>
      <c r="J622" s="456">
        <v>44375</v>
      </c>
      <c r="K622" s="459">
        <v>0</v>
      </c>
      <c r="L622" s="459">
        <v>5330889</v>
      </c>
      <c r="M622" s="459">
        <f t="shared" si="44"/>
        <v>5330889</v>
      </c>
      <c r="N622" s="461"/>
      <c r="O622" s="462"/>
      <c r="P622" s="462"/>
    </row>
    <row r="623" spans="2:16">
      <c r="B623" s="455" t="s">
        <v>581</v>
      </c>
      <c r="C623" s="456"/>
      <c r="D623" s="457"/>
      <c r="E623" s="458" t="s">
        <v>576</v>
      </c>
      <c r="F623" s="459"/>
      <c r="G623" s="459"/>
      <c r="H623" s="459"/>
      <c r="I623" s="459"/>
      <c r="J623" s="456">
        <v>44375</v>
      </c>
      <c r="K623" s="459">
        <v>0</v>
      </c>
      <c r="L623" s="459">
        <v>3731611</v>
      </c>
      <c r="M623" s="459">
        <f t="shared" si="44"/>
        <v>3731611</v>
      </c>
      <c r="N623" s="461"/>
      <c r="O623" s="462"/>
      <c r="P623" s="462"/>
    </row>
    <row r="624" spans="2:16">
      <c r="B624" s="455" t="s">
        <v>583</v>
      </c>
      <c r="C624" s="456"/>
      <c r="D624" s="457"/>
      <c r="E624" s="458" t="s">
        <v>576</v>
      </c>
      <c r="F624" s="459"/>
      <c r="G624" s="459"/>
      <c r="H624" s="459"/>
      <c r="I624" s="459"/>
      <c r="J624" s="456">
        <v>44377</v>
      </c>
      <c r="K624" s="459">
        <v>0</v>
      </c>
      <c r="L624" s="459">
        <v>112500</v>
      </c>
      <c r="M624" s="459">
        <f t="shared" si="44"/>
        <v>112500</v>
      </c>
      <c r="N624" s="461"/>
      <c r="O624" s="462"/>
      <c r="P624" s="462"/>
    </row>
    <row r="625" spans="2:16">
      <c r="B625" s="455" t="s">
        <v>575</v>
      </c>
      <c r="C625" s="456"/>
      <c r="D625" s="457"/>
      <c r="E625" s="458" t="s">
        <v>576</v>
      </c>
      <c r="F625" s="459"/>
      <c r="G625" s="459"/>
      <c r="H625" s="459"/>
      <c r="I625" s="459"/>
      <c r="J625" s="456">
        <v>44377</v>
      </c>
      <c r="K625" s="459">
        <v>0</v>
      </c>
      <c r="L625" s="459">
        <v>11137500</v>
      </c>
      <c r="M625" s="459">
        <f t="shared" si="44"/>
        <v>11137500</v>
      </c>
      <c r="N625" s="461"/>
      <c r="O625" s="462"/>
      <c r="P625" s="462"/>
    </row>
    <row r="626" spans="2:16">
      <c r="B626" s="467" t="s">
        <v>588</v>
      </c>
      <c r="C626" s="468"/>
      <c r="D626" s="469"/>
      <c r="E626" s="470"/>
      <c r="F626" s="459"/>
      <c r="G626" s="471">
        <f>(I803-H803)*1000000</f>
        <v>4491770.9999999711</v>
      </c>
      <c r="H626" s="465"/>
      <c r="I626" s="465"/>
      <c r="J626" s="472"/>
      <c r="K626" s="495"/>
      <c r="L626" s="495"/>
      <c r="M626" s="473"/>
      <c r="N626" s="461"/>
      <c r="O626" s="462"/>
      <c r="P626" s="462"/>
    </row>
    <row r="627" spans="2:16">
      <c r="B627" s="467" t="s">
        <v>589</v>
      </c>
      <c r="C627" s="468"/>
      <c r="D627" s="469"/>
      <c r="E627" s="470" t="s">
        <v>590</v>
      </c>
      <c r="F627" s="459">
        <f>SUBTOTAL(9,G627:H627)</f>
        <v>0</v>
      </c>
      <c r="G627" s="471"/>
      <c r="H627" s="465"/>
      <c r="I627" s="465"/>
      <c r="J627" s="472"/>
      <c r="K627" s="495"/>
      <c r="L627" s="495"/>
      <c r="M627" s="473"/>
      <c r="N627" s="461"/>
      <c r="O627" s="462"/>
      <c r="P627" s="462"/>
    </row>
    <row r="628" spans="2:16">
      <c r="B628" s="467" t="s">
        <v>591</v>
      </c>
      <c r="C628" s="468"/>
      <c r="D628" s="469"/>
      <c r="E628" s="470" t="s">
        <v>592</v>
      </c>
      <c r="F628" s="459">
        <f t="shared" ref="F628" si="45">SUBTOTAL(9,G628:H628)</f>
        <v>0</v>
      </c>
      <c r="G628" s="471"/>
      <c r="H628" s="465"/>
      <c r="I628" s="465"/>
      <c r="J628" s="472"/>
      <c r="K628" s="495"/>
      <c r="L628" s="495"/>
      <c r="M628" s="473"/>
      <c r="N628" s="461"/>
      <c r="O628" s="462"/>
      <c r="P628" s="462"/>
    </row>
    <row r="629" spans="2:16" ht="12.5">
      <c r="B629" s="938" t="s">
        <v>593</v>
      </c>
      <c r="C629" s="939"/>
      <c r="D629" s="939"/>
      <c r="E629" s="940"/>
      <c r="F629" s="941">
        <f>SUM(F567:F628)</f>
        <v>799500000</v>
      </c>
      <c r="G629" s="941">
        <f>SUM(G567:G628)</f>
        <v>803991771</v>
      </c>
      <c r="H629" s="941">
        <f>SUM(H567:H628)</f>
        <v>0</v>
      </c>
      <c r="I629" s="941">
        <f>SUM(I567:I628)</f>
        <v>799500000</v>
      </c>
      <c r="J629" s="941"/>
      <c r="K629" s="941">
        <f>SUM(K567:K628)</f>
        <v>439401496.25935161</v>
      </c>
      <c r="L629" s="941">
        <f>SUM(L567:L628)</f>
        <v>114002012.74064836</v>
      </c>
      <c r="M629" s="941">
        <f>SUM(M567:M628)</f>
        <v>553403509</v>
      </c>
      <c r="N629" s="942">
        <f>+G629-K629</f>
        <v>364590274.74064839</v>
      </c>
      <c r="O629" s="942">
        <f>+(I793-H793)*1000000</f>
        <v>-606379855.72923481</v>
      </c>
      <c r="P629" s="942">
        <f>N629-O629</f>
        <v>970970130.4698832</v>
      </c>
    </row>
    <row r="630" spans="2:16" ht="12.5">
      <c r="B630" s="455" t="s">
        <v>594</v>
      </c>
      <c r="C630" s="479">
        <v>44358</v>
      </c>
      <c r="D630" s="457">
        <v>1080</v>
      </c>
      <c r="E630" s="458" t="s">
        <v>576</v>
      </c>
      <c r="F630" s="459">
        <f t="shared" ref="F630" si="46">SUBTOTAL(9,G630:H630)</f>
        <v>340500000</v>
      </c>
      <c r="G630" s="459">
        <v>340500000</v>
      </c>
      <c r="H630" s="459">
        <v>0</v>
      </c>
      <c r="I630" s="459">
        <f t="shared" ref="I630" si="47">+G630+H630</f>
        <v>340500000</v>
      </c>
      <c r="J630" s="456"/>
      <c r="K630" s="459"/>
      <c r="L630" s="459"/>
      <c r="M630" s="459"/>
      <c r="N630" s="502"/>
      <c r="O630" s="503"/>
      <c r="P630" s="503"/>
    </row>
    <row r="631" spans="2:16" ht="12.5">
      <c r="B631" s="455" t="s">
        <v>594</v>
      </c>
      <c r="C631" s="479"/>
      <c r="D631" s="457"/>
      <c r="E631" s="458" t="s">
        <v>576</v>
      </c>
      <c r="F631" s="459"/>
      <c r="G631" s="459"/>
      <c r="H631" s="459"/>
      <c r="I631" s="459"/>
      <c r="J631" s="456">
        <v>44349</v>
      </c>
      <c r="K631" s="459">
        <v>0</v>
      </c>
      <c r="L631" s="459">
        <v>1232715</v>
      </c>
      <c r="M631" s="459">
        <f t="shared" ref="M631:M650" si="48">+K631+L631</f>
        <v>1232715</v>
      </c>
      <c r="N631" s="502"/>
      <c r="O631" s="503"/>
      <c r="P631" s="503"/>
    </row>
    <row r="632" spans="2:16" ht="12.5">
      <c r="B632" s="455" t="s">
        <v>594</v>
      </c>
      <c r="C632" s="479"/>
      <c r="D632" s="457"/>
      <c r="E632" s="458" t="s">
        <v>576</v>
      </c>
      <c r="F632" s="459"/>
      <c r="G632" s="459"/>
      <c r="H632" s="459"/>
      <c r="I632" s="459"/>
      <c r="J632" s="456">
        <v>44350</v>
      </c>
      <c r="K632" s="459">
        <v>0</v>
      </c>
      <c r="L632" s="459">
        <v>2937515</v>
      </c>
      <c r="M632" s="459">
        <f t="shared" si="48"/>
        <v>2937515</v>
      </c>
      <c r="N632" s="502"/>
      <c r="O632" s="503"/>
      <c r="P632" s="503"/>
    </row>
    <row r="633" spans="2:16" ht="12.5">
      <c r="B633" s="455" t="s">
        <v>594</v>
      </c>
      <c r="C633" s="479"/>
      <c r="D633" s="457"/>
      <c r="E633" s="458" t="s">
        <v>576</v>
      </c>
      <c r="F633" s="459"/>
      <c r="G633" s="459"/>
      <c r="H633" s="459"/>
      <c r="I633" s="459"/>
      <c r="J633" s="456">
        <v>44350</v>
      </c>
      <c r="K633" s="459">
        <v>0</v>
      </c>
      <c r="L633" s="459">
        <v>9187500</v>
      </c>
      <c r="M633" s="459">
        <f t="shared" si="48"/>
        <v>9187500</v>
      </c>
      <c r="N633" s="502"/>
      <c r="O633" s="503"/>
      <c r="P633" s="503"/>
    </row>
    <row r="634" spans="2:16" ht="12.5">
      <c r="B634" s="455" t="s">
        <v>594</v>
      </c>
      <c r="C634" s="479"/>
      <c r="D634" s="457"/>
      <c r="E634" s="458" t="s">
        <v>579</v>
      </c>
      <c r="F634" s="459"/>
      <c r="G634" s="459"/>
      <c r="H634" s="459"/>
      <c r="I634" s="459"/>
      <c r="J634" s="456">
        <v>44354</v>
      </c>
      <c r="K634" s="459">
        <v>59850374.06483791</v>
      </c>
      <c r="L634" s="459">
        <v>149625.93516208977</v>
      </c>
      <c r="M634" s="459">
        <f t="shared" si="48"/>
        <v>60000000</v>
      </c>
      <c r="N634" s="502"/>
      <c r="O634" s="503"/>
      <c r="P634" s="503"/>
    </row>
    <row r="635" spans="2:16" ht="12.5">
      <c r="B635" s="455" t="s">
        <v>594</v>
      </c>
      <c r="C635" s="479"/>
      <c r="D635" s="457"/>
      <c r="E635" s="458" t="s">
        <v>576</v>
      </c>
      <c r="F635" s="459"/>
      <c r="G635" s="459"/>
      <c r="H635" s="459"/>
      <c r="I635" s="459"/>
      <c r="J635" s="456">
        <v>44354</v>
      </c>
      <c r="K635" s="459">
        <v>0</v>
      </c>
      <c r="L635" s="459">
        <v>7425000</v>
      </c>
      <c r="M635" s="459">
        <f t="shared" si="48"/>
        <v>7425000</v>
      </c>
      <c r="N635" s="502"/>
      <c r="O635" s="503"/>
      <c r="P635" s="503"/>
    </row>
    <row r="636" spans="2:16" ht="12.5">
      <c r="B636" s="455" t="s">
        <v>594</v>
      </c>
      <c r="C636" s="479"/>
      <c r="D636" s="457"/>
      <c r="E636" s="458" t="s">
        <v>576</v>
      </c>
      <c r="F636" s="459"/>
      <c r="G636" s="459"/>
      <c r="H636" s="459"/>
      <c r="I636" s="459"/>
      <c r="J636" s="456">
        <v>44355</v>
      </c>
      <c r="K636" s="459">
        <v>0</v>
      </c>
      <c r="L636" s="459">
        <v>8694863</v>
      </c>
      <c r="M636" s="459">
        <f t="shared" si="48"/>
        <v>8694863</v>
      </c>
      <c r="N636" s="502"/>
      <c r="O636" s="503"/>
      <c r="P636" s="503"/>
    </row>
    <row r="637" spans="2:16" ht="12.5">
      <c r="B637" s="455" t="s">
        <v>594</v>
      </c>
      <c r="C637" s="479"/>
      <c r="D637" s="457"/>
      <c r="E637" s="458" t="s">
        <v>576</v>
      </c>
      <c r="F637" s="459"/>
      <c r="G637" s="459"/>
      <c r="H637" s="459"/>
      <c r="I637" s="459"/>
      <c r="J637" s="456">
        <v>44355</v>
      </c>
      <c r="K637" s="459">
        <v>0</v>
      </c>
      <c r="L637" s="459">
        <v>3324930</v>
      </c>
      <c r="M637" s="459">
        <f t="shared" si="48"/>
        <v>3324930</v>
      </c>
      <c r="N637" s="502"/>
      <c r="O637" s="503"/>
      <c r="P637" s="503"/>
    </row>
    <row r="638" spans="2:16" ht="12.5">
      <c r="B638" s="455" t="s">
        <v>594</v>
      </c>
      <c r="C638" s="479"/>
      <c r="D638" s="457"/>
      <c r="E638" s="458" t="s">
        <v>576</v>
      </c>
      <c r="F638" s="459"/>
      <c r="G638" s="459"/>
      <c r="H638" s="459"/>
      <c r="I638" s="459"/>
      <c r="J638" s="456">
        <v>44355</v>
      </c>
      <c r="K638" s="459">
        <v>300000000</v>
      </c>
      <c r="L638" s="459">
        <v>0</v>
      </c>
      <c r="M638" s="459">
        <f t="shared" si="48"/>
        <v>300000000</v>
      </c>
      <c r="N638" s="502"/>
      <c r="O638" s="503"/>
      <c r="P638" s="503"/>
    </row>
    <row r="639" spans="2:16" ht="12.5">
      <c r="B639" s="455" t="s">
        <v>594</v>
      </c>
      <c r="C639" s="479"/>
      <c r="D639" s="457"/>
      <c r="E639" s="458" t="s">
        <v>576</v>
      </c>
      <c r="F639" s="459"/>
      <c r="G639" s="459"/>
      <c r="H639" s="459"/>
      <c r="I639" s="459"/>
      <c r="J639" s="456">
        <v>44356</v>
      </c>
      <c r="K639" s="459">
        <v>0</v>
      </c>
      <c r="L639" s="459">
        <v>9187500</v>
      </c>
      <c r="M639" s="459">
        <f t="shared" si="48"/>
        <v>9187500</v>
      </c>
      <c r="N639" s="502"/>
      <c r="O639" s="503"/>
      <c r="P639" s="503"/>
    </row>
    <row r="640" spans="2:16" ht="12.5">
      <c r="B640" s="455" t="s">
        <v>594</v>
      </c>
      <c r="C640" s="479"/>
      <c r="D640" s="457"/>
      <c r="E640" s="458" t="s">
        <v>576</v>
      </c>
      <c r="F640" s="459"/>
      <c r="G640" s="459"/>
      <c r="H640" s="459"/>
      <c r="I640" s="459"/>
      <c r="J640" s="456">
        <v>44357</v>
      </c>
      <c r="K640" s="459">
        <v>0</v>
      </c>
      <c r="L640" s="459">
        <v>9000000</v>
      </c>
      <c r="M640" s="459">
        <f t="shared" si="48"/>
        <v>9000000</v>
      </c>
      <c r="N640" s="502"/>
      <c r="O640" s="503"/>
      <c r="P640" s="503"/>
    </row>
    <row r="641" spans="2:16" ht="12.5">
      <c r="B641" s="455" t="s">
        <v>594</v>
      </c>
      <c r="C641" s="479"/>
      <c r="D641" s="457"/>
      <c r="E641" s="458" t="s">
        <v>576</v>
      </c>
      <c r="F641" s="459"/>
      <c r="G641" s="459"/>
      <c r="H641" s="459"/>
      <c r="I641" s="459"/>
      <c r="J641" s="456">
        <v>44358</v>
      </c>
      <c r="K641" s="459">
        <v>0</v>
      </c>
      <c r="L641" s="459">
        <v>4312500</v>
      </c>
      <c r="M641" s="459">
        <f t="shared" si="48"/>
        <v>4312500</v>
      </c>
      <c r="N641" s="502"/>
      <c r="O641" s="503"/>
      <c r="P641" s="503"/>
    </row>
    <row r="642" spans="2:16" ht="12.5">
      <c r="B642" s="455" t="s">
        <v>594</v>
      </c>
      <c r="C642" s="479"/>
      <c r="D642" s="457"/>
      <c r="E642" s="458" t="s">
        <v>576</v>
      </c>
      <c r="F642" s="459"/>
      <c r="G642" s="459"/>
      <c r="H642" s="459"/>
      <c r="I642" s="459"/>
      <c r="J642" s="456">
        <v>44358</v>
      </c>
      <c r="K642" s="459">
        <v>0</v>
      </c>
      <c r="L642" s="459">
        <v>4220990</v>
      </c>
      <c r="M642" s="459">
        <f t="shared" si="48"/>
        <v>4220990</v>
      </c>
      <c r="N642" s="502"/>
      <c r="O642" s="503"/>
      <c r="P642" s="503"/>
    </row>
    <row r="643" spans="2:16" ht="12.5">
      <c r="B643" s="455" t="s">
        <v>594</v>
      </c>
      <c r="C643" s="479"/>
      <c r="D643" s="457"/>
      <c r="E643" s="458" t="s">
        <v>576</v>
      </c>
      <c r="F643" s="459"/>
      <c r="G643" s="459"/>
      <c r="H643" s="459"/>
      <c r="I643" s="459"/>
      <c r="J643" s="456">
        <v>44358</v>
      </c>
      <c r="K643" s="459">
        <v>0</v>
      </c>
      <c r="L643" s="459">
        <v>1451914</v>
      </c>
      <c r="M643" s="459">
        <f t="shared" si="48"/>
        <v>1451914</v>
      </c>
      <c r="N643" s="502"/>
      <c r="O643" s="503"/>
      <c r="P643" s="503"/>
    </row>
    <row r="644" spans="2:16" ht="12.5">
      <c r="B644" s="455" t="s">
        <v>594</v>
      </c>
      <c r="C644" s="479"/>
      <c r="D644" s="457"/>
      <c r="E644" s="458" t="s">
        <v>576</v>
      </c>
      <c r="F644" s="459"/>
      <c r="G644" s="459"/>
      <c r="H644" s="459"/>
      <c r="I644" s="459"/>
      <c r="J644" s="456">
        <v>44358</v>
      </c>
      <c r="K644" s="459">
        <v>0</v>
      </c>
      <c r="L644" s="459">
        <v>11790625</v>
      </c>
      <c r="M644" s="459">
        <f t="shared" si="48"/>
        <v>11790625</v>
      </c>
      <c r="N644" s="502"/>
      <c r="O644" s="503"/>
      <c r="P644" s="503"/>
    </row>
    <row r="645" spans="2:16" ht="12.5">
      <c r="B645" s="455" t="s">
        <v>594</v>
      </c>
      <c r="C645" s="479"/>
      <c r="D645" s="457"/>
      <c r="E645" s="458" t="s">
        <v>576</v>
      </c>
      <c r="F645" s="459"/>
      <c r="G645" s="459"/>
      <c r="H645" s="459"/>
      <c r="I645" s="459"/>
      <c r="J645" s="456">
        <v>44361</v>
      </c>
      <c r="K645" s="459">
        <v>0</v>
      </c>
      <c r="L645" s="459">
        <v>5020335</v>
      </c>
      <c r="M645" s="459">
        <f t="shared" si="48"/>
        <v>5020335</v>
      </c>
      <c r="N645" s="502"/>
      <c r="O645" s="503"/>
      <c r="P645" s="503"/>
    </row>
    <row r="646" spans="2:16" ht="12.5">
      <c r="B646" s="455" t="s">
        <v>594</v>
      </c>
      <c r="C646" s="479"/>
      <c r="D646" s="457"/>
      <c r="E646" s="458" t="s">
        <v>576</v>
      </c>
      <c r="F646" s="459"/>
      <c r="G646" s="459"/>
      <c r="H646" s="459"/>
      <c r="I646" s="459"/>
      <c r="J646" s="456">
        <v>44361</v>
      </c>
      <c r="K646" s="459">
        <v>0</v>
      </c>
      <c r="L646" s="459">
        <v>10421250</v>
      </c>
      <c r="M646" s="459">
        <f t="shared" si="48"/>
        <v>10421250</v>
      </c>
      <c r="N646" s="502"/>
      <c r="O646" s="503"/>
      <c r="P646" s="503"/>
    </row>
    <row r="647" spans="2:16" ht="12.5">
      <c r="B647" s="455" t="s">
        <v>594</v>
      </c>
      <c r="C647" s="479"/>
      <c r="D647" s="457"/>
      <c r="E647" s="458" t="s">
        <v>576</v>
      </c>
      <c r="F647" s="459"/>
      <c r="G647" s="459"/>
      <c r="H647" s="459"/>
      <c r="I647" s="459"/>
      <c r="J647" s="456">
        <v>44361</v>
      </c>
      <c r="K647" s="459">
        <v>0</v>
      </c>
      <c r="L647" s="459">
        <v>5083340</v>
      </c>
      <c r="M647" s="459">
        <f t="shared" si="48"/>
        <v>5083340</v>
      </c>
      <c r="N647" s="502"/>
      <c r="O647" s="503"/>
      <c r="P647" s="503"/>
    </row>
    <row r="648" spans="2:16" ht="12.5">
      <c r="B648" s="455" t="s">
        <v>594</v>
      </c>
      <c r="C648" s="479"/>
      <c r="D648" s="457"/>
      <c r="E648" s="458" t="s">
        <v>576</v>
      </c>
      <c r="F648" s="459"/>
      <c r="G648" s="459"/>
      <c r="H648" s="459"/>
      <c r="I648" s="459"/>
      <c r="J648" s="456">
        <v>44362</v>
      </c>
      <c r="K648" s="459">
        <v>0</v>
      </c>
      <c r="L648" s="459">
        <v>10912500</v>
      </c>
      <c r="M648" s="459">
        <f t="shared" si="48"/>
        <v>10912500</v>
      </c>
      <c r="N648" s="502"/>
      <c r="O648" s="503"/>
      <c r="P648" s="503"/>
    </row>
    <row r="649" spans="2:16" ht="12.5">
      <c r="B649" s="455" t="s">
        <v>594</v>
      </c>
      <c r="C649" s="479"/>
      <c r="D649" s="457"/>
      <c r="E649" s="458" t="s">
        <v>576</v>
      </c>
      <c r="F649" s="459"/>
      <c r="G649" s="459"/>
      <c r="H649" s="459"/>
      <c r="I649" s="459"/>
      <c r="J649" s="456">
        <v>44362</v>
      </c>
      <c r="K649" s="459">
        <v>0</v>
      </c>
      <c r="L649" s="459">
        <v>2281674</v>
      </c>
      <c r="M649" s="459">
        <f t="shared" si="48"/>
        <v>2281674</v>
      </c>
      <c r="N649" s="502"/>
      <c r="O649" s="503"/>
      <c r="P649" s="503"/>
    </row>
    <row r="650" spans="2:16" ht="12.5">
      <c r="B650" s="455" t="s">
        <v>594</v>
      </c>
      <c r="C650" s="479"/>
      <c r="D650" s="457"/>
      <c r="E650" s="458" t="s">
        <v>576</v>
      </c>
      <c r="F650" s="459"/>
      <c r="G650" s="459"/>
      <c r="H650" s="459"/>
      <c r="I650" s="459"/>
      <c r="J650" s="456">
        <v>44370</v>
      </c>
      <c r="K650" s="459">
        <v>0</v>
      </c>
      <c r="L650" s="459">
        <v>7656250</v>
      </c>
      <c r="M650" s="459">
        <f t="shared" si="48"/>
        <v>7656250</v>
      </c>
      <c r="N650" s="502"/>
      <c r="O650" s="503"/>
      <c r="P650" s="503"/>
    </row>
    <row r="651" spans="2:16" ht="12.5">
      <c r="B651" s="943" t="s">
        <v>595</v>
      </c>
      <c r="C651" s="944"/>
      <c r="D651" s="944"/>
      <c r="E651" s="945"/>
      <c r="F651" s="946">
        <f>SUM(F630:F650)</f>
        <v>340500000</v>
      </c>
      <c r="G651" s="946">
        <f>SUM(G630:G650)</f>
        <v>340500000</v>
      </c>
      <c r="H651" s="946">
        <f>SUM(H630:H650)</f>
        <v>0</v>
      </c>
      <c r="I651" s="946">
        <f>SUM(I630:I650)</f>
        <v>340500000</v>
      </c>
      <c r="J651" s="946"/>
      <c r="K651" s="946">
        <f>SUM(K631:K650)</f>
        <v>359850374.06483793</v>
      </c>
      <c r="L651" s="946">
        <f t="shared" ref="L651:M651" si="49">SUM(L631:L650)</f>
        <v>114291026.9351621</v>
      </c>
      <c r="M651" s="946">
        <f t="shared" si="49"/>
        <v>474141401</v>
      </c>
      <c r="N651" s="942">
        <f>+G651-K651</f>
        <v>-19350374.064837933</v>
      </c>
      <c r="O651" s="942"/>
      <c r="P651" s="942">
        <f>+N651-O651</f>
        <v>-19350374.064837933</v>
      </c>
    </row>
    <row r="652" spans="2:16">
      <c r="B652" s="455" t="s">
        <v>575</v>
      </c>
      <c r="C652" s="456">
        <v>44379</v>
      </c>
      <c r="D652" s="457">
        <v>2880</v>
      </c>
      <c r="E652" s="458" t="s">
        <v>576</v>
      </c>
      <c r="F652" s="459">
        <f t="shared" ref="F652:F656" si="50">SUBTOTAL(9,G652:H652)</f>
        <v>164367000</v>
      </c>
      <c r="G652" s="459">
        <v>164367000</v>
      </c>
      <c r="H652" s="459">
        <v>0</v>
      </c>
      <c r="I652" s="459">
        <f t="shared" ref="I652:I656" si="51">+G652+H652</f>
        <v>164367000</v>
      </c>
      <c r="J652" s="460"/>
      <c r="K652" s="460"/>
      <c r="L652" s="460"/>
      <c r="M652" s="459"/>
      <c r="N652" s="461"/>
      <c r="O652" s="462"/>
      <c r="P652" s="462"/>
    </row>
    <row r="653" spans="2:16">
      <c r="B653" s="455" t="s">
        <v>578</v>
      </c>
      <c r="C653" s="456">
        <v>44385</v>
      </c>
      <c r="D653" s="457">
        <v>150</v>
      </c>
      <c r="E653" s="458" t="s">
        <v>579</v>
      </c>
      <c r="F653" s="459">
        <f t="shared" si="50"/>
        <v>100000000</v>
      </c>
      <c r="G653" s="459">
        <v>99585062.240663901</v>
      </c>
      <c r="H653" s="459">
        <v>414937.75933609903</v>
      </c>
      <c r="I653" s="459">
        <f t="shared" si="51"/>
        <v>100000000</v>
      </c>
      <c r="J653" s="460"/>
      <c r="K653" s="460"/>
      <c r="L653" s="460"/>
      <c r="M653" s="459"/>
      <c r="N653" s="461"/>
      <c r="O653" s="462"/>
      <c r="P653" s="462"/>
    </row>
    <row r="654" spans="2:16">
      <c r="B654" s="455" t="s">
        <v>577</v>
      </c>
      <c r="C654" s="456">
        <v>44385</v>
      </c>
      <c r="D654" s="457">
        <v>150</v>
      </c>
      <c r="E654" s="458" t="s">
        <v>579</v>
      </c>
      <c r="F654" s="459">
        <f t="shared" si="50"/>
        <v>100000000</v>
      </c>
      <c r="G654" s="459">
        <v>99585062.240663901</v>
      </c>
      <c r="H654" s="459">
        <v>414937.75933609903</v>
      </c>
      <c r="I654" s="459">
        <f t="shared" si="51"/>
        <v>100000000</v>
      </c>
      <c r="J654" s="460"/>
      <c r="K654" s="460"/>
      <c r="L654" s="460"/>
      <c r="M654" s="459"/>
      <c r="N654" s="461"/>
      <c r="O654" s="462"/>
      <c r="P654" s="462"/>
    </row>
    <row r="655" spans="2:16">
      <c r="B655" s="455" t="s">
        <v>575</v>
      </c>
      <c r="C655" s="456">
        <v>44391</v>
      </c>
      <c r="D655" s="457">
        <v>2160</v>
      </c>
      <c r="E655" s="458" t="s">
        <v>576</v>
      </c>
      <c r="F655" s="459">
        <f t="shared" si="50"/>
        <v>150000000</v>
      </c>
      <c r="G655" s="459">
        <v>150000000</v>
      </c>
      <c r="H655" s="459">
        <v>0</v>
      </c>
      <c r="I655" s="459">
        <f t="shared" si="51"/>
        <v>150000000</v>
      </c>
      <c r="J655" s="460"/>
      <c r="K655" s="460"/>
      <c r="L655" s="460"/>
      <c r="M655" s="459"/>
      <c r="N655" s="461"/>
      <c r="O655" s="462"/>
      <c r="P655" s="462"/>
    </row>
    <row r="656" spans="2:16">
      <c r="B656" s="455" t="s">
        <v>577</v>
      </c>
      <c r="C656" s="456">
        <v>44397</v>
      </c>
      <c r="D656" s="457">
        <v>115</v>
      </c>
      <c r="E656" s="458" t="s">
        <v>579</v>
      </c>
      <c r="F656" s="459">
        <f t="shared" si="50"/>
        <v>129000000</v>
      </c>
      <c r="G656" s="459">
        <v>128563642.49811837</v>
      </c>
      <c r="H656" s="459">
        <v>436357.50188162923</v>
      </c>
      <c r="I656" s="459">
        <f t="shared" si="51"/>
        <v>129000000</v>
      </c>
      <c r="J656" s="460"/>
      <c r="K656" s="460"/>
      <c r="L656" s="460"/>
      <c r="M656" s="459"/>
      <c r="N656" s="461"/>
      <c r="O656" s="462"/>
      <c r="P656" s="462"/>
    </row>
    <row r="657" spans="2:16">
      <c r="B657" s="455" t="s">
        <v>1104</v>
      </c>
      <c r="C657" s="456"/>
      <c r="D657" s="457"/>
      <c r="E657" s="458" t="s">
        <v>576</v>
      </c>
      <c r="F657" s="459"/>
      <c r="G657" s="459"/>
      <c r="H657" s="459"/>
      <c r="I657" s="459"/>
      <c r="J657" s="456">
        <v>44378</v>
      </c>
      <c r="K657" s="459">
        <v>0</v>
      </c>
      <c r="L657" s="459">
        <v>21887800</v>
      </c>
      <c r="M657" s="459">
        <f t="shared" ref="M657:M720" si="52">+K657+L657</f>
        <v>21887800</v>
      </c>
      <c r="N657" s="461"/>
      <c r="O657" s="462"/>
      <c r="P657" s="462"/>
    </row>
    <row r="658" spans="2:16">
      <c r="B658" s="455" t="s">
        <v>575</v>
      </c>
      <c r="C658" s="456"/>
      <c r="D658" s="457"/>
      <c r="E658" s="458" t="s">
        <v>576</v>
      </c>
      <c r="F658" s="459"/>
      <c r="G658" s="459"/>
      <c r="H658" s="459"/>
      <c r="I658" s="459"/>
      <c r="J658" s="456">
        <v>44383</v>
      </c>
      <c r="K658" s="459">
        <v>0</v>
      </c>
      <c r="L658" s="459">
        <v>4668958</v>
      </c>
      <c r="M658" s="459">
        <f t="shared" si="52"/>
        <v>4668958</v>
      </c>
      <c r="N658" s="461"/>
      <c r="O658" s="462"/>
      <c r="P658" s="462"/>
    </row>
    <row r="659" spans="2:16">
      <c r="B659" s="455" t="s">
        <v>584</v>
      </c>
      <c r="C659" s="456"/>
      <c r="D659" s="457"/>
      <c r="E659" s="458" t="s">
        <v>576</v>
      </c>
      <c r="F659" s="459"/>
      <c r="G659" s="459"/>
      <c r="H659" s="459"/>
      <c r="I659" s="459"/>
      <c r="J659" s="456">
        <v>44383</v>
      </c>
      <c r="K659" s="459">
        <v>0</v>
      </c>
      <c r="L659" s="459">
        <v>36724</v>
      </c>
      <c r="M659" s="459">
        <f t="shared" si="52"/>
        <v>36724</v>
      </c>
      <c r="N659" s="461"/>
      <c r="O659" s="462"/>
      <c r="P659" s="462"/>
    </row>
    <row r="660" spans="2:16">
      <c r="B660" s="455" t="s">
        <v>580</v>
      </c>
      <c r="C660" s="456"/>
      <c r="D660" s="457"/>
      <c r="E660" s="458" t="s">
        <v>576</v>
      </c>
      <c r="F660" s="459"/>
      <c r="G660" s="459"/>
      <c r="H660" s="459"/>
      <c r="I660" s="459"/>
      <c r="J660" s="456">
        <v>44383</v>
      </c>
      <c r="K660" s="459">
        <v>0</v>
      </c>
      <c r="L660" s="459">
        <v>3632824</v>
      </c>
      <c r="M660" s="459">
        <f t="shared" si="52"/>
        <v>3632824</v>
      </c>
      <c r="N660" s="461"/>
      <c r="O660" s="462"/>
      <c r="P660" s="462"/>
    </row>
    <row r="661" spans="2:16">
      <c r="B661" s="455" t="s">
        <v>575</v>
      </c>
      <c r="C661" s="456"/>
      <c r="D661" s="457"/>
      <c r="E661" s="458" t="s">
        <v>576</v>
      </c>
      <c r="F661" s="459"/>
      <c r="G661" s="459"/>
      <c r="H661" s="459"/>
      <c r="I661" s="459"/>
      <c r="J661" s="456">
        <v>44384</v>
      </c>
      <c r="K661" s="459">
        <v>0</v>
      </c>
      <c r="L661" s="459">
        <v>7285725</v>
      </c>
      <c r="M661" s="459">
        <f t="shared" si="52"/>
        <v>7285725</v>
      </c>
      <c r="N661" s="461"/>
      <c r="O661" s="462"/>
      <c r="P661" s="462"/>
    </row>
    <row r="662" spans="2:16">
      <c r="B662" s="455" t="s">
        <v>577</v>
      </c>
      <c r="C662" s="456"/>
      <c r="D662" s="457"/>
      <c r="E662" s="458" t="s">
        <v>576</v>
      </c>
      <c r="F662" s="459"/>
      <c r="G662" s="459"/>
      <c r="H662" s="459"/>
      <c r="I662" s="459"/>
      <c r="J662" s="456">
        <v>44384</v>
      </c>
      <c r="K662" s="459">
        <v>0</v>
      </c>
      <c r="L662" s="459">
        <v>3214275</v>
      </c>
      <c r="M662" s="459">
        <f t="shared" si="52"/>
        <v>3214275</v>
      </c>
      <c r="N662" s="461"/>
      <c r="O662" s="462"/>
      <c r="P662" s="462"/>
    </row>
    <row r="663" spans="2:16">
      <c r="B663" s="455" t="s">
        <v>575</v>
      </c>
      <c r="C663" s="456"/>
      <c r="D663" s="457"/>
      <c r="E663" s="458" t="s">
        <v>579</v>
      </c>
      <c r="F663" s="459"/>
      <c r="G663" s="459"/>
      <c r="H663" s="459"/>
      <c r="I663" s="459"/>
      <c r="J663" s="456">
        <v>44389</v>
      </c>
      <c r="K663" s="771">
        <v>49750248.75621891</v>
      </c>
      <c r="L663" s="771">
        <v>248751.24378108978</v>
      </c>
      <c r="M663" s="771">
        <f t="shared" si="52"/>
        <v>49999000</v>
      </c>
      <c r="N663" s="461"/>
      <c r="O663" s="462"/>
      <c r="P663" s="462"/>
    </row>
    <row r="664" spans="2:16">
      <c r="B664" s="455" t="s">
        <v>580</v>
      </c>
      <c r="C664" s="456"/>
      <c r="D664" s="457"/>
      <c r="E664" s="458" t="s">
        <v>579</v>
      </c>
      <c r="F664" s="459"/>
      <c r="G664" s="459"/>
      <c r="H664" s="459"/>
      <c r="I664" s="459"/>
      <c r="J664" s="456">
        <v>44389</v>
      </c>
      <c r="K664" s="771">
        <v>49750248.75621891</v>
      </c>
      <c r="L664" s="771">
        <v>248751.24378108978</v>
      </c>
      <c r="M664" s="771">
        <f t="shared" si="52"/>
        <v>49999000</v>
      </c>
      <c r="N664" s="461"/>
      <c r="O664" s="462"/>
      <c r="P664" s="462"/>
    </row>
    <row r="665" spans="2:16">
      <c r="B665" s="455" t="s">
        <v>578</v>
      </c>
      <c r="C665" s="456"/>
      <c r="D665" s="457"/>
      <c r="E665" s="458" t="s">
        <v>579</v>
      </c>
      <c r="F665" s="459"/>
      <c r="G665" s="459"/>
      <c r="H665" s="459"/>
      <c r="I665" s="459"/>
      <c r="J665" s="456">
        <v>44389</v>
      </c>
      <c r="K665" s="771">
        <v>49756218.905472644</v>
      </c>
      <c r="L665" s="771">
        <v>248781.09452735633</v>
      </c>
      <c r="M665" s="771">
        <f t="shared" si="52"/>
        <v>50005000</v>
      </c>
      <c r="N665" s="461"/>
      <c r="O665" s="462"/>
      <c r="P665" s="462"/>
    </row>
    <row r="666" spans="2:16">
      <c r="B666" s="455" t="s">
        <v>577</v>
      </c>
      <c r="C666" s="456"/>
      <c r="D666" s="457"/>
      <c r="E666" s="458" t="s">
        <v>579</v>
      </c>
      <c r="F666" s="459"/>
      <c r="G666" s="459"/>
      <c r="H666" s="459"/>
      <c r="I666" s="459"/>
      <c r="J666" s="456">
        <v>44389</v>
      </c>
      <c r="K666" s="771">
        <v>49750248.75621891</v>
      </c>
      <c r="L666" s="771">
        <v>248751.24378108978</v>
      </c>
      <c r="M666" s="771">
        <f t="shared" si="52"/>
        <v>49999000</v>
      </c>
      <c r="N666" s="461"/>
      <c r="O666" s="462"/>
      <c r="P666" s="462"/>
    </row>
    <row r="667" spans="2:16">
      <c r="B667" s="455" t="s">
        <v>581</v>
      </c>
      <c r="C667" s="456"/>
      <c r="D667" s="457"/>
      <c r="E667" s="458" t="s">
        <v>579</v>
      </c>
      <c r="F667" s="459"/>
      <c r="G667" s="459"/>
      <c r="H667" s="459"/>
      <c r="I667" s="459"/>
      <c r="J667" s="456">
        <v>44389</v>
      </c>
      <c r="K667" s="771">
        <v>49750248.75621891</v>
      </c>
      <c r="L667" s="771">
        <v>248751.24378108978</v>
      </c>
      <c r="M667" s="771">
        <f t="shared" si="52"/>
        <v>49999000</v>
      </c>
      <c r="N667" s="461"/>
      <c r="O667" s="462"/>
      <c r="P667" s="462"/>
    </row>
    <row r="668" spans="2:16">
      <c r="B668" s="455" t="s">
        <v>577</v>
      </c>
      <c r="C668" s="456"/>
      <c r="D668" s="457"/>
      <c r="E668" s="458" t="s">
        <v>576</v>
      </c>
      <c r="F668" s="459"/>
      <c r="G668" s="459"/>
      <c r="H668" s="459"/>
      <c r="I668" s="459"/>
      <c r="J668" s="456">
        <v>44389</v>
      </c>
      <c r="K668" s="459">
        <v>0</v>
      </c>
      <c r="L668" s="459">
        <v>3844688</v>
      </c>
      <c r="M668" s="459">
        <f t="shared" si="52"/>
        <v>3844688</v>
      </c>
      <c r="N668" s="461"/>
      <c r="O668" s="462"/>
      <c r="P668" s="462"/>
    </row>
    <row r="669" spans="2:16">
      <c r="B669" s="455" t="s">
        <v>582</v>
      </c>
      <c r="C669" s="456"/>
      <c r="D669" s="457"/>
      <c r="E669" s="458" t="s">
        <v>576</v>
      </c>
      <c r="F669" s="459"/>
      <c r="G669" s="459"/>
      <c r="H669" s="459"/>
      <c r="I669" s="459"/>
      <c r="J669" s="456">
        <v>44389</v>
      </c>
      <c r="K669" s="459">
        <v>0</v>
      </c>
      <c r="L669" s="459">
        <v>33281</v>
      </c>
      <c r="M669" s="459">
        <f t="shared" si="52"/>
        <v>33281</v>
      </c>
      <c r="N669" s="461"/>
      <c r="O669" s="462"/>
      <c r="P669" s="462"/>
    </row>
    <row r="670" spans="2:16">
      <c r="B670" s="455" t="s">
        <v>582</v>
      </c>
      <c r="C670" s="456"/>
      <c r="D670" s="457"/>
      <c r="E670" s="458" t="s">
        <v>576</v>
      </c>
      <c r="F670" s="459"/>
      <c r="G670" s="459"/>
      <c r="H670" s="459"/>
      <c r="I670" s="459"/>
      <c r="J670" s="456">
        <v>44389</v>
      </c>
      <c r="K670" s="459">
        <v>0</v>
      </c>
      <c r="L670" s="459">
        <v>6672</v>
      </c>
      <c r="M670" s="459">
        <f t="shared" si="52"/>
        <v>6672</v>
      </c>
      <c r="N670" s="461"/>
      <c r="O670" s="462"/>
      <c r="P670" s="462"/>
    </row>
    <row r="671" spans="2:16">
      <c r="B671" s="455" t="s">
        <v>575</v>
      </c>
      <c r="C671" s="456"/>
      <c r="D671" s="457"/>
      <c r="E671" s="458" t="s">
        <v>576</v>
      </c>
      <c r="F671" s="459"/>
      <c r="G671" s="459"/>
      <c r="H671" s="459"/>
      <c r="I671" s="459"/>
      <c r="J671" s="456">
        <v>44389</v>
      </c>
      <c r="K671" s="459">
        <v>0</v>
      </c>
      <c r="L671" s="459">
        <v>6343768</v>
      </c>
      <c r="M671" s="459">
        <f t="shared" si="52"/>
        <v>6343768</v>
      </c>
      <c r="N671" s="461"/>
      <c r="O671" s="462"/>
      <c r="P671" s="462"/>
    </row>
    <row r="672" spans="2:16">
      <c r="B672" s="455" t="s">
        <v>586</v>
      </c>
      <c r="C672" s="456"/>
      <c r="D672" s="457"/>
      <c r="E672" s="458" t="s">
        <v>576</v>
      </c>
      <c r="F672" s="459"/>
      <c r="G672" s="459"/>
      <c r="H672" s="459"/>
      <c r="I672" s="459"/>
      <c r="J672" s="456">
        <v>44389</v>
      </c>
      <c r="K672" s="459">
        <v>0</v>
      </c>
      <c r="L672" s="459">
        <v>11094</v>
      </c>
      <c r="M672" s="459">
        <f t="shared" si="52"/>
        <v>11094</v>
      </c>
      <c r="N672" s="461"/>
      <c r="O672" s="462"/>
      <c r="P672" s="462"/>
    </row>
    <row r="673" spans="2:16">
      <c r="B673" s="455" t="s">
        <v>575</v>
      </c>
      <c r="C673" s="456"/>
      <c r="D673" s="457"/>
      <c r="E673" s="458" t="s">
        <v>576</v>
      </c>
      <c r="F673" s="459"/>
      <c r="G673" s="459"/>
      <c r="H673" s="459"/>
      <c r="I673" s="459"/>
      <c r="J673" s="456">
        <v>44389</v>
      </c>
      <c r="K673" s="459">
        <v>0</v>
      </c>
      <c r="L673" s="459">
        <v>1887188</v>
      </c>
      <c r="M673" s="459">
        <f t="shared" si="52"/>
        <v>1887188</v>
      </c>
      <c r="N673" s="461"/>
      <c r="O673" s="462"/>
      <c r="P673" s="462"/>
    </row>
    <row r="674" spans="2:16">
      <c r="B674" s="455" t="s">
        <v>575</v>
      </c>
      <c r="C674" s="456"/>
      <c r="D674" s="457"/>
      <c r="E674" s="458" t="s">
        <v>576</v>
      </c>
      <c r="F674" s="459"/>
      <c r="G674" s="459"/>
      <c r="H674" s="459"/>
      <c r="I674" s="459"/>
      <c r="J674" s="456">
        <v>44389</v>
      </c>
      <c r="K674" s="459">
        <v>0</v>
      </c>
      <c r="L674" s="459">
        <v>10625000</v>
      </c>
      <c r="M674" s="459">
        <f t="shared" si="52"/>
        <v>10625000</v>
      </c>
      <c r="N674" s="461"/>
      <c r="O674" s="462"/>
      <c r="P674" s="462"/>
    </row>
    <row r="675" spans="2:16">
      <c r="B675" s="455" t="s">
        <v>575</v>
      </c>
      <c r="C675" s="456"/>
      <c r="D675" s="457"/>
      <c r="E675" s="458" t="s">
        <v>576</v>
      </c>
      <c r="F675" s="459"/>
      <c r="G675" s="459"/>
      <c r="H675" s="459"/>
      <c r="I675" s="459"/>
      <c r="J675" s="456">
        <v>44389</v>
      </c>
      <c r="K675" s="459">
        <v>0</v>
      </c>
      <c r="L675" s="459">
        <v>9010938</v>
      </c>
      <c r="M675" s="459">
        <f t="shared" si="52"/>
        <v>9010938</v>
      </c>
      <c r="N675" s="461"/>
      <c r="O675" s="462"/>
      <c r="P675" s="462"/>
    </row>
    <row r="676" spans="2:16">
      <c r="B676" s="455" t="s">
        <v>585</v>
      </c>
      <c r="C676" s="456"/>
      <c r="D676" s="457"/>
      <c r="E676" s="458" t="s">
        <v>576</v>
      </c>
      <c r="F676" s="459"/>
      <c r="G676" s="459"/>
      <c r="H676" s="459"/>
      <c r="I676" s="459"/>
      <c r="J676" s="456">
        <v>44389</v>
      </c>
      <c r="K676" s="459">
        <v>0</v>
      </c>
      <c r="L676" s="459">
        <v>6541208</v>
      </c>
      <c r="M676" s="459">
        <f t="shared" si="52"/>
        <v>6541208</v>
      </c>
      <c r="N676" s="461"/>
      <c r="O676" s="462"/>
      <c r="P676" s="462"/>
    </row>
    <row r="677" spans="2:16">
      <c r="B677" s="455" t="s">
        <v>577</v>
      </c>
      <c r="C677" s="456"/>
      <c r="D677" s="457"/>
      <c r="E677" s="458" t="s">
        <v>576</v>
      </c>
      <c r="F677" s="459"/>
      <c r="G677" s="459"/>
      <c r="H677" s="459"/>
      <c r="I677" s="459"/>
      <c r="J677" s="456">
        <v>44390</v>
      </c>
      <c r="K677" s="459">
        <v>0</v>
      </c>
      <c r="L677" s="459">
        <v>9197650</v>
      </c>
      <c r="M677" s="459">
        <f t="shared" si="52"/>
        <v>9197650</v>
      </c>
      <c r="N677" s="461"/>
      <c r="O677" s="462"/>
      <c r="P677" s="462"/>
    </row>
    <row r="678" spans="2:16">
      <c r="B678" s="455" t="s">
        <v>582</v>
      </c>
      <c r="C678" s="456"/>
      <c r="D678" s="457"/>
      <c r="E678" s="458" t="s">
        <v>576</v>
      </c>
      <c r="F678" s="459"/>
      <c r="G678" s="459"/>
      <c r="H678" s="459"/>
      <c r="I678" s="459"/>
      <c r="J678" s="456">
        <v>44390</v>
      </c>
      <c r="K678" s="459">
        <v>0</v>
      </c>
      <c r="L678" s="459">
        <v>108281</v>
      </c>
      <c r="M678" s="459">
        <f t="shared" si="52"/>
        <v>108281</v>
      </c>
      <c r="N678" s="461"/>
      <c r="O678" s="462"/>
      <c r="P678" s="462"/>
    </row>
    <row r="679" spans="2:16">
      <c r="B679" s="455" t="s">
        <v>582</v>
      </c>
      <c r="C679" s="456"/>
      <c r="D679" s="457"/>
      <c r="E679" s="458" t="s">
        <v>576</v>
      </c>
      <c r="F679" s="459"/>
      <c r="G679" s="459"/>
      <c r="H679" s="459"/>
      <c r="I679" s="459"/>
      <c r="J679" s="456">
        <v>44391</v>
      </c>
      <c r="K679" s="459">
        <v>0</v>
      </c>
      <c r="L679" s="459">
        <v>140625</v>
      </c>
      <c r="M679" s="459">
        <f t="shared" si="52"/>
        <v>140625</v>
      </c>
      <c r="N679" s="461"/>
      <c r="O679" s="462"/>
      <c r="P679" s="462"/>
    </row>
    <row r="680" spans="2:16">
      <c r="B680" s="455" t="s">
        <v>582</v>
      </c>
      <c r="C680" s="456"/>
      <c r="D680" s="457"/>
      <c r="E680" s="458" t="s">
        <v>576</v>
      </c>
      <c r="F680" s="459"/>
      <c r="G680" s="459"/>
      <c r="H680" s="459"/>
      <c r="I680" s="459"/>
      <c r="J680" s="456">
        <v>44391</v>
      </c>
      <c r="K680" s="459">
        <v>0</v>
      </c>
      <c r="L680" s="459">
        <v>2813</v>
      </c>
      <c r="M680" s="459">
        <f t="shared" si="52"/>
        <v>2813</v>
      </c>
      <c r="N680" s="461"/>
      <c r="O680" s="462"/>
      <c r="P680" s="462"/>
    </row>
    <row r="681" spans="2:16">
      <c r="B681" s="455" t="s">
        <v>586</v>
      </c>
      <c r="C681" s="456"/>
      <c r="D681" s="457"/>
      <c r="E681" s="458" t="s">
        <v>576</v>
      </c>
      <c r="F681" s="459"/>
      <c r="G681" s="459"/>
      <c r="H681" s="459"/>
      <c r="I681" s="459"/>
      <c r="J681" s="456">
        <v>44391</v>
      </c>
      <c r="K681" s="459">
        <v>0</v>
      </c>
      <c r="L681" s="459">
        <v>38125</v>
      </c>
      <c r="M681" s="459">
        <f t="shared" si="52"/>
        <v>38125</v>
      </c>
      <c r="N681" s="461"/>
      <c r="O681" s="462"/>
      <c r="P681" s="462"/>
    </row>
    <row r="682" spans="2:16">
      <c r="B682" s="455" t="s">
        <v>586</v>
      </c>
      <c r="C682" s="456"/>
      <c r="D682" s="457"/>
      <c r="E682" s="458" t="s">
        <v>576</v>
      </c>
      <c r="F682" s="459"/>
      <c r="G682" s="459"/>
      <c r="H682" s="459"/>
      <c r="I682" s="459"/>
      <c r="J682" s="456">
        <v>44391</v>
      </c>
      <c r="K682" s="459">
        <v>0</v>
      </c>
      <c r="L682" s="459">
        <v>32406</v>
      </c>
      <c r="M682" s="459">
        <f t="shared" si="52"/>
        <v>32406</v>
      </c>
      <c r="N682" s="461"/>
      <c r="O682" s="462"/>
      <c r="P682" s="462"/>
    </row>
    <row r="683" spans="2:16">
      <c r="B683" s="455" t="s">
        <v>585</v>
      </c>
      <c r="C683" s="456"/>
      <c r="D683" s="457"/>
      <c r="E683" s="458" t="s">
        <v>576</v>
      </c>
      <c r="F683" s="459"/>
      <c r="G683" s="459"/>
      <c r="H683" s="459"/>
      <c r="I683" s="459"/>
      <c r="J683" s="456">
        <v>44391</v>
      </c>
      <c r="K683" s="459">
        <v>0</v>
      </c>
      <c r="L683" s="459">
        <v>6115247</v>
      </c>
      <c r="M683" s="459">
        <f t="shared" si="52"/>
        <v>6115247</v>
      </c>
      <c r="N683" s="461"/>
      <c r="O683" s="462"/>
      <c r="P683" s="462"/>
    </row>
    <row r="684" spans="2:16">
      <c r="B684" s="455" t="s">
        <v>582</v>
      </c>
      <c r="C684" s="456"/>
      <c r="D684" s="457"/>
      <c r="E684" s="458" t="s">
        <v>576</v>
      </c>
      <c r="F684" s="459"/>
      <c r="G684" s="459"/>
      <c r="H684" s="459"/>
      <c r="I684" s="459"/>
      <c r="J684" s="456">
        <v>44392</v>
      </c>
      <c r="K684" s="459">
        <v>0</v>
      </c>
      <c r="L684" s="459">
        <v>514063</v>
      </c>
      <c r="M684" s="459">
        <f t="shared" si="52"/>
        <v>514063</v>
      </c>
      <c r="N684" s="461"/>
      <c r="O684" s="462"/>
      <c r="P684" s="462"/>
    </row>
    <row r="685" spans="2:16">
      <c r="B685" s="455" t="s">
        <v>583</v>
      </c>
      <c r="C685" s="456"/>
      <c r="D685" s="457"/>
      <c r="E685" s="458" t="s">
        <v>576</v>
      </c>
      <c r="F685" s="459"/>
      <c r="G685" s="459"/>
      <c r="H685" s="459"/>
      <c r="I685" s="459"/>
      <c r="J685" s="456">
        <v>44392</v>
      </c>
      <c r="K685" s="459">
        <v>0</v>
      </c>
      <c r="L685" s="459">
        <v>220313</v>
      </c>
      <c r="M685" s="459">
        <f t="shared" si="52"/>
        <v>220313</v>
      </c>
      <c r="N685" s="461"/>
      <c r="O685" s="462"/>
      <c r="P685" s="462"/>
    </row>
    <row r="686" spans="2:16">
      <c r="B686" s="455" t="s">
        <v>577</v>
      </c>
      <c r="C686" s="456"/>
      <c r="D686" s="457"/>
      <c r="E686" s="458" t="s">
        <v>576</v>
      </c>
      <c r="F686" s="459"/>
      <c r="G686" s="459"/>
      <c r="H686" s="459"/>
      <c r="I686" s="459"/>
      <c r="J686" s="456">
        <v>44392</v>
      </c>
      <c r="K686" s="459">
        <v>0</v>
      </c>
      <c r="L686" s="459">
        <v>581273</v>
      </c>
      <c r="M686" s="459">
        <f t="shared" si="52"/>
        <v>581273</v>
      </c>
      <c r="N686" s="461"/>
      <c r="O686" s="462"/>
      <c r="P686" s="462"/>
    </row>
    <row r="687" spans="2:16">
      <c r="B687" s="455" t="s">
        <v>575</v>
      </c>
      <c r="C687" s="456"/>
      <c r="D687" s="457"/>
      <c r="E687" s="458" t="s">
        <v>576</v>
      </c>
      <c r="F687" s="459"/>
      <c r="G687" s="459"/>
      <c r="H687" s="459"/>
      <c r="I687" s="459"/>
      <c r="J687" s="456">
        <v>44392</v>
      </c>
      <c r="K687" s="459">
        <v>0</v>
      </c>
      <c r="L687" s="459">
        <v>2955360</v>
      </c>
      <c r="M687" s="459">
        <f t="shared" si="52"/>
        <v>2955360</v>
      </c>
      <c r="N687" s="461"/>
      <c r="O687" s="462"/>
      <c r="P687" s="462"/>
    </row>
    <row r="688" spans="2:16">
      <c r="B688" s="455" t="s">
        <v>578</v>
      </c>
      <c r="C688" s="456"/>
      <c r="D688" s="457"/>
      <c r="E688" s="458" t="s">
        <v>576</v>
      </c>
      <c r="F688" s="459"/>
      <c r="G688" s="459"/>
      <c r="H688" s="459"/>
      <c r="I688" s="459"/>
      <c r="J688" s="456">
        <v>44392</v>
      </c>
      <c r="K688" s="459">
        <v>0</v>
      </c>
      <c r="L688" s="459">
        <v>632561</v>
      </c>
      <c r="M688" s="459">
        <f t="shared" si="52"/>
        <v>632561</v>
      </c>
      <c r="N688" s="461"/>
      <c r="O688" s="462"/>
      <c r="P688" s="462"/>
    </row>
    <row r="689" spans="2:16">
      <c r="B689" s="455" t="s">
        <v>577</v>
      </c>
      <c r="C689" s="456"/>
      <c r="D689" s="457"/>
      <c r="E689" s="458" t="s">
        <v>576</v>
      </c>
      <c r="F689" s="459"/>
      <c r="G689" s="459"/>
      <c r="H689" s="459"/>
      <c r="I689" s="459"/>
      <c r="J689" s="456">
        <v>44393</v>
      </c>
      <c r="K689" s="459">
        <v>0</v>
      </c>
      <c r="L689" s="459">
        <v>2832031</v>
      </c>
      <c r="M689" s="459">
        <f t="shared" si="52"/>
        <v>2832031</v>
      </c>
      <c r="N689" s="461"/>
      <c r="O689" s="462"/>
      <c r="P689" s="462"/>
    </row>
    <row r="690" spans="2:16">
      <c r="B690" s="455" t="s">
        <v>580</v>
      </c>
      <c r="C690" s="456"/>
      <c r="D690" s="457"/>
      <c r="E690" s="458" t="s">
        <v>576</v>
      </c>
      <c r="F690" s="459"/>
      <c r="G690" s="459"/>
      <c r="H690" s="459"/>
      <c r="I690" s="459"/>
      <c r="J690" s="456">
        <v>44393</v>
      </c>
      <c r="K690" s="459">
        <v>0</v>
      </c>
      <c r="L690" s="459">
        <v>3398438</v>
      </c>
      <c r="M690" s="459">
        <f t="shared" si="52"/>
        <v>3398438</v>
      </c>
      <c r="N690" s="461"/>
      <c r="O690" s="462"/>
      <c r="P690" s="462"/>
    </row>
    <row r="691" spans="2:16">
      <c r="B691" s="455" t="s">
        <v>577</v>
      </c>
      <c r="C691" s="456"/>
      <c r="D691" s="457"/>
      <c r="E691" s="458" t="s">
        <v>576</v>
      </c>
      <c r="F691" s="459"/>
      <c r="G691" s="459"/>
      <c r="H691" s="459"/>
      <c r="I691" s="459"/>
      <c r="J691" s="456">
        <v>44396</v>
      </c>
      <c r="K691" s="459">
        <v>0</v>
      </c>
      <c r="L691" s="459">
        <v>3252111</v>
      </c>
      <c r="M691" s="459">
        <f t="shared" si="52"/>
        <v>3252111</v>
      </c>
      <c r="N691" s="461"/>
      <c r="O691" s="462"/>
      <c r="P691" s="462"/>
    </row>
    <row r="692" spans="2:16">
      <c r="B692" s="455" t="s">
        <v>585</v>
      </c>
      <c r="C692" s="456"/>
      <c r="D692" s="457"/>
      <c r="E692" s="458" t="s">
        <v>576</v>
      </c>
      <c r="F692" s="459"/>
      <c r="G692" s="459"/>
      <c r="H692" s="459"/>
      <c r="I692" s="459"/>
      <c r="J692" s="456">
        <v>44396</v>
      </c>
      <c r="K692" s="459">
        <v>0</v>
      </c>
      <c r="L692" s="459">
        <v>1710759</v>
      </c>
      <c r="M692" s="459">
        <f t="shared" si="52"/>
        <v>1710759</v>
      </c>
      <c r="N692" s="461"/>
      <c r="O692" s="462"/>
      <c r="P692" s="462"/>
    </row>
    <row r="693" spans="2:16">
      <c r="B693" s="455" t="s">
        <v>580</v>
      </c>
      <c r="C693" s="456"/>
      <c r="D693" s="457"/>
      <c r="E693" s="458" t="s">
        <v>576</v>
      </c>
      <c r="F693" s="459"/>
      <c r="G693" s="459"/>
      <c r="H693" s="459"/>
      <c r="I693" s="459"/>
      <c r="J693" s="456">
        <v>44396</v>
      </c>
      <c r="K693" s="459">
        <v>0</v>
      </c>
      <c r="L693" s="459">
        <v>2599133</v>
      </c>
      <c r="M693" s="459">
        <f t="shared" si="52"/>
        <v>2599133</v>
      </c>
      <c r="N693" s="461"/>
      <c r="O693" s="462"/>
      <c r="P693" s="462"/>
    </row>
    <row r="694" spans="2:16">
      <c r="B694" s="455" t="s">
        <v>585</v>
      </c>
      <c r="C694" s="456"/>
      <c r="D694" s="457"/>
      <c r="E694" s="458" t="s">
        <v>576</v>
      </c>
      <c r="F694" s="459"/>
      <c r="G694" s="459"/>
      <c r="H694" s="459"/>
      <c r="I694" s="459"/>
      <c r="J694" s="456">
        <v>44396</v>
      </c>
      <c r="K694" s="466">
        <v>84222000</v>
      </c>
      <c r="L694" s="466">
        <v>0</v>
      </c>
      <c r="M694" s="466">
        <f t="shared" si="52"/>
        <v>84222000</v>
      </c>
      <c r="N694" s="461"/>
      <c r="O694" s="462"/>
      <c r="P694" s="462"/>
    </row>
    <row r="695" spans="2:16">
      <c r="B695" s="455" t="s">
        <v>586</v>
      </c>
      <c r="C695" s="456"/>
      <c r="D695" s="457"/>
      <c r="E695" s="458" t="s">
        <v>576</v>
      </c>
      <c r="F695" s="459"/>
      <c r="G695" s="459"/>
      <c r="H695" s="459"/>
      <c r="I695" s="459"/>
      <c r="J695" s="456">
        <v>44396</v>
      </c>
      <c r="K695" s="466">
        <v>44635000</v>
      </c>
      <c r="L695" s="466">
        <v>0</v>
      </c>
      <c r="M695" s="466">
        <f t="shared" si="52"/>
        <v>44635000</v>
      </c>
      <c r="N695" s="461"/>
      <c r="O695" s="462"/>
      <c r="P695" s="462"/>
    </row>
    <row r="696" spans="2:16">
      <c r="B696" s="455" t="s">
        <v>582</v>
      </c>
      <c r="C696" s="456"/>
      <c r="D696" s="457"/>
      <c r="E696" s="458" t="s">
        <v>576</v>
      </c>
      <c r="F696" s="459"/>
      <c r="G696" s="459"/>
      <c r="H696" s="459"/>
      <c r="I696" s="459"/>
      <c r="J696" s="456">
        <v>44396</v>
      </c>
      <c r="K696" s="466">
        <v>36983000</v>
      </c>
      <c r="L696" s="466">
        <v>0</v>
      </c>
      <c r="M696" s="466">
        <f t="shared" si="52"/>
        <v>36983000</v>
      </c>
      <c r="N696" s="461"/>
      <c r="O696" s="462"/>
      <c r="P696" s="462"/>
    </row>
    <row r="697" spans="2:16">
      <c r="B697" s="455" t="s">
        <v>582</v>
      </c>
      <c r="C697" s="456"/>
      <c r="D697" s="457"/>
      <c r="E697" s="458" t="s">
        <v>576</v>
      </c>
      <c r="F697" s="459"/>
      <c r="G697" s="459"/>
      <c r="H697" s="459"/>
      <c r="I697" s="459"/>
      <c r="J697" s="456">
        <v>44396</v>
      </c>
      <c r="K697" s="459">
        <v>0</v>
      </c>
      <c r="L697" s="459">
        <v>751217</v>
      </c>
      <c r="M697" s="459">
        <f t="shared" si="52"/>
        <v>751217</v>
      </c>
      <c r="N697" s="461"/>
      <c r="O697" s="462"/>
      <c r="P697" s="462"/>
    </row>
    <row r="698" spans="2:16">
      <c r="B698" s="455" t="s">
        <v>583</v>
      </c>
      <c r="C698" s="456"/>
      <c r="D698" s="457"/>
      <c r="E698" s="458" t="s">
        <v>576</v>
      </c>
      <c r="F698" s="459"/>
      <c r="G698" s="459"/>
      <c r="H698" s="459"/>
      <c r="I698" s="459"/>
      <c r="J698" s="456">
        <v>44396</v>
      </c>
      <c r="K698" s="466">
        <v>18382000</v>
      </c>
      <c r="L698" s="466">
        <v>0</v>
      </c>
      <c r="M698" s="466">
        <f t="shared" si="52"/>
        <v>18382000</v>
      </c>
      <c r="N698" s="461"/>
      <c r="O698" s="462"/>
      <c r="P698" s="462"/>
    </row>
    <row r="699" spans="2:16">
      <c r="B699" s="455" t="s">
        <v>583</v>
      </c>
      <c r="C699" s="456"/>
      <c r="D699" s="457"/>
      <c r="E699" s="458" t="s">
        <v>576</v>
      </c>
      <c r="F699" s="459"/>
      <c r="G699" s="459"/>
      <c r="H699" s="459"/>
      <c r="I699" s="459"/>
      <c r="J699" s="456">
        <v>44396</v>
      </c>
      <c r="K699" s="459">
        <v>0</v>
      </c>
      <c r="L699" s="459">
        <v>373384</v>
      </c>
      <c r="M699" s="459">
        <f t="shared" si="52"/>
        <v>373384</v>
      </c>
      <c r="N699" s="461"/>
      <c r="O699" s="462"/>
      <c r="P699" s="462"/>
    </row>
    <row r="700" spans="2:16">
      <c r="B700" s="455" t="s">
        <v>575</v>
      </c>
      <c r="C700" s="456"/>
      <c r="D700" s="457"/>
      <c r="E700" s="458" t="s">
        <v>576</v>
      </c>
      <c r="F700" s="459"/>
      <c r="G700" s="459"/>
      <c r="H700" s="459"/>
      <c r="I700" s="459"/>
      <c r="J700" s="456">
        <v>44396</v>
      </c>
      <c r="K700" s="459">
        <v>0</v>
      </c>
      <c r="L700" s="459">
        <v>7685397</v>
      </c>
      <c r="M700" s="459">
        <f t="shared" si="52"/>
        <v>7685397</v>
      </c>
      <c r="N700" s="461"/>
      <c r="O700" s="462"/>
      <c r="P700" s="462"/>
    </row>
    <row r="701" spans="2:16">
      <c r="B701" s="455" t="s">
        <v>586</v>
      </c>
      <c r="C701" s="456"/>
      <c r="D701" s="457"/>
      <c r="E701" s="458" t="s">
        <v>576</v>
      </c>
      <c r="F701" s="459"/>
      <c r="G701" s="459"/>
      <c r="H701" s="459"/>
      <c r="I701" s="459"/>
      <c r="J701" s="456">
        <v>44396</v>
      </c>
      <c r="K701" s="459">
        <v>0</v>
      </c>
      <c r="L701" s="459">
        <v>906648</v>
      </c>
      <c r="M701" s="459">
        <f t="shared" si="52"/>
        <v>906648</v>
      </c>
      <c r="N701" s="461"/>
      <c r="O701" s="462"/>
      <c r="P701" s="462"/>
    </row>
    <row r="702" spans="2:16">
      <c r="B702" s="455" t="s">
        <v>585</v>
      </c>
      <c r="C702" s="456"/>
      <c r="D702" s="457"/>
      <c r="E702" s="458" t="s">
        <v>576</v>
      </c>
      <c r="F702" s="459"/>
      <c r="G702" s="459"/>
      <c r="H702" s="459"/>
      <c r="I702" s="459"/>
      <c r="J702" s="456">
        <v>44396</v>
      </c>
      <c r="K702" s="459">
        <v>0</v>
      </c>
      <c r="L702" s="459">
        <v>2599066</v>
      </c>
      <c r="M702" s="459">
        <f t="shared" si="52"/>
        <v>2599066</v>
      </c>
      <c r="N702" s="461"/>
      <c r="O702" s="462"/>
      <c r="P702" s="462"/>
    </row>
    <row r="703" spans="2:16">
      <c r="B703" s="455" t="s">
        <v>575</v>
      </c>
      <c r="C703" s="456"/>
      <c r="D703" s="457"/>
      <c r="E703" s="458" t="s">
        <v>576</v>
      </c>
      <c r="F703" s="459"/>
      <c r="G703" s="459"/>
      <c r="H703" s="459"/>
      <c r="I703" s="459"/>
      <c r="J703" s="456">
        <v>44396</v>
      </c>
      <c r="K703" s="466">
        <v>378358000</v>
      </c>
      <c r="L703" s="466">
        <v>0</v>
      </c>
      <c r="M703" s="466">
        <f t="shared" si="52"/>
        <v>378358000</v>
      </c>
      <c r="N703" s="461"/>
      <c r="O703" s="462"/>
      <c r="P703" s="462"/>
    </row>
    <row r="704" spans="2:16">
      <c r="B704" s="455" t="s">
        <v>580</v>
      </c>
      <c r="C704" s="456"/>
      <c r="D704" s="457"/>
      <c r="E704" s="458" t="s">
        <v>576</v>
      </c>
      <c r="F704" s="459"/>
      <c r="G704" s="459"/>
      <c r="H704" s="459"/>
      <c r="I704" s="459"/>
      <c r="J704" s="456">
        <v>44397</v>
      </c>
      <c r="K704" s="459">
        <v>0</v>
      </c>
      <c r="L704" s="459">
        <v>7006250</v>
      </c>
      <c r="M704" s="459">
        <f t="shared" si="52"/>
        <v>7006250</v>
      </c>
      <c r="N704" s="461"/>
      <c r="O704" s="462"/>
      <c r="P704" s="462"/>
    </row>
    <row r="705" spans="2:16">
      <c r="B705" s="455" t="s">
        <v>586</v>
      </c>
      <c r="C705" s="456"/>
      <c r="D705" s="457"/>
      <c r="E705" s="458" t="s">
        <v>576</v>
      </c>
      <c r="F705" s="459"/>
      <c r="G705" s="459"/>
      <c r="H705" s="459"/>
      <c r="I705" s="459"/>
      <c r="J705" s="456">
        <v>44397</v>
      </c>
      <c r="K705" s="459">
        <v>0</v>
      </c>
      <c r="L705" s="459">
        <v>3563</v>
      </c>
      <c r="M705" s="459">
        <f t="shared" si="52"/>
        <v>3563</v>
      </c>
      <c r="N705" s="461"/>
      <c r="O705" s="462"/>
      <c r="P705" s="462"/>
    </row>
    <row r="706" spans="2:16">
      <c r="B706" s="455" t="s">
        <v>577</v>
      </c>
      <c r="C706" s="456"/>
      <c r="D706" s="457"/>
      <c r="E706" s="458" t="s">
        <v>576</v>
      </c>
      <c r="F706" s="459"/>
      <c r="G706" s="459"/>
      <c r="H706" s="459"/>
      <c r="I706" s="459"/>
      <c r="J706" s="456">
        <v>44398</v>
      </c>
      <c r="K706" s="459">
        <v>0</v>
      </c>
      <c r="L706" s="459">
        <v>5925258</v>
      </c>
      <c r="M706" s="459">
        <f t="shared" si="52"/>
        <v>5925258</v>
      </c>
      <c r="N706" s="461"/>
      <c r="O706" s="462"/>
      <c r="P706" s="462"/>
    </row>
    <row r="707" spans="2:16">
      <c r="B707" s="455" t="s">
        <v>587</v>
      </c>
      <c r="C707" s="456"/>
      <c r="D707" s="457"/>
      <c r="E707" s="458" t="s">
        <v>576</v>
      </c>
      <c r="F707" s="459"/>
      <c r="G707" s="459"/>
      <c r="H707" s="459"/>
      <c r="I707" s="459"/>
      <c r="J707" s="456">
        <v>44398</v>
      </c>
      <c r="K707" s="459">
        <v>0</v>
      </c>
      <c r="L707" s="459">
        <v>5563</v>
      </c>
      <c r="M707" s="459">
        <f t="shared" si="52"/>
        <v>5563</v>
      </c>
      <c r="N707" s="461"/>
      <c r="O707" s="462"/>
      <c r="P707" s="462"/>
    </row>
    <row r="708" spans="2:16">
      <c r="B708" s="455" t="s">
        <v>581</v>
      </c>
      <c r="C708" s="456"/>
      <c r="D708" s="457"/>
      <c r="E708" s="458" t="s">
        <v>576</v>
      </c>
      <c r="F708" s="459"/>
      <c r="G708" s="459"/>
      <c r="H708" s="459"/>
      <c r="I708" s="459"/>
      <c r="J708" s="456">
        <v>44399</v>
      </c>
      <c r="K708" s="459">
        <v>0</v>
      </c>
      <c r="L708" s="459">
        <v>605231</v>
      </c>
      <c r="M708" s="459">
        <f t="shared" si="52"/>
        <v>605231</v>
      </c>
      <c r="N708" s="461"/>
      <c r="O708" s="462"/>
      <c r="P708" s="462"/>
    </row>
    <row r="709" spans="2:16">
      <c r="B709" s="455" t="s">
        <v>580</v>
      </c>
      <c r="C709" s="456"/>
      <c r="D709" s="457"/>
      <c r="E709" s="458" t="s">
        <v>576</v>
      </c>
      <c r="F709" s="459"/>
      <c r="G709" s="459"/>
      <c r="H709" s="459"/>
      <c r="I709" s="459"/>
      <c r="J709" s="456">
        <v>44399</v>
      </c>
      <c r="K709" s="459">
        <v>0</v>
      </c>
      <c r="L709" s="459">
        <v>1216599</v>
      </c>
      <c r="M709" s="459">
        <f t="shared" si="52"/>
        <v>1216599</v>
      </c>
      <c r="N709" s="461"/>
      <c r="O709" s="462"/>
      <c r="P709" s="462"/>
    </row>
    <row r="710" spans="2:16">
      <c r="B710" s="455" t="s">
        <v>583</v>
      </c>
      <c r="C710" s="456"/>
      <c r="D710" s="457"/>
      <c r="E710" s="458" t="s">
        <v>576</v>
      </c>
      <c r="F710" s="459"/>
      <c r="G710" s="459"/>
      <c r="H710" s="459"/>
      <c r="I710" s="459"/>
      <c r="J710" s="456">
        <v>44399</v>
      </c>
      <c r="K710" s="459">
        <v>0</v>
      </c>
      <c r="L710" s="459">
        <v>143750</v>
      </c>
      <c r="M710" s="459">
        <f t="shared" si="52"/>
        <v>143750</v>
      </c>
      <c r="N710" s="461"/>
      <c r="O710" s="462"/>
      <c r="P710" s="462"/>
    </row>
    <row r="711" spans="2:16">
      <c r="B711" s="455" t="s">
        <v>578</v>
      </c>
      <c r="C711" s="456"/>
      <c r="D711" s="457"/>
      <c r="E711" s="458" t="s">
        <v>576</v>
      </c>
      <c r="F711" s="459"/>
      <c r="G711" s="459"/>
      <c r="H711" s="459"/>
      <c r="I711" s="459"/>
      <c r="J711" s="456">
        <v>44399</v>
      </c>
      <c r="K711" s="459">
        <v>0</v>
      </c>
      <c r="L711" s="459">
        <v>3899420</v>
      </c>
      <c r="M711" s="459">
        <f t="shared" si="52"/>
        <v>3899420</v>
      </c>
      <c r="N711" s="461"/>
      <c r="O711" s="462"/>
      <c r="P711" s="462"/>
    </row>
    <row r="712" spans="2:16">
      <c r="B712" s="455" t="s">
        <v>582</v>
      </c>
      <c r="C712" s="456"/>
      <c r="D712" s="457"/>
      <c r="E712" s="458" t="s">
        <v>576</v>
      </c>
      <c r="F712" s="459"/>
      <c r="G712" s="459"/>
      <c r="H712" s="459"/>
      <c r="I712" s="459"/>
      <c r="J712" s="456">
        <v>44399</v>
      </c>
      <c r="K712" s="459">
        <v>0</v>
      </c>
      <c r="L712" s="459">
        <v>431250</v>
      </c>
      <c r="M712" s="459">
        <f t="shared" si="52"/>
        <v>431250</v>
      </c>
      <c r="N712" s="461"/>
      <c r="O712" s="462"/>
      <c r="P712" s="462"/>
    </row>
    <row r="713" spans="2:16">
      <c r="B713" s="455" t="s">
        <v>575</v>
      </c>
      <c r="C713" s="456"/>
      <c r="D713" s="457"/>
      <c r="E713" s="458" t="s">
        <v>576</v>
      </c>
      <c r="F713" s="459"/>
      <c r="G713" s="459"/>
      <c r="H713" s="459"/>
      <c r="I713" s="459"/>
      <c r="J713" s="456">
        <v>44400</v>
      </c>
      <c r="K713" s="459">
        <v>0</v>
      </c>
      <c r="L713" s="459">
        <v>2230980</v>
      </c>
      <c r="M713" s="459">
        <f t="shared" si="52"/>
        <v>2230980</v>
      </c>
      <c r="N713" s="461"/>
      <c r="O713" s="462"/>
      <c r="P713" s="462"/>
    </row>
    <row r="714" spans="2:16">
      <c r="B714" s="455" t="s">
        <v>577</v>
      </c>
      <c r="C714" s="456"/>
      <c r="D714" s="457"/>
      <c r="E714" s="458" t="s">
        <v>576</v>
      </c>
      <c r="F714" s="459"/>
      <c r="G714" s="459"/>
      <c r="H714" s="459"/>
      <c r="I714" s="459"/>
      <c r="J714" s="456">
        <v>44400</v>
      </c>
      <c r="K714" s="459">
        <v>0</v>
      </c>
      <c r="L714" s="459">
        <v>743647</v>
      </c>
      <c r="M714" s="459">
        <f t="shared" si="52"/>
        <v>743647</v>
      </c>
      <c r="N714" s="461"/>
      <c r="O714" s="462"/>
      <c r="P714" s="462"/>
    </row>
    <row r="715" spans="2:16">
      <c r="B715" s="455" t="s">
        <v>584</v>
      </c>
      <c r="C715" s="456"/>
      <c r="D715" s="457"/>
      <c r="E715" s="458" t="s">
        <v>576</v>
      </c>
      <c r="F715" s="459"/>
      <c r="G715" s="459"/>
      <c r="H715" s="459"/>
      <c r="I715" s="459"/>
      <c r="J715" s="456">
        <v>44400</v>
      </c>
      <c r="K715" s="459">
        <v>0</v>
      </c>
      <c r="L715" s="459">
        <v>513124</v>
      </c>
      <c r="M715" s="459">
        <f t="shared" si="52"/>
        <v>513124</v>
      </c>
      <c r="N715" s="461"/>
      <c r="O715" s="462"/>
      <c r="P715" s="462"/>
    </row>
    <row r="716" spans="2:16">
      <c r="B716" s="455" t="s">
        <v>577</v>
      </c>
      <c r="C716" s="456"/>
      <c r="D716" s="457"/>
      <c r="E716" s="458" t="s">
        <v>576</v>
      </c>
      <c r="F716" s="459"/>
      <c r="G716" s="459"/>
      <c r="H716" s="459"/>
      <c r="I716" s="459"/>
      <c r="J716" s="456">
        <v>44403</v>
      </c>
      <c r="K716" s="459">
        <v>0</v>
      </c>
      <c r="L716" s="459">
        <v>6264188</v>
      </c>
      <c r="M716" s="459">
        <f t="shared" si="52"/>
        <v>6264188</v>
      </c>
      <c r="N716" s="461"/>
      <c r="O716" s="462"/>
      <c r="P716" s="462"/>
    </row>
    <row r="717" spans="2:16">
      <c r="B717" s="455" t="s">
        <v>575</v>
      </c>
      <c r="C717" s="456"/>
      <c r="D717" s="457"/>
      <c r="E717" s="458" t="s">
        <v>576</v>
      </c>
      <c r="F717" s="459"/>
      <c r="G717" s="459"/>
      <c r="H717" s="459"/>
      <c r="I717" s="459"/>
      <c r="J717" s="456">
        <v>44403</v>
      </c>
      <c r="K717" s="459">
        <v>0</v>
      </c>
      <c r="L717" s="459">
        <v>894915</v>
      </c>
      <c r="M717" s="459">
        <f t="shared" si="52"/>
        <v>894915</v>
      </c>
      <c r="N717" s="461"/>
      <c r="O717" s="462"/>
      <c r="P717" s="462"/>
    </row>
    <row r="718" spans="2:16">
      <c r="B718" s="455" t="s">
        <v>575</v>
      </c>
      <c r="C718" s="456"/>
      <c r="D718" s="457"/>
      <c r="E718" s="458" t="s">
        <v>576</v>
      </c>
      <c r="F718" s="459"/>
      <c r="G718" s="459"/>
      <c r="H718" s="459"/>
      <c r="I718" s="459"/>
      <c r="J718" s="456">
        <v>44403</v>
      </c>
      <c r="K718" s="459">
        <v>0</v>
      </c>
      <c r="L718" s="459">
        <v>3431250</v>
      </c>
      <c r="M718" s="459">
        <f t="shared" si="52"/>
        <v>3431250</v>
      </c>
      <c r="N718" s="461"/>
      <c r="O718" s="462"/>
      <c r="P718" s="462"/>
    </row>
    <row r="719" spans="2:16">
      <c r="B719" s="455" t="s">
        <v>575</v>
      </c>
      <c r="C719" s="456"/>
      <c r="D719" s="457"/>
      <c r="E719" s="458" t="s">
        <v>576</v>
      </c>
      <c r="F719" s="459"/>
      <c r="G719" s="459"/>
      <c r="H719" s="459"/>
      <c r="I719" s="459"/>
      <c r="J719" s="456">
        <v>44403</v>
      </c>
      <c r="K719" s="459">
        <v>0</v>
      </c>
      <c r="L719" s="459">
        <v>1607130</v>
      </c>
      <c r="M719" s="459">
        <f t="shared" si="52"/>
        <v>1607130</v>
      </c>
      <c r="N719" s="461"/>
      <c r="O719" s="462"/>
      <c r="P719" s="462"/>
    </row>
    <row r="720" spans="2:16">
      <c r="B720" s="455" t="s">
        <v>577</v>
      </c>
      <c r="C720" s="456"/>
      <c r="D720" s="457"/>
      <c r="E720" s="458" t="s">
        <v>576</v>
      </c>
      <c r="F720" s="459"/>
      <c r="G720" s="459"/>
      <c r="H720" s="459"/>
      <c r="I720" s="459"/>
      <c r="J720" s="456">
        <v>44403</v>
      </c>
      <c r="K720" s="459">
        <v>0</v>
      </c>
      <c r="L720" s="459">
        <v>680158</v>
      </c>
      <c r="M720" s="459">
        <f t="shared" si="52"/>
        <v>680158</v>
      </c>
      <c r="N720" s="461"/>
      <c r="O720" s="462"/>
      <c r="P720" s="462"/>
    </row>
    <row r="721" spans="2:16">
      <c r="B721" s="455" t="s">
        <v>577</v>
      </c>
      <c r="C721" s="456"/>
      <c r="D721" s="457"/>
      <c r="E721" s="458" t="s">
        <v>576</v>
      </c>
      <c r="F721" s="459"/>
      <c r="G721" s="459"/>
      <c r="H721" s="459"/>
      <c r="I721" s="459"/>
      <c r="J721" s="456">
        <v>44403</v>
      </c>
      <c r="K721" s="459">
        <v>0</v>
      </c>
      <c r="L721" s="459">
        <v>2287500</v>
      </c>
      <c r="M721" s="459">
        <f t="shared" ref="M721:M727" si="53">+K721+L721</f>
        <v>2287500</v>
      </c>
      <c r="N721" s="461"/>
      <c r="O721" s="462"/>
      <c r="P721" s="462"/>
    </row>
    <row r="722" spans="2:16">
      <c r="B722" s="455" t="s">
        <v>580</v>
      </c>
      <c r="C722" s="456"/>
      <c r="D722" s="457"/>
      <c r="E722" s="458" t="s">
        <v>576</v>
      </c>
      <c r="F722" s="459"/>
      <c r="G722" s="459"/>
      <c r="H722" s="459"/>
      <c r="I722" s="459"/>
      <c r="J722" s="456">
        <v>44403</v>
      </c>
      <c r="K722" s="459">
        <v>0</v>
      </c>
      <c r="L722" s="459">
        <v>3456391</v>
      </c>
      <c r="M722" s="459">
        <f t="shared" si="53"/>
        <v>3456391</v>
      </c>
      <c r="N722" s="461"/>
      <c r="O722" s="462"/>
      <c r="P722" s="462"/>
    </row>
    <row r="723" spans="2:16">
      <c r="B723" s="455" t="s">
        <v>585</v>
      </c>
      <c r="C723" s="456"/>
      <c r="D723" s="457"/>
      <c r="E723" s="458" t="s">
        <v>576</v>
      </c>
      <c r="F723" s="459"/>
      <c r="G723" s="459"/>
      <c r="H723" s="459"/>
      <c r="I723" s="459"/>
      <c r="J723" s="456">
        <v>44403</v>
      </c>
      <c r="K723" s="459">
        <v>0</v>
      </c>
      <c r="L723" s="459">
        <v>3456435</v>
      </c>
      <c r="M723" s="459">
        <f t="shared" si="53"/>
        <v>3456435</v>
      </c>
      <c r="N723" s="461"/>
      <c r="O723" s="462"/>
      <c r="P723" s="462"/>
    </row>
    <row r="724" spans="2:16">
      <c r="B724" s="455" t="s">
        <v>582</v>
      </c>
      <c r="C724" s="456"/>
      <c r="D724" s="457"/>
      <c r="E724" s="458" t="s">
        <v>576</v>
      </c>
      <c r="F724" s="459"/>
      <c r="G724" s="459"/>
      <c r="H724" s="459"/>
      <c r="I724" s="459"/>
      <c r="J724" s="456">
        <v>44406</v>
      </c>
      <c r="K724" s="459">
        <v>0</v>
      </c>
      <c r="L724" s="459">
        <v>75000</v>
      </c>
      <c r="M724" s="459">
        <f t="shared" si="53"/>
        <v>75000</v>
      </c>
      <c r="N724" s="461"/>
      <c r="O724" s="462"/>
      <c r="P724" s="462"/>
    </row>
    <row r="725" spans="2:16">
      <c r="B725" s="455" t="s">
        <v>585</v>
      </c>
      <c r="C725" s="456"/>
      <c r="D725" s="457"/>
      <c r="E725" s="458" t="s">
        <v>576</v>
      </c>
      <c r="F725" s="459"/>
      <c r="G725" s="459"/>
      <c r="H725" s="459"/>
      <c r="I725" s="459"/>
      <c r="J725" s="456">
        <v>44406</v>
      </c>
      <c r="K725" s="459">
        <v>0</v>
      </c>
      <c r="L725" s="459">
        <v>5937500</v>
      </c>
      <c r="M725" s="459">
        <f t="shared" si="53"/>
        <v>5937500</v>
      </c>
      <c r="N725" s="461"/>
      <c r="O725" s="462"/>
      <c r="P725" s="462"/>
    </row>
    <row r="726" spans="2:16">
      <c r="B726" s="455" t="s">
        <v>575</v>
      </c>
      <c r="C726" s="456"/>
      <c r="D726" s="457"/>
      <c r="E726" s="458" t="s">
        <v>576</v>
      </c>
      <c r="F726" s="459"/>
      <c r="G726" s="459"/>
      <c r="H726" s="459"/>
      <c r="I726" s="459"/>
      <c r="J726" s="456">
        <v>44406</v>
      </c>
      <c r="K726" s="459">
        <v>0</v>
      </c>
      <c r="L726" s="459">
        <v>4937500</v>
      </c>
      <c r="M726" s="459">
        <f t="shared" si="53"/>
        <v>4937500</v>
      </c>
      <c r="N726" s="461"/>
      <c r="O726" s="462"/>
      <c r="P726" s="462"/>
    </row>
    <row r="727" spans="2:16">
      <c r="B727" s="455" t="s">
        <v>583</v>
      </c>
      <c r="C727" s="456"/>
      <c r="D727" s="457"/>
      <c r="E727" s="458" t="s">
        <v>576</v>
      </c>
      <c r="F727" s="459"/>
      <c r="G727" s="459"/>
      <c r="H727" s="459"/>
      <c r="I727" s="459"/>
      <c r="J727" s="456">
        <v>44406</v>
      </c>
      <c r="K727" s="459">
        <v>0</v>
      </c>
      <c r="L727" s="459">
        <v>126250</v>
      </c>
      <c r="M727" s="459">
        <f t="shared" si="53"/>
        <v>126250</v>
      </c>
      <c r="N727" s="461"/>
      <c r="O727" s="462"/>
      <c r="P727" s="462"/>
    </row>
    <row r="728" spans="2:16">
      <c r="B728" s="467" t="s">
        <v>588</v>
      </c>
      <c r="C728" s="468"/>
      <c r="D728" s="469"/>
      <c r="E728" s="470"/>
      <c r="F728" s="459"/>
      <c r="G728" s="471">
        <f>(J803-I803)*1000000</f>
        <v>0</v>
      </c>
      <c r="H728" s="465"/>
      <c r="I728" s="465"/>
      <c r="J728" s="472"/>
      <c r="K728" s="495"/>
      <c r="L728" s="495"/>
      <c r="M728" s="473"/>
      <c r="N728" s="461"/>
      <c r="O728" s="462"/>
      <c r="P728" s="462"/>
    </row>
    <row r="729" spans="2:16">
      <c r="B729" s="467" t="s">
        <v>589</v>
      </c>
      <c r="C729" s="468"/>
      <c r="D729" s="469"/>
      <c r="E729" s="470" t="s">
        <v>590</v>
      </c>
      <c r="F729" s="459">
        <f>SUBTOTAL(9,G729:H729)</f>
        <v>0</v>
      </c>
      <c r="G729" s="471"/>
      <c r="H729" s="465"/>
      <c r="I729" s="465"/>
      <c r="J729" s="472"/>
      <c r="K729" s="495">
        <v>58164277</v>
      </c>
      <c r="L729" s="495">
        <v>14623699</v>
      </c>
      <c r="M729" s="473"/>
      <c r="N729" s="461"/>
      <c r="O729" s="462"/>
      <c r="P729" s="462"/>
    </row>
    <row r="730" spans="2:16">
      <c r="B730" s="467" t="s">
        <v>591</v>
      </c>
      <c r="C730" s="468"/>
      <c r="D730" s="469"/>
      <c r="E730" s="470" t="s">
        <v>592</v>
      </c>
      <c r="F730" s="459">
        <f t="shared" ref="F730" si="54">SUBTOTAL(9,G730:H730)</f>
        <v>0</v>
      </c>
      <c r="G730" s="471"/>
      <c r="H730" s="465"/>
      <c r="I730" s="465"/>
      <c r="J730" s="472"/>
      <c r="K730" s="495">
        <v>18195016</v>
      </c>
      <c r="L730" s="495">
        <v>8430815</v>
      </c>
      <c r="M730" s="473"/>
      <c r="N730" s="461"/>
      <c r="O730" s="462"/>
      <c r="P730" s="462"/>
    </row>
    <row r="731" spans="2:16" ht="12.5">
      <c r="B731" s="938" t="s">
        <v>593</v>
      </c>
      <c r="C731" s="939"/>
      <c r="D731" s="939"/>
      <c r="E731" s="940"/>
      <c r="F731" s="941">
        <f>SUM(F652:F730)</f>
        <v>643367000</v>
      </c>
      <c r="G731" s="941">
        <f t="shared" ref="G731:I731" si="55">SUM(G652:G730)</f>
        <v>642100766.97944617</v>
      </c>
      <c r="H731" s="941">
        <f t="shared" si="55"/>
        <v>1266233.0205538273</v>
      </c>
      <c r="I731" s="941">
        <f t="shared" si="55"/>
        <v>643367000</v>
      </c>
      <c r="J731" s="941"/>
      <c r="K731" s="941">
        <f>SUM(K652:K730)</f>
        <v>887696506.93034828</v>
      </c>
      <c r="L731" s="941">
        <f t="shared" ref="L731:M731" si="56">SUM(L652:L730)</f>
        <v>205854196.06965172</v>
      </c>
      <c r="M731" s="941">
        <f t="shared" si="56"/>
        <v>994136896</v>
      </c>
      <c r="N731" s="942">
        <f>+G731-K731</f>
        <v>-245595739.9509021</v>
      </c>
      <c r="O731" s="942">
        <f>+(J793-I793)*1000000</f>
        <v>0</v>
      </c>
      <c r="P731" s="942">
        <f>N731-O731</f>
        <v>-245595739.9509021</v>
      </c>
    </row>
    <row r="732" spans="2:16" ht="12.5">
      <c r="B732" s="455" t="s">
        <v>594</v>
      </c>
      <c r="C732" s="479">
        <v>44379</v>
      </c>
      <c r="D732" s="457">
        <v>2880</v>
      </c>
      <c r="E732" s="458" t="s">
        <v>576</v>
      </c>
      <c r="F732" s="459">
        <f t="shared" ref="F732:F735" si="57">SUBTOTAL(9,G732:H732)</f>
        <v>485633000</v>
      </c>
      <c r="G732" s="459">
        <v>485633000</v>
      </c>
      <c r="H732" s="459">
        <v>0</v>
      </c>
      <c r="I732" s="459">
        <f t="shared" ref="I732:I735" si="58">+G732+H732</f>
        <v>485633000</v>
      </c>
      <c r="J732" s="489"/>
      <c r="K732" s="489"/>
      <c r="L732" s="489"/>
      <c r="M732" s="489"/>
      <c r="N732" s="502"/>
      <c r="O732" s="503"/>
      <c r="P732" s="503"/>
    </row>
    <row r="733" spans="2:16" ht="12.5">
      <c r="B733" s="455" t="s">
        <v>594</v>
      </c>
      <c r="C733" s="479">
        <v>44385</v>
      </c>
      <c r="D733" s="457">
        <v>150</v>
      </c>
      <c r="E733" s="458" t="s">
        <v>579</v>
      </c>
      <c r="F733" s="459">
        <f t="shared" si="57"/>
        <v>300000000</v>
      </c>
      <c r="G733" s="459">
        <v>298755186.72199172</v>
      </c>
      <c r="H733" s="459">
        <v>1244813.2780082822</v>
      </c>
      <c r="I733" s="459">
        <f t="shared" si="58"/>
        <v>300000000</v>
      </c>
      <c r="J733" s="489"/>
      <c r="K733" s="489"/>
      <c r="L733" s="489"/>
      <c r="M733" s="489"/>
      <c r="N733" s="502"/>
      <c r="O733" s="503"/>
      <c r="P733" s="503"/>
    </row>
    <row r="734" spans="2:16" ht="12.5">
      <c r="B734" s="455" t="s">
        <v>594</v>
      </c>
      <c r="C734" s="479">
        <v>44391</v>
      </c>
      <c r="D734" s="457">
        <v>2160</v>
      </c>
      <c r="E734" s="458" t="s">
        <v>576</v>
      </c>
      <c r="F734" s="459">
        <f t="shared" si="57"/>
        <v>150000000</v>
      </c>
      <c r="G734" s="459">
        <v>150000000</v>
      </c>
      <c r="H734" s="459">
        <v>0</v>
      </c>
      <c r="I734" s="459">
        <f t="shared" si="58"/>
        <v>150000000</v>
      </c>
      <c r="J734" s="489"/>
      <c r="K734" s="489"/>
      <c r="L734" s="489"/>
      <c r="M734" s="489"/>
      <c r="N734" s="502"/>
      <c r="O734" s="503"/>
      <c r="P734" s="503"/>
    </row>
    <row r="735" spans="2:16" ht="12.5">
      <c r="B735" s="455" t="s">
        <v>594</v>
      </c>
      <c r="C735" s="479">
        <v>44397</v>
      </c>
      <c r="D735" s="457">
        <v>115</v>
      </c>
      <c r="E735" s="458" t="s">
        <v>579</v>
      </c>
      <c r="F735" s="459">
        <f t="shared" si="57"/>
        <v>371000000</v>
      </c>
      <c r="G735" s="459">
        <v>369745049.3550536</v>
      </c>
      <c r="H735" s="459">
        <v>1254950.6449463964</v>
      </c>
      <c r="I735" s="459">
        <f t="shared" si="58"/>
        <v>371000000</v>
      </c>
      <c r="J735" s="489"/>
      <c r="K735" s="489"/>
      <c r="L735" s="489"/>
      <c r="M735" s="489"/>
      <c r="N735" s="502"/>
      <c r="O735" s="503"/>
      <c r="P735" s="503"/>
    </row>
    <row r="736" spans="2:16" ht="12.5">
      <c r="B736" s="455" t="s">
        <v>594</v>
      </c>
      <c r="C736" s="479"/>
      <c r="D736" s="457"/>
      <c r="E736" s="458" t="s">
        <v>576</v>
      </c>
      <c r="F736" s="459"/>
      <c r="G736" s="459"/>
      <c r="H736" s="459"/>
      <c r="I736" s="459"/>
      <c r="J736" s="456">
        <v>44383</v>
      </c>
      <c r="K736" s="459">
        <v>0</v>
      </c>
      <c r="L736" s="459">
        <v>135947</v>
      </c>
      <c r="M736" s="459">
        <f t="shared" ref="M736:M760" si="59">+K736+L736</f>
        <v>135947</v>
      </c>
      <c r="N736" s="502"/>
      <c r="O736" s="503"/>
      <c r="P736" s="503"/>
    </row>
    <row r="737" spans="2:16" ht="12.5">
      <c r="B737" s="455" t="s">
        <v>594</v>
      </c>
      <c r="C737" s="479"/>
      <c r="D737" s="457"/>
      <c r="E737" s="458" t="s">
        <v>576</v>
      </c>
      <c r="F737" s="459"/>
      <c r="G737" s="459"/>
      <c r="H737" s="459"/>
      <c r="I737" s="459"/>
      <c r="J737" s="456">
        <v>44386</v>
      </c>
      <c r="K737" s="459">
        <v>0</v>
      </c>
      <c r="L737" s="459">
        <v>3812500</v>
      </c>
      <c r="M737" s="459">
        <f t="shared" si="59"/>
        <v>3812500</v>
      </c>
      <c r="N737" s="502"/>
      <c r="O737" s="503"/>
      <c r="P737" s="503"/>
    </row>
    <row r="738" spans="2:16" ht="12.5">
      <c r="B738" s="455" t="s">
        <v>594</v>
      </c>
      <c r="C738" s="479"/>
      <c r="D738" s="457"/>
      <c r="E738" s="458" t="s">
        <v>579</v>
      </c>
      <c r="F738" s="459"/>
      <c r="G738" s="459"/>
      <c r="H738" s="459"/>
      <c r="I738" s="459"/>
      <c r="J738" s="456">
        <v>44389</v>
      </c>
      <c r="K738" s="459">
        <v>49750248.75621891</v>
      </c>
      <c r="L738" s="459">
        <v>248751.24378108978</v>
      </c>
      <c r="M738" s="459">
        <f t="shared" si="59"/>
        <v>49999000</v>
      </c>
      <c r="N738" s="502"/>
      <c r="O738" s="503"/>
      <c r="P738" s="503"/>
    </row>
    <row r="739" spans="2:16" ht="12.5">
      <c r="B739" s="455" t="s">
        <v>594</v>
      </c>
      <c r="C739" s="479"/>
      <c r="D739" s="457"/>
      <c r="E739" s="458" t="s">
        <v>576</v>
      </c>
      <c r="F739" s="459"/>
      <c r="G739" s="459"/>
      <c r="H739" s="459"/>
      <c r="I739" s="459"/>
      <c r="J739" s="456">
        <v>44389</v>
      </c>
      <c r="K739" s="459">
        <v>0</v>
      </c>
      <c r="L739" s="459">
        <v>5087813</v>
      </c>
      <c r="M739" s="459">
        <f t="shared" si="59"/>
        <v>5087813</v>
      </c>
      <c r="N739" s="502"/>
      <c r="O739" s="503"/>
      <c r="P739" s="503"/>
    </row>
    <row r="740" spans="2:16" ht="12.5">
      <c r="B740" s="455" t="s">
        <v>594</v>
      </c>
      <c r="C740" s="479"/>
      <c r="D740" s="457"/>
      <c r="E740" s="458" t="s">
        <v>576</v>
      </c>
      <c r="F740" s="459"/>
      <c r="G740" s="459"/>
      <c r="H740" s="459"/>
      <c r="I740" s="459"/>
      <c r="J740" s="456">
        <v>44389</v>
      </c>
      <c r="K740" s="459">
        <v>0</v>
      </c>
      <c r="L740" s="459">
        <v>2289417</v>
      </c>
      <c r="M740" s="459">
        <f t="shared" si="59"/>
        <v>2289417</v>
      </c>
      <c r="N740" s="502"/>
      <c r="O740" s="503"/>
      <c r="P740" s="503"/>
    </row>
    <row r="741" spans="2:16" ht="12.5">
      <c r="B741" s="455" t="s">
        <v>594</v>
      </c>
      <c r="C741" s="479"/>
      <c r="D741" s="457"/>
      <c r="E741" s="458" t="s">
        <v>576</v>
      </c>
      <c r="F741" s="459"/>
      <c r="G741" s="459"/>
      <c r="H741" s="459"/>
      <c r="I741" s="459"/>
      <c r="J741" s="456">
        <v>44389</v>
      </c>
      <c r="K741" s="459">
        <v>0</v>
      </c>
      <c r="L741" s="459">
        <v>1887188</v>
      </c>
      <c r="M741" s="459">
        <f t="shared" si="59"/>
        <v>1887188</v>
      </c>
      <c r="N741" s="502"/>
      <c r="O741" s="503"/>
      <c r="P741" s="503"/>
    </row>
    <row r="742" spans="2:16" ht="12.5">
      <c r="B742" s="455" t="s">
        <v>594</v>
      </c>
      <c r="C742" s="479"/>
      <c r="D742" s="457"/>
      <c r="E742" s="458" t="s">
        <v>576</v>
      </c>
      <c r="F742" s="459"/>
      <c r="G742" s="459"/>
      <c r="H742" s="459"/>
      <c r="I742" s="459"/>
      <c r="J742" s="456">
        <v>44389</v>
      </c>
      <c r="K742" s="459">
        <v>0</v>
      </c>
      <c r="L742" s="459">
        <v>2537482</v>
      </c>
      <c r="M742" s="459">
        <f t="shared" si="59"/>
        <v>2537482</v>
      </c>
      <c r="N742" s="502"/>
      <c r="O742" s="503"/>
      <c r="P742" s="503"/>
    </row>
    <row r="743" spans="2:16" ht="12.5">
      <c r="B743" s="455" t="s">
        <v>594</v>
      </c>
      <c r="C743" s="479"/>
      <c r="D743" s="457"/>
      <c r="E743" s="458" t="s">
        <v>576</v>
      </c>
      <c r="F743" s="459"/>
      <c r="G743" s="459"/>
      <c r="H743" s="459"/>
      <c r="I743" s="459"/>
      <c r="J743" s="456">
        <v>44390</v>
      </c>
      <c r="K743" s="459">
        <v>0</v>
      </c>
      <c r="L743" s="459">
        <v>2713288</v>
      </c>
      <c r="M743" s="459">
        <f t="shared" si="59"/>
        <v>2713288</v>
      </c>
      <c r="N743" s="502"/>
      <c r="O743" s="503"/>
      <c r="P743" s="503"/>
    </row>
    <row r="744" spans="2:16" ht="12.5">
      <c r="B744" s="455" t="s">
        <v>594</v>
      </c>
      <c r="C744" s="479"/>
      <c r="D744" s="457"/>
      <c r="E744" s="458" t="s">
        <v>576</v>
      </c>
      <c r="F744" s="459"/>
      <c r="G744" s="459"/>
      <c r="H744" s="459"/>
      <c r="I744" s="459"/>
      <c r="J744" s="456">
        <v>44391</v>
      </c>
      <c r="K744" s="459">
        <v>0</v>
      </c>
      <c r="L744" s="459">
        <v>9340625</v>
      </c>
      <c r="M744" s="459">
        <f t="shared" si="59"/>
        <v>9340625</v>
      </c>
      <c r="N744" s="502"/>
      <c r="O744" s="503"/>
      <c r="P744" s="503"/>
    </row>
    <row r="745" spans="2:16" ht="12.5">
      <c r="B745" s="455" t="s">
        <v>594</v>
      </c>
      <c r="C745" s="479"/>
      <c r="D745" s="457"/>
      <c r="E745" s="458" t="s">
        <v>576</v>
      </c>
      <c r="F745" s="459"/>
      <c r="G745" s="459"/>
      <c r="H745" s="459"/>
      <c r="I745" s="459"/>
      <c r="J745" s="456">
        <v>44391</v>
      </c>
      <c r="K745" s="459">
        <v>0</v>
      </c>
      <c r="L745" s="459">
        <v>4994128</v>
      </c>
      <c r="M745" s="459">
        <f t="shared" si="59"/>
        <v>4994128</v>
      </c>
      <c r="N745" s="502"/>
      <c r="O745" s="503"/>
      <c r="P745" s="503"/>
    </row>
    <row r="746" spans="2:16" ht="12.5">
      <c r="B746" s="455" t="s">
        <v>594</v>
      </c>
      <c r="C746" s="479"/>
      <c r="D746" s="457"/>
      <c r="E746" s="458" t="s">
        <v>576</v>
      </c>
      <c r="F746" s="459"/>
      <c r="G746" s="459"/>
      <c r="H746" s="459"/>
      <c r="I746" s="459"/>
      <c r="J746" s="456">
        <v>44392</v>
      </c>
      <c r="K746" s="459">
        <v>0</v>
      </c>
      <c r="L746" s="459">
        <v>1265181</v>
      </c>
      <c r="M746" s="459">
        <f t="shared" si="59"/>
        <v>1265181</v>
      </c>
      <c r="N746" s="502"/>
      <c r="O746" s="503"/>
      <c r="P746" s="503"/>
    </row>
    <row r="747" spans="2:16" ht="12.5">
      <c r="B747" s="455" t="s">
        <v>594</v>
      </c>
      <c r="C747" s="479"/>
      <c r="D747" s="457"/>
      <c r="E747" s="458" t="s">
        <v>576</v>
      </c>
      <c r="F747" s="459"/>
      <c r="G747" s="459"/>
      <c r="H747" s="459"/>
      <c r="I747" s="459"/>
      <c r="J747" s="456">
        <v>44393</v>
      </c>
      <c r="K747" s="459">
        <v>0</v>
      </c>
      <c r="L747" s="459">
        <v>2832031</v>
      </c>
      <c r="M747" s="459">
        <f t="shared" si="59"/>
        <v>2832031</v>
      </c>
      <c r="N747" s="502"/>
      <c r="O747" s="503"/>
      <c r="P747" s="503"/>
    </row>
    <row r="748" spans="2:16" ht="12.5">
      <c r="B748" s="455" t="s">
        <v>594</v>
      </c>
      <c r="C748" s="479"/>
      <c r="D748" s="457"/>
      <c r="E748" s="458" t="s">
        <v>576</v>
      </c>
      <c r="F748" s="459"/>
      <c r="G748" s="459"/>
      <c r="H748" s="459"/>
      <c r="I748" s="459"/>
      <c r="J748" s="456">
        <v>44396</v>
      </c>
      <c r="K748" s="459">
        <v>0</v>
      </c>
      <c r="L748" s="459">
        <v>2385094</v>
      </c>
      <c r="M748" s="459">
        <f t="shared" si="59"/>
        <v>2385094</v>
      </c>
      <c r="N748" s="502"/>
      <c r="O748" s="503"/>
      <c r="P748" s="503"/>
    </row>
    <row r="749" spans="2:16" ht="12.5">
      <c r="B749" s="455" t="s">
        <v>594</v>
      </c>
      <c r="C749" s="479"/>
      <c r="D749" s="457"/>
      <c r="E749" s="458" t="s">
        <v>576</v>
      </c>
      <c r="F749" s="459"/>
      <c r="G749" s="459"/>
      <c r="H749" s="459"/>
      <c r="I749" s="459"/>
      <c r="J749" s="456">
        <v>44396</v>
      </c>
      <c r="K749" s="459">
        <v>0</v>
      </c>
      <c r="L749" s="459">
        <v>9687500</v>
      </c>
      <c r="M749" s="459">
        <f t="shared" si="59"/>
        <v>9687500</v>
      </c>
      <c r="N749" s="502"/>
      <c r="O749" s="503"/>
      <c r="P749" s="503"/>
    </row>
    <row r="750" spans="2:16" ht="12.5">
      <c r="B750" s="455" t="s">
        <v>594</v>
      </c>
      <c r="C750" s="479"/>
      <c r="D750" s="457"/>
      <c r="E750" s="458" t="s">
        <v>576</v>
      </c>
      <c r="F750" s="459"/>
      <c r="G750" s="459"/>
      <c r="H750" s="459"/>
      <c r="I750" s="459"/>
      <c r="J750" s="456">
        <v>44396</v>
      </c>
      <c r="K750" s="459">
        <v>0</v>
      </c>
      <c r="L750" s="459">
        <v>2599066</v>
      </c>
      <c r="M750" s="459">
        <f t="shared" si="59"/>
        <v>2599066</v>
      </c>
      <c r="N750" s="502"/>
      <c r="O750" s="503"/>
      <c r="P750" s="503"/>
    </row>
    <row r="751" spans="2:16" ht="12.5">
      <c r="B751" s="455" t="s">
        <v>594</v>
      </c>
      <c r="C751" s="479"/>
      <c r="D751" s="457"/>
      <c r="E751" s="458" t="s">
        <v>576</v>
      </c>
      <c r="F751" s="459"/>
      <c r="G751" s="459"/>
      <c r="H751" s="459"/>
      <c r="I751" s="459"/>
      <c r="J751" s="456">
        <v>44396</v>
      </c>
      <c r="K751" s="459">
        <v>117420000</v>
      </c>
      <c r="L751" s="459">
        <v>0</v>
      </c>
      <c r="M751" s="459">
        <f t="shared" si="59"/>
        <v>117420000</v>
      </c>
      <c r="N751" s="502"/>
      <c r="O751" s="503"/>
      <c r="P751" s="503"/>
    </row>
    <row r="752" spans="2:16" ht="12.5">
      <c r="B752" s="455" t="s">
        <v>594</v>
      </c>
      <c r="C752" s="479"/>
      <c r="D752" s="457"/>
      <c r="E752" s="458" t="s">
        <v>576</v>
      </c>
      <c r="F752" s="459"/>
      <c r="G752" s="459"/>
      <c r="H752" s="459"/>
      <c r="I752" s="459"/>
      <c r="J752" s="456">
        <v>44398</v>
      </c>
      <c r="K752" s="459">
        <v>0</v>
      </c>
      <c r="L752" s="459">
        <v>7702867</v>
      </c>
      <c r="M752" s="459">
        <f t="shared" si="59"/>
        <v>7702867</v>
      </c>
      <c r="N752" s="502"/>
      <c r="O752" s="503"/>
      <c r="P752" s="503"/>
    </row>
    <row r="753" spans="2:16" ht="12.5">
      <c r="B753" s="455" t="s">
        <v>594</v>
      </c>
      <c r="C753" s="479"/>
      <c r="D753" s="457"/>
      <c r="E753" s="458" t="s">
        <v>576</v>
      </c>
      <c r="F753" s="459"/>
      <c r="G753" s="459"/>
      <c r="H753" s="459"/>
      <c r="I753" s="459"/>
      <c r="J753" s="456">
        <v>44399</v>
      </c>
      <c r="K753" s="459">
        <v>0</v>
      </c>
      <c r="L753" s="459">
        <v>8932500</v>
      </c>
      <c r="M753" s="459">
        <f t="shared" si="59"/>
        <v>8932500</v>
      </c>
      <c r="N753" s="502"/>
      <c r="O753" s="503"/>
      <c r="P753" s="503"/>
    </row>
    <row r="754" spans="2:16" ht="12.5">
      <c r="B754" s="455" t="s">
        <v>594</v>
      </c>
      <c r="C754" s="479"/>
      <c r="D754" s="457"/>
      <c r="E754" s="458" t="s">
        <v>576</v>
      </c>
      <c r="F754" s="459"/>
      <c r="G754" s="459"/>
      <c r="H754" s="459"/>
      <c r="I754" s="459"/>
      <c r="J754" s="456">
        <v>44400</v>
      </c>
      <c r="K754" s="459">
        <v>0</v>
      </c>
      <c r="L754" s="459">
        <v>2230999</v>
      </c>
      <c r="M754" s="459">
        <f t="shared" si="59"/>
        <v>2230999</v>
      </c>
      <c r="N754" s="502"/>
      <c r="O754" s="503"/>
      <c r="P754" s="503"/>
    </row>
    <row r="755" spans="2:16" ht="12.5">
      <c r="B755" s="455" t="s">
        <v>594</v>
      </c>
      <c r="C755" s="479"/>
      <c r="D755" s="457"/>
      <c r="E755" s="458" t="s">
        <v>576</v>
      </c>
      <c r="F755" s="459"/>
      <c r="G755" s="459"/>
      <c r="H755" s="459"/>
      <c r="I755" s="459"/>
      <c r="J755" s="456">
        <v>44403</v>
      </c>
      <c r="K755" s="459">
        <v>0</v>
      </c>
      <c r="L755" s="459">
        <v>3456391</v>
      </c>
      <c r="M755" s="459">
        <f t="shared" si="59"/>
        <v>3456391</v>
      </c>
      <c r="N755" s="502"/>
      <c r="O755" s="503"/>
      <c r="P755" s="503"/>
    </row>
    <row r="756" spans="2:16" ht="12.5">
      <c r="B756" s="455" t="s">
        <v>594</v>
      </c>
      <c r="C756" s="479"/>
      <c r="D756" s="457"/>
      <c r="E756" s="458" t="s">
        <v>576</v>
      </c>
      <c r="F756" s="459"/>
      <c r="G756" s="459"/>
      <c r="H756" s="459"/>
      <c r="I756" s="459"/>
      <c r="J756" s="456">
        <v>44403</v>
      </c>
      <c r="K756" s="459">
        <v>0</v>
      </c>
      <c r="L756" s="459">
        <v>2684647</v>
      </c>
      <c r="M756" s="459">
        <f t="shared" si="59"/>
        <v>2684647</v>
      </c>
      <c r="N756" s="502"/>
      <c r="O756" s="503"/>
      <c r="P756" s="503"/>
    </row>
    <row r="757" spans="2:16" ht="12.5">
      <c r="B757" s="455" t="s">
        <v>594</v>
      </c>
      <c r="C757" s="479"/>
      <c r="D757" s="457"/>
      <c r="E757" s="458" t="s">
        <v>576</v>
      </c>
      <c r="F757" s="459"/>
      <c r="G757" s="459"/>
      <c r="H757" s="459"/>
      <c r="I757" s="459"/>
      <c r="J757" s="456">
        <v>44403</v>
      </c>
      <c r="K757" s="459">
        <v>0</v>
      </c>
      <c r="L757" s="459">
        <v>7347870</v>
      </c>
      <c r="M757" s="459">
        <f t="shared" si="59"/>
        <v>7347870</v>
      </c>
      <c r="N757" s="502"/>
      <c r="O757" s="503"/>
      <c r="P757" s="503"/>
    </row>
    <row r="758" spans="2:16" ht="12.5">
      <c r="B758" s="455" t="s">
        <v>594</v>
      </c>
      <c r="C758" s="479"/>
      <c r="D758" s="457"/>
      <c r="E758" s="458" t="s">
        <v>576</v>
      </c>
      <c r="F758" s="459"/>
      <c r="G758" s="459"/>
      <c r="H758" s="459"/>
      <c r="I758" s="459"/>
      <c r="J758" s="456">
        <v>44405</v>
      </c>
      <c r="K758" s="459">
        <v>0</v>
      </c>
      <c r="L758" s="459">
        <v>12000000</v>
      </c>
      <c r="M758" s="459">
        <f t="shared" si="59"/>
        <v>12000000</v>
      </c>
      <c r="N758" s="502"/>
      <c r="O758" s="503"/>
      <c r="P758" s="503"/>
    </row>
    <row r="759" spans="2:16" ht="12.5">
      <c r="B759" s="455" t="s">
        <v>594</v>
      </c>
      <c r="C759" s="493"/>
      <c r="D759" s="493"/>
      <c r="E759" s="458" t="s">
        <v>576</v>
      </c>
      <c r="F759" s="489"/>
      <c r="G759" s="489"/>
      <c r="H759" s="489"/>
      <c r="I759" s="489"/>
      <c r="J759" s="456">
        <v>44406</v>
      </c>
      <c r="K759" s="459">
        <v>0</v>
      </c>
      <c r="L759" s="459">
        <v>4937500</v>
      </c>
      <c r="M759" s="459">
        <f t="shared" si="59"/>
        <v>4937500</v>
      </c>
      <c r="N759" s="502"/>
      <c r="O759" s="503"/>
      <c r="P759" s="503"/>
    </row>
    <row r="760" spans="2:16" ht="12.5">
      <c r="B760" s="455" t="s">
        <v>594</v>
      </c>
      <c r="C760" s="493"/>
      <c r="D760" s="493"/>
      <c r="E760" s="458" t="s">
        <v>576</v>
      </c>
      <c r="F760" s="489"/>
      <c r="G760" s="489"/>
      <c r="H760" s="489"/>
      <c r="I760" s="489"/>
      <c r="J760" s="456">
        <v>44407</v>
      </c>
      <c r="K760" s="459">
        <v>0</v>
      </c>
      <c r="L760" s="459">
        <v>9843750</v>
      </c>
      <c r="M760" s="459">
        <f t="shared" si="59"/>
        <v>9843750</v>
      </c>
      <c r="N760" s="502"/>
      <c r="O760" s="503"/>
      <c r="P760" s="503"/>
    </row>
    <row r="761" spans="2:16" ht="12.5">
      <c r="B761" s="943" t="s">
        <v>595</v>
      </c>
      <c r="C761" s="944"/>
      <c r="D761" s="944"/>
      <c r="E761" s="945"/>
      <c r="F761" s="946">
        <f>SUM(F732:F760)</f>
        <v>1306633000</v>
      </c>
      <c r="G761" s="946">
        <f t="shared" ref="G761:I761" si="60">SUM(G732:G760)</f>
        <v>1304133236.0770454</v>
      </c>
      <c r="H761" s="946">
        <f t="shared" si="60"/>
        <v>2499763.9229546785</v>
      </c>
      <c r="I761" s="946">
        <f t="shared" si="60"/>
        <v>1306633000</v>
      </c>
      <c r="J761" s="946"/>
      <c r="K761" s="946">
        <f>SUM(K736:K760)</f>
        <v>167170248.75621891</v>
      </c>
      <c r="L761" s="946">
        <f t="shared" ref="L761:M761" si="61">SUM(L736:L760)</f>
        <v>110952535.24378109</v>
      </c>
      <c r="M761" s="946">
        <f t="shared" si="61"/>
        <v>278122784</v>
      </c>
      <c r="N761" s="942">
        <f>+G761-K761</f>
        <v>1136962987.3208265</v>
      </c>
      <c r="O761" s="942"/>
      <c r="P761" s="942">
        <f>+N761-O761</f>
        <v>1136962987.3208265</v>
      </c>
    </row>
    <row r="762" spans="2:16" ht="12.5">
      <c r="B762" s="467"/>
      <c r="C762" s="504"/>
      <c r="D762" s="504"/>
      <c r="E762" s="505"/>
      <c r="F762" s="506"/>
      <c r="G762" s="506"/>
      <c r="H762" s="506"/>
      <c r="I762" s="506"/>
      <c r="J762" s="506"/>
      <c r="K762" s="506"/>
      <c r="L762" s="506"/>
      <c r="M762" s="506"/>
      <c r="N762" s="506"/>
      <c r="O762" s="506"/>
      <c r="P762" s="506"/>
    </row>
    <row r="763" spans="2:16" ht="12.5">
      <c r="B763" s="467"/>
      <c r="C763" s="504"/>
      <c r="D763" s="504"/>
      <c r="E763" s="505"/>
      <c r="F763" s="506"/>
      <c r="G763" s="506"/>
      <c r="H763" s="506"/>
      <c r="I763" s="506"/>
      <c r="J763" s="506"/>
      <c r="K763" s="506"/>
      <c r="L763" s="506"/>
      <c r="M763" s="506"/>
      <c r="N763" s="506"/>
      <c r="O763" s="506"/>
      <c r="P763" s="506"/>
    </row>
    <row r="764" spans="2:16" ht="12.5">
      <c r="B764" s="504"/>
      <c r="C764" s="504"/>
      <c r="D764" s="504"/>
      <c r="E764" s="505"/>
      <c r="F764" s="506"/>
      <c r="G764" s="506"/>
      <c r="H764" s="506"/>
      <c r="I764" s="506"/>
      <c r="J764" s="506"/>
      <c r="K764" s="506"/>
      <c r="L764" s="506"/>
      <c r="M764" s="506"/>
      <c r="N764" s="506"/>
      <c r="O764" s="506"/>
      <c r="P764" s="506"/>
    </row>
    <row r="765" spans="2:16" ht="13">
      <c r="B765" s="504"/>
      <c r="C765" s="504"/>
      <c r="D765" s="504"/>
      <c r="E765" s="505"/>
      <c r="F765" s="506"/>
      <c r="G765" s="506"/>
      <c r="H765" s="506"/>
      <c r="I765" s="506"/>
      <c r="J765" s="506"/>
      <c r="K765" s="506"/>
      <c r="L765" s="506"/>
      <c r="M765" s="947" t="s">
        <v>593</v>
      </c>
      <c r="N765" s="948">
        <f>SUMIF($B$7:$B$761,M765,$N$7:$N$761)</f>
        <v>6364653895.060894</v>
      </c>
      <c r="O765" s="948">
        <f>SUM(O7:O761)</f>
        <v>1227661766.112885</v>
      </c>
      <c r="P765" s="948">
        <f>SUMIF($B$7:$B$761,M765,$P$7:$P$761)</f>
        <v>5136992128.9480085</v>
      </c>
    </row>
    <row r="766" spans="2:16" ht="12.5">
      <c r="B766" s="504"/>
      <c r="C766" s="504"/>
      <c r="D766" s="504"/>
      <c r="E766" s="505"/>
      <c r="F766" s="506"/>
      <c r="G766" s="506"/>
      <c r="H766" s="506"/>
      <c r="I766" s="506"/>
      <c r="J766" s="506"/>
      <c r="K766" s="506"/>
      <c r="L766" s="506"/>
      <c r="M766" s="949" t="s">
        <v>604</v>
      </c>
      <c r="N766" s="948"/>
      <c r="O766" s="948"/>
      <c r="P766" s="948"/>
    </row>
    <row r="767" spans="2:16" ht="12.5">
      <c r="B767" s="504"/>
      <c r="C767" s="504"/>
      <c r="D767" s="504"/>
      <c r="E767" s="505"/>
      <c r="F767" s="506"/>
      <c r="G767" s="506"/>
      <c r="H767" s="506"/>
      <c r="I767" s="506"/>
      <c r="J767" s="506"/>
      <c r="K767" s="506"/>
      <c r="L767" s="506"/>
      <c r="M767" s="949" t="s">
        <v>605</v>
      </c>
      <c r="N767" s="948"/>
      <c r="O767" s="948"/>
      <c r="P767" s="948"/>
    </row>
    <row r="768" spans="2:16" ht="13">
      <c r="B768" s="504"/>
      <c r="C768" s="504"/>
      <c r="D768" s="504"/>
      <c r="E768" s="505"/>
      <c r="F768" s="506"/>
      <c r="G768" s="506"/>
      <c r="H768" s="506"/>
      <c r="I768" s="506"/>
      <c r="J768" s="506"/>
      <c r="K768" s="506"/>
      <c r="L768" s="506"/>
      <c r="M768" s="947" t="s">
        <v>595</v>
      </c>
      <c r="N768" s="948">
        <f>SUMIF($B$7:$B$761,M768,$N$7:$N$761)</f>
        <v>5014780631.8329468</v>
      </c>
      <c r="O768" s="948"/>
      <c r="P768" s="948">
        <f>SUMIF($B$7:$B$761,M768,$P$7:$P$761)</f>
        <v>5014780631.8329468</v>
      </c>
    </row>
    <row r="769" spans="2:16" ht="12.5">
      <c r="B769" s="504"/>
      <c r="C769" s="504"/>
      <c r="D769" s="504"/>
      <c r="E769" s="505"/>
      <c r="F769" s="506"/>
      <c r="G769" s="506"/>
      <c r="H769" s="506"/>
      <c r="I769" s="506"/>
      <c r="J769" s="506"/>
      <c r="K769" s="506"/>
      <c r="L769" s="506"/>
      <c r="M769" s="949" t="s">
        <v>588</v>
      </c>
      <c r="N769" s="948"/>
      <c r="O769" s="948"/>
      <c r="P769" s="948"/>
    </row>
    <row r="770" spans="2:16" ht="12.5">
      <c r="B770" s="504"/>
      <c r="C770" s="504"/>
      <c r="D770" s="504"/>
      <c r="E770" s="505"/>
      <c r="F770" s="506"/>
      <c r="G770" s="506"/>
      <c r="H770" s="506"/>
      <c r="I770" s="506"/>
      <c r="J770" s="506"/>
      <c r="K770" s="506"/>
      <c r="L770" s="506"/>
      <c r="M770" s="949" t="s">
        <v>576</v>
      </c>
      <c r="N770" s="948"/>
      <c r="O770" s="948"/>
      <c r="P770" s="948"/>
    </row>
    <row r="771" spans="2:16" ht="12.5">
      <c r="B771" s="504"/>
      <c r="C771" s="504"/>
      <c r="D771" s="504"/>
      <c r="E771" s="505"/>
      <c r="F771" s="506"/>
      <c r="G771" s="506"/>
      <c r="H771" s="506"/>
      <c r="I771" s="506"/>
      <c r="J771" s="506"/>
      <c r="K771" s="506"/>
      <c r="L771" s="506"/>
      <c r="M771" s="949" t="s">
        <v>579</v>
      </c>
      <c r="N771" s="948"/>
      <c r="O771" s="948"/>
      <c r="P771" s="948"/>
    </row>
    <row r="772" spans="2:16" ht="12.5">
      <c r="B772" s="467"/>
      <c r="C772" s="504"/>
      <c r="D772" s="504"/>
      <c r="E772" s="505"/>
      <c r="F772" s="506"/>
      <c r="G772" s="506"/>
      <c r="H772" s="506"/>
      <c r="I772" s="506"/>
      <c r="J772" s="506"/>
      <c r="K772" s="506"/>
      <c r="L772" s="506"/>
      <c r="M772" s="949"/>
      <c r="N772" s="948"/>
      <c r="O772" s="948"/>
      <c r="P772" s="950">
        <f>+P765+P768</f>
        <v>10151772760.780956</v>
      </c>
    </row>
    <row r="773" spans="2:16" ht="12.5">
      <c r="B773" s="467"/>
      <c r="C773" s="504"/>
      <c r="D773" s="504"/>
      <c r="E773" s="505"/>
      <c r="F773" s="506"/>
      <c r="G773" s="506"/>
      <c r="H773" s="506"/>
      <c r="I773" s="506"/>
      <c r="J773" s="506"/>
      <c r="K773" s="506"/>
      <c r="L773" s="506"/>
      <c r="M773" s="506"/>
      <c r="N773" s="511"/>
      <c r="P773" s="441" t="s">
        <v>606</v>
      </c>
    </row>
    <row r="774" spans="2:16" ht="12.5">
      <c r="C774" s="441"/>
      <c r="D774" s="441"/>
      <c r="E774" s="441"/>
      <c r="F774" s="441"/>
      <c r="G774" s="441"/>
      <c r="H774" s="441"/>
      <c r="I774" s="441"/>
      <c r="J774" s="506"/>
      <c r="K774" s="441"/>
      <c r="L774" s="441"/>
      <c r="M774" s="441"/>
    </row>
    <row r="775" spans="2:16" ht="13">
      <c r="C775" s="441"/>
      <c r="D775" s="441"/>
      <c r="E775" s="441"/>
      <c r="F775" s="441"/>
      <c r="G775" s="441"/>
      <c r="H775" s="441"/>
      <c r="I775" s="441"/>
      <c r="J775" s="441"/>
      <c r="K775" s="441"/>
      <c r="L775" s="441"/>
      <c r="M775" s="512"/>
      <c r="P775" s="513"/>
    </row>
    <row r="776" spans="2:16" ht="13">
      <c r="C776" s="441"/>
      <c r="D776" s="441"/>
      <c r="E776" s="441"/>
      <c r="F776" s="441"/>
      <c r="G776" s="441"/>
      <c r="H776" s="441"/>
      <c r="I776" s="441"/>
      <c r="J776" s="441"/>
      <c r="K776" s="514"/>
      <c r="L776" s="441"/>
      <c r="M776" s="512"/>
    </row>
    <row r="777" spans="2:16" ht="12.5">
      <c r="B777" s="515" t="s">
        <v>593</v>
      </c>
      <c r="C777" s="516"/>
      <c r="D777" s="516"/>
      <c r="E777" s="517"/>
      <c r="F777" s="516"/>
      <c r="G777" s="518">
        <f>SUMIF($B$7:$B$761,$B777,$G$7:$G$761)</f>
        <v>9847944422.9907303</v>
      </c>
      <c r="H777" s="518">
        <f>SUMIF($B$7:$B$761,$B777,$H$7:$H$761)</f>
        <v>15301571.009271063</v>
      </c>
      <c r="I777" s="516"/>
      <c r="J777" s="516"/>
      <c r="K777" s="518">
        <f>SUMIF($B$7:$B$761,$B777,$K$7:$K$761)</f>
        <v>3483290527.9298358</v>
      </c>
      <c r="L777" s="518">
        <f>SUMIF($B$7:$B$761,$B777,$L$7:$L$761)</f>
        <v>1226246533.645539</v>
      </c>
      <c r="M777" s="519"/>
      <c r="N777" s="520"/>
      <c r="O777" s="521"/>
    </row>
    <row r="778" spans="2:16" ht="12.5">
      <c r="B778" s="522" t="s">
        <v>604</v>
      </c>
      <c r="C778" s="516"/>
      <c r="D778" s="516"/>
      <c r="E778" s="517"/>
      <c r="F778" s="516"/>
      <c r="G778" s="518">
        <f>SUMIF($B$7:$B$761,B778,$F$7:$F$761)</f>
        <v>0</v>
      </c>
      <c r="H778" s="518">
        <f>SUMIF($B$7:$B$761,$B778,$G$7:$G$761)</f>
        <v>0</v>
      </c>
      <c r="I778" s="517"/>
      <c r="J778" s="517"/>
      <c r="K778" s="518">
        <f>SUMIF($B$7:$B$761,$B778,$K$7:$K$761)</f>
        <v>0</v>
      </c>
      <c r="L778" s="518">
        <f>SUMIF($B$7:$B$761,$B778,$K$7:$K$761)</f>
        <v>0</v>
      </c>
      <c r="M778" s="519"/>
      <c r="N778" s="521"/>
      <c r="O778" s="521"/>
    </row>
    <row r="779" spans="2:16" ht="12.5">
      <c r="B779" s="522" t="s">
        <v>605</v>
      </c>
      <c r="C779" s="516"/>
      <c r="D779" s="516"/>
      <c r="E779" s="517"/>
      <c r="F779" s="516"/>
      <c r="G779" s="518">
        <f>SUMIF($B$7:$B$761,$B779,$F$7:$F$761)</f>
        <v>0</v>
      </c>
      <c r="H779" s="518">
        <f>SUMIF($B$7:$B$761,$B779,$G$7:$G$761)</f>
        <v>0</v>
      </c>
      <c r="I779" s="517"/>
      <c r="J779" s="517"/>
      <c r="K779" s="518">
        <f>SUMIF($B$7:$B$761,$B779,$K$7:$K$761)</f>
        <v>0</v>
      </c>
      <c r="L779" s="518">
        <f>SUMIF($B$7:$B$761,$B779,$K$7:$K$761)</f>
        <v>0</v>
      </c>
      <c r="M779" s="519"/>
      <c r="N779" s="521"/>
      <c r="O779" s="521"/>
    </row>
    <row r="780" spans="2:16" ht="12.5">
      <c r="B780" s="943" t="s">
        <v>595</v>
      </c>
      <c r="C780" s="517"/>
      <c r="D780" s="517"/>
      <c r="E780" s="517"/>
      <c r="F780" s="517"/>
      <c r="G780" s="518">
        <f>SUMIF($B$7:$B$761,$B780,$G$7:$G$761)</f>
        <v>6141801254.6540041</v>
      </c>
      <c r="H780" s="518">
        <f>SUMIF($B$7:$B$761,$B780,$H$7:$H$761)</f>
        <v>7738745.3459965289</v>
      </c>
      <c r="I780" s="517"/>
      <c r="J780" s="519"/>
      <c r="K780" s="518">
        <f>SUMIF($B$7:$B$761,$B780,$K$7:$K$761)</f>
        <v>1127020622.8210568</v>
      </c>
      <c r="L780" s="518">
        <f>SUMIF($B$7:$B$761,$B780,$L$7:$L$761)</f>
        <v>657986991.17894316</v>
      </c>
      <c r="M780" s="519"/>
      <c r="N780" s="520"/>
      <c r="O780" s="521"/>
    </row>
    <row r="781" spans="2:16" ht="12.5">
      <c r="B781" s="467" t="s">
        <v>588</v>
      </c>
      <c r="C781" s="517"/>
      <c r="D781" s="517"/>
      <c r="E781" s="517"/>
      <c r="F781" s="517"/>
      <c r="G781" s="518">
        <f>SUMIF($B$7:$B$761,$B781,$G$7:$G$761)</f>
        <v>24085994.000000823</v>
      </c>
      <c r="H781" s="518">
        <f>SUMIF($B$7:$B$761,$B781,$H$7:$H$761)</f>
        <v>0</v>
      </c>
      <c r="I781" s="517"/>
      <c r="J781" s="519"/>
      <c r="K781" s="518">
        <f>SUMIF($B$7:$B$761,$B781,$K$7:$K$761)</f>
        <v>0</v>
      </c>
      <c r="L781" s="518">
        <f>SUMIF($B$7:$B$761,$B781,$L$7:$L$761)</f>
        <v>0</v>
      </c>
      <c r="M781" s="519"/>
      <c r="N781" s="523"/>
      <c r="O781" s="523"/>
    </row>
    <row r="782" spans="2:16" ht="12.5">
      <c r="B782" s="524" t="s">
        <v>590</v>
      </c>
      <c r="C782" s="517"/>
      <c r="D782" s="517"/>
      <c r="E782" s="517"/>
      <c r="F782" s="517"/>
      <c r="G782" s="518">
        <f>SUMIF($E$7:$E$761,$B782,$G$7:$G$761)</f>
        <v>0</v>
      </c>
      <c r="H782" s="518">
        <f>SUMIF($E$7:$E$761,$B782,$H$7:$H$761)</f>
        <v>0</v>
      </c>
      <c r="I782" s="517"/>
      <c r="J782" s="519"/>
      <c r="K782" s="518">
        <f>SUMIF($E$7:$E$761,$B782,$K$7:$K$761)</f>
        <v>172855205.48122573</v>
      </c>
      <c r="L782" s="518">
        <f>SUMIF($E$7:$E$761,$B782,$L$7:$L$761)</f>
        <v>45508722.837352224</v>
      </c>
      <c r="M782" s="519"/>
      <c r="N782" s="523"/>
      <c r="O782" s="523"/>
    </row>
    <row r="783" spans="2:16" ht="12.5">
      <c r="B783" s="524" t="s">
        <v>592</v>
      </c>
      <c r="C783" s="517"/>
      <c r="D783" s="517"/>
      <c r="E783" s="517"/>
      <c r="F783" s="517"/>
      <c r="G783" s="518">
        <f>SUMIF($E$7:$E$761,$B783,$G$7:$G$761)</f>
        <v>0</v>
      </c>
      <c r="H783" s="518">
        <f>SUMIF($E$7:$E$761,$B783,$H$7:$H$761)</f>
        <v>0</v>
      </c>
      <c r="I783" s="517"/>
      <c r="J783" s="519"/>
      <c r="K783" s="518">
        <f>SUMIF($E$7:$E$761,$B783,$K$7:$K$761)</f>
        <v>53996612.258909971</v>
      </c>
      <c r="L783" s="518">
        <f>SUMIF($E$7:$E$761,$B783,$L$7:$L$761)</f>
        <v>25880879.997886777</v>
      </c>
      <c r="M783" s="519"/>
      <c r="N783" s="523"/>
      <c r="O783" s="523"/>
    </row>
    <row r="784" spans="2:16" ht="12.5">
      <c r="B784" s="524" t="s">
        <v>576</v>
      </c>
      <c r="C784" s="517"/>
      <c r="D784" s="517"/>
      <c r="E784" s="517"/>
      <c r="F784" s="517"/>
      <c r="G784" s="518">
        <f>SUMIF($E$7:$E$761,$B784,$G$7:$G$761)</f>
        <v>12088700000</v>
      </c>
      <c r="H784" s="518">
        <f>SUMIF($E$7:$E$761,$B784,$H$7:$H$761)</f>
        <v>0</v>
      </c>
      <c r="I784" s="517"/>
      <c r="J784" s="517"/>
      <c r="K784" s="518">
        <f>SUMIF($E$7:$E$761,$B784,$K$7:$K$761)</f>
        <v>3785700000</v>
      </c>
      <c r="L784" s="518">
        <f>SUMIF($E$7:$E$761,$B784,$L$7:$L$761)</f>
        <v>1810603255</v>
      </c>
      <c r="M784" s="519"/>
      <c r="N784" s="523"/>
      <c r="O784" s="523"/>
    </row>
    <row r="785" spans="2:16" ht="12.5">
      <c r="B785" s="524" t="s">
        <v>579</v>
      </c>
      <c r="C785" s="517"/>
      <c r="D785" s="519"/>
      <c r="E785" s="517"/>
      <c r="F785" s="517"/>
      <c r="G785" s="518">
        <f>SUMIF($E$7:$E$761,$B785,$G$7:$G$761)</f>
        <v>3876959683.6447325</v>
      </c>
      <c r="H785" s="518">
        <f>SUMIF($E$7:$E$761,$B785,$H$7:$H$761)</f>
        <v>23040316.355267592</v>
      </c>
      <c r="I785" s="517"/>
      <c r="J785" s="519"/>
      <c r="K785" s="518">
        <f>SUMIF($E$7:$E$761,$B785,$K$7:$K$761)</f>
        <v>597759333.01075673</v>
      </c>
      <c r="L785" s="518">
        <f>SUMIF($E$7:$E761,$B785,$L$7:$L$761)</f>
        <v>2240666.9892432541</v>
      </c>
      <c r="M785" s="519"/>
      <c r="N785" s="523"/>
      <c r="O785" s="523"/>
    </row>
    <row r="786" spans="2:16">
      <c r="B786" s="525"/>
      <c r="C786" s="525"/>
      <c r="D786" s="525"/>
      <c r="E786" s="525"/>
      <c r="F786" s="526"/>
      <c r="G786" s="527">
        <f>SUM(G781:G785)</f>
        <v>15989745677.644733</v>
      </c>
      <c r="H786" s="527">
        <f>SUM(H781:H785)</f>
        <v>23040316.355267592</v>
      </c>
      <c r="I786" s="528"/>
      <c r="J786" s="525"/>
      <c r="K786" s="527">
        <f>SUM(K781:K785)</f>
        <v>4610311150.7508926</v>
      </c>
      <c r="L786" s="527">
        <f>SUM(L781:L785)</f>
        <v>1884233524.8244822</v>
      </c>
      <c r="M786" s="529"/>
      <c r="N786" s="529"/>
      <c r="O786" s="530"/>
    </row>
    <row r="787" spans="2:16" ht="12.5">
      <c r="C787" s="441"/>
      <c r="D787" s="441"/>
      <c r="E787" s="441"/>
      <c r="F787" s="441"/>
      <c r="G787" s="441"/>
      <c r="H787" s="441"/>
      <c r="I787" s="441"/>
      <c r="J787" s="441"/>
      <c r="K787" s="441"/>
      <c r="L787" s="441"/>
      <c r="M787" s="441"/>
      <c r="O787" s="511"/>
    </row>
    <row r="788" spans="2:16" ht="12.5">
      <c r="C788" s="441"/>
      <c r="D788" s="531"/>
      <c r="E788" s="531"/>
      <c r="F788" s="531"/>
      <c r="G788" s="531"/>
      <c r="H788" s="532"/>
      <c r="I788" s="531"/>
      <c r="J788" s="441"/>
      <c r="K788" s="441"/>
      <c r="L788" s="441"/>
      <c r="M788" s="441"/>
    </row>
    <row r="789" spans="2:16">
      <c r="C789" s="441"/>
      <c r="D789" s="533"/>
      <c r="E789" s="533"/>
      <c r="F789" s="533"/>
      <c r="G789" s="531"/>
      <c r="I789" s="533"/>
      <c r="J789" s="536"/>
      <c r="K789" s="441"/>
      <c r="L789" s="441"/>
      <c r="M789" s="532"/>
      <c r="N789" s="532"/>
    </row>
    <row r="790" spans="2:16" ht="12.5">
      <c r="C790" s="441"/>
      <c r="D790" s="532"/>
      <c r="E790" s="532"/>
      <c r="F790" s="532"/>
      <c r="G790" s="532"/>
      <c r="H790" s="532"/>
      <c r="I790" s="532"/>
      <c r="J790" s="536"/>
      <c r="K790" s="533"/>
      <c r="L790" s="533"/>
      <c r="M790" s="533"/>
      <c r="N790" s="533"/>
    </row>
    <row r="791" spans="2:16" ht="13">
      <c r="C791" s="441"/>
      <c r="D791" s="537"/>
      <c r="E791" s="537"/>
      <c r="F791" s="537"/>
      <c r="G791" s="537"/>
      <c r="H791" s="537"/>
      <c r="I791" s="537"/>
      <c r="J791" s="537"/>
      <c r="K791" s="537"/>
      <c r="L791" s="537"/>
      <c r="M791" s="537"/>
      <c r="N791" s="537"/>
      <c r="O791" s="537"/>
      <c r="P791" s="538"/>
    </row>
    <row r="792" spans="2:16" ht="13">
      <c r="B792" s="951"/>
      <c r="C792" s="952" t="s">
        <v>607</v>
      </c>
      <c r="D792" s="952" t="s">
        <v>608</v>
      </c>
      <c r="E792" s="952" t="s">
        <v>609</v>
      </c>
      <c r="F792" s="953" t="s">
        <v>610</v>
      </c>
      <c r="G792" s="952" t="s">
        <v>4</v>
      </c>
      <c r="H792" s="953" t="s">
        <v>5</v>
      </c>
      <c r="I792" s="952" t="s">
        <v>24</v>
      </c>
      <c r="J792" s="953" t="s">
        <v>11</v>
      </c>
      <c r="K792" s="952" t="s">
        <v>12</v>
      </c>
      <c r="L792" s="953" t="s">
        <v>611</v>
      </c>
      <c r="M792" s="952" t="s">
        <v>612</v>
      </c>
      <c r="N792" s="953" t="s">
        <v>14</v>
      </c>
      <c r="O792" s="952" t="s">
        <v>26</v>
      </c>
    </row>
    <row r="793" spans="2:16" ht="12.5">
      <c r="B793" s="954" t="s">
        <v>613</v>
      </c>
      <c r="C793" s="955">
        <f>SUM(C794:C802)</f>
        <v>3003.8099999999995</v>
      </c>
      <c r="D793" s="955">
        <f t="shared" ref="D793:L793" si="62">SUM(D794:D802)</f>
        <v>4302.9523161930283</v>
      </c>
      <c r="E793" s="955">
        <f t="shared" si="62"/>
        <v>4668.919790517356</v>
      </c>
      <c r="F793" s="955">
        <f t="shared" si="62"/>
        <v>5318.4211725885689</v>
      </c>
      <c r="G793" s="955">
        <f t="shared" si="62"/>
        <v>3944.6452378675644</v>
      </c>
      <c r="H793" s="955">
        <f t="shared" si="62"/>
        <v>4837.8516218421191</v>
      </c>
      <c r="I793" s="955">
        <f t="shared" si="62"/>
        <v>4231.4717661128843</v>
      </c>
      <c r="J793" s="956">
        <f t="shared" si="62"/>
        <v>4231.4717661128843</v>
      </c>
      <c r="K793" s="957">
        <f t="shared" si="62"/>
        <v>0</v>
      </c>
      <c r="L793" s="957">
        <f t="shared" si="62"/>
        <v>0</v>
      </c>
      <c r="M793" s="957">
        <f>SUM(M794:M802)</f>
        <v>0</v>
      </c>
      <c r="N793" s="957">
        <f>SUM(N794:N802)</f>
        <v>0</v>
      </c>
      <c r="O793" s="957">
        <f>SUM(O794:O802)</f>
        <v>0</v>
      </c>
    </row>
    <row r="794" spans="2:16" ht="12.5">
      <c r="B794" s="954" t="s">
        <v>614</v>
      </c>
      <c r="C794" s="955">
        <f>C807+C815</f>
        <v>633.20000000000005</v>
      </c>
      <c r="D794" s="955">
        <f t="shared" ref="D794:K794" si="63">D807+D815</f>
        <v>1355.4944909999999</v>
      </c>
      <c r="E794" s="955">
        <f t="shared" si="63"/>
        <v>1791.8114639999999</v>
      </c>
      <c r="F794" s="955">
        <f t="shared" si="63"/>
        <v>2367.5126059999998</v>
      </c>
      <c r="G794" s="955">
        <f t="shared" si="63"/>
        <v>997.60404300000005</v>
      </c>
      <c r="H794" s="955">
        <f t="shared" si="63"/>
        <v>1739.8897179999999</v>
      </c>
      <c r="I794" s="955">
        <f t="shared" si="63"/>
        <v>1172.8603000000001</v>
      </c>
      <c r="J794" s="956">
        <f t="shared" si="63"/>
        <v>1172.8603000000001</v>
      </c>
      <c r="K794" s="957">
        <f t="shared" si="63"/>
        <v>0</v>
      </c>
      <c r="L794" s="957">
        <f t="shared" ref="L794" si="64">+L807+L815</f>
        <v>0</v>
      </c>
      <c r="M794" s="957">
        <f>+M807+M815</f>
        <v>0</v>
      </c>
      <c r="N794" s="957">
        <f>+N807+N815</f>
        <v>0</v>
      </c>
      <c r="O794" s="957">
        <f>+O807+O815</f>
        <v>0</v>
      </c>
    </row>
    <row r="795" spans="2:16" ht="12.5">
      <c r="B795" s="954" t="s">
        <v>615</v>
      </c>
      <c r="C795" s="955">
        <f>C810+C816</f>
        <v>1154.21</v>
      </c>
      <c r="D795" s="955">
        <f t="shared" ref="D795:K795" si="65">D810+D816</f>
        <v>1155.0254312499999</v>
      </c>
      <c r="E795" s="955">
        <f t="shared" si="65"/>
        <v>1146.55082025</v>
      </c>
      <c r="F795" s="955">
        <f t="shared" si="65"/>
        <v>1001.97241225</v>
      </c>
      <c r="G795" s="955">
        <f t="shared" si="65"/>
        <v>988.98749224999995</v>
      </c>
      <c r="H795" s="955">
        <f t="shared" si="65"/>
        <v>981.61541124999997</v>
      </c>
      <c r="I795" s="955">
        <f t="shared" si="65"/>
        <v>934.62585624999997</v>
      </c>
      <c r="J795" s="956">
        <f t="shared" si="65"/>
        <v>934.62585624999997</v>
      </c>
      <c r="K795" s="957">
        <f t="shared" si="65"/>
        <v>0</v>
      </c>
      <c r="L795" s="957">
        <f t="shared" ref="L795" si="66">+L810+L816</f>
        <v>0</v>
      </c>
      <c r="M795" s="957">
        <f>+M810+M816</f>
        <v>0</v>
      </c>
      <c r="N795" s="957">
        <f>+N810+N816</f>
        <v>0</v>
      </c>
      <c r="O795" s="957">
        <f>+O810+O816</f>
        <v>0</v>
      </c>
    </row>
    <row r="796" spans="2:16" ht="12.5">
      <c r="B796" s="954" t="s">
        <v>616</v>
      </c>
      <c r="C796" s="955">
        <f>C817</f>
        <v>28.76</v>
      </c>
      <c r="D796" s="955">
        <f t="shared" ref="D796:K797" si="67">D817</f>
        <v>32.267119959999995</v>
      </c>
      <c r="E796" s="955">
        <f t="shared" si="67"/>
        <v>34.665655960000002</v>
      </c>
      <c r="F796" s="955">
        <f t="shared" si="67"/>
        <v>37.417906959999996</v>
      </c>
      <c r="G796" s="955">
        <f t="shared" si="67"/>
        <v>39.731059960000003</v>
      </c>
      <c r="H796" s="955">
        <f t="shared" si="67"/>
        <v>49.63166296</v>
      </c>
      <c r="I796" s="955">
        <f t="shared" si="67"/>
        <v>40.218896960000002</v>
      </c>
      <c r="J796" s="956">
        <f t="shared" si="67"/>
        <v>40.218896960000002</v>
      </c>
      <c r="K796" s="957">
        <f t="shared" si="67"/>
        <v>0</v>
      </c>
      <c r="L796" s="957">
        <f t="shared" ref="L796:O797" si="68">+L817</f>
        <v>0</v>
      </c>
      <c r="M796" s="957">
        <f t="shared" si="68"/>
        <v>0</v>
      </c>
      <c r="N796" s="957">
        <f t="shared" si="68"/>
        <v>0</v>
      </c>
      <c r="O796" s="957">
        <f t="shared" si="68"/>
        <v>0</v>
      </c>
    </row>
    <row r="797" spans="2:16" ht="12.5">
      <c r="B797" s="954" t="s">
        <v>617</v>
      </c>
      <c r="C797" s="955">
        <f>C818</f>
        <v>569.54</v>
      </c>
      <c r="D797" s="955">
        <f t="shared" si="67"/>
        <v>597.425140983029</v>
      </c>
      <c r="E797" s="955">
        <f t="shared" si="67"/>
        <v>565.39987930735572</v>
      </c>
      <c r="F797" s="955">
        <f t="shared" si="67"/>
        <v>549.13630437856864</v>
      </c>
      <c r="G797" s="955">
        <f t="shared" si="67"/>
        <v>559.68931265756396</v>
      </c>
      <c r="H797" s="955">
        <f t="shared" si="67"/>
        <v>548.14147263211942</v>
      </c>
      <c r="I797" s="955">
        <f t="shared" si="67"/>
        <v>559.82638690288422</v>
      </c>
      <c r="J797" s="956">
        <f t="shared" si="67"/>
        <v>559.82638690288422</v>
      </c>
      <c r="K797" s="957">
        <f t="shared" si="67"/>
        <v>0</v>
      </c>
      <c r="L797" s="957">
        <f t="shared" si="68"/>
        <v>0</v>
      </c>
      <c r="M797" s="957">
        <f t="shared" si="68"/>
        <v>0</v>
      </c>
      <c r="N797" s="957">
        <f t="shared" si="68"/>
        <v>0</v>
      </c>
      <c r="O797" s="957">
        <f t="shared" si="68"/>
        <v>0</v>
      </c>
    </row>
    <row r="798" spans="2:16" ht="12.5">
      <c r="B798" s="954" t="s">
        <v>62</v>
      </c>
      <c r="C798" s="955">
        <f>C819+C813</f>
        <v>118.7</v>
      </c>
      <c r="D798" s="955">
        <f t="shared" ref="D798" si="69">D819+D813</f>
        <v>118.774462</v>
      </c>
      <c r="E798" s="955">
        <f>E819+E813</f>
        <v>118.920469</v>
      </c>
      <c r="F798" s="955">
        <f t="shared" ref="F798:H798" si="70">F819+F813</f>
        <v>119.090925</v>
      </c>
      <c r="G798" s="955">
        <f t="shared" si="70"/>
        <v>118.40392199999999</v>
      </c>
      <c r="H798" s="955">
        <f t="shared" si="70"/>
        <v>118.532484</v>
      </c>
      <c r="I798" s="955">
        <f>I819+I813</f>
        <v>118.721011</v>
      </c>
      <c r="J798" s="956">
        <f t="shared" ref="J798:K798" si="71">J819+J813</f>
        <v>118.721011</v>
      </c>
      <c r="K798" s="957">
        <f t="shared" si="71"/>
        <v>0</v>
      </c>
      <c r="L798" s="957">
        <f>L819+L813</f>
        <v>0</v>
      </c>
      <c r="M798" s="957">
        <f>M819+M813</f>
        <v>0</v>
      </c>
      <c r="N798" s="957">
        <f>N819+N813</f>
        <v>0</v>
      </c>
      <c r="O798" s="957">
        <f>O819+O813</f>
        <v>0</v>
      </c>
    </row>
    <row r="799" spans="2:16" ht="12.5">
      <c r="B799" s="954" t="s">
        <v>618</v>
      </c>
      <c r="C799" s="955">
        <f>C808+C820</f>
        <v>477.2</v>
      </c>
      <c r="D799" s="955">
        <f t="shared" ref="D799:K799" si="72">D808+D820</f>
        <v>1021.783369</v>
      </c>
      <c r="E799" s="955">
        <f t="shared" si="72"/>
        <v>989.38919999999996</v>
      </c>
      <c r="F799" s="955">
        <f t="shared" si="72"/>
        <v>1221.108716</v>
      </c>
      <c r="G799" s="955">
        <f t="shared" si="72"/>
        <v>1218.047106</v>
      </c>
      <c r="H799" s="955">
        <f t="shared" si="72"/>
        <v>1377.858571</v>
      </c>
      <c r="I799" s="955">
        <f t="shared" si="72"/>
        <v>1383.0370129999999</v>
      </c>
      <c r="J799" s="956">
        <f t="shared" si="72"/>
        <v>1383.0370129999999</v>
      </c>
      <c r="K799" s="957">
        <f t="shared" si="72"/>
        <v>0</v>
      </c>
      <c r="L799" s="957">
        <f t="shared" ref="L799" si="73">+L808+L820</f>
        <v>0</v>
      </c>
      <c r="M799" s="957">
        <f>+M808+M820</f>
        <v>0</v>
      </c>
      <c r="N799" s="957">
        <f>+N808+N820</f>
        <v>0</v>
      </c>
      <c r="O799" s="957">
        <f>+O808+O820</f>
        <v>0</v>
      </c>
    </row>
    <row r="800" spans="2:16" ht="12.5">
      <c r="B800" s="954" t="s">
        <v>619</v>
      </c>
      <c r="C800" s="955">
        <f>C811+C821</f>
        <v>0</v>
      </c>
      <c r="D800" s="955">
        <f t="shared" ref="D800:K800" si="74">D811+D821</f>
        <v>0</v>
      </c>
      <c r="E800" s="955">
        <f t="shared" si="74"/>
        <v>0</v>
      </c>
      <c r="F800" s="955">
        <f t="shared" si="74"/>
        <v>0</v>
      </c>
      <c r="G800" s="955">
        <f t="shared" si="74"/>
        <v>0</v>
      </c>
      <c r="H800" s="955">
        <f t="shared" si="74"/>
        <v>0</v>
      </c>
      <c r="I800" s="955">
        <f t="shared" si="74"/>
        <v>0</v>
      </c>
      <c r="J800" s="956">
        <f t="shared" si="74"/>
        <v>0</v>
      </c>
      <c r="K800" s="957">
        <f t="shared" si="74"/>
        <v>0</v>
      </c>
      <c r="L800" s="957">
        <f t="shared" ref="L800" si="75">+L811+L821</f>
        <v>0</v>
      </c>
      <c r="M800" s="957">
        <f>+M811+M821</f>
        <v>0</v>
      </c>
      <c r="N800" s="957">
        <f>+N811+N821</f>
        <v>0</v>
      </c>
      <c r="O800" s="957">
        <f>+O811+O821</f>
        <v>0</v>
      </c>
    </row>
    <row r="801" spans="2:16" ht="12.5">
      <c r="B801" s="954" t="s">
        <v>620</v>
      </c>
      <c r="C801" s="955">
        <f>C809</f>
        <v>22.2</v>
      </c>
      <c r="D801" s="955">
        <f t="shared" ref="D801:K801" si="76">D809</f>
        <v>22.182302</v>
      </c>
      <c r="E801" s="955">
        <f t="shared" si="76"/>
        <v>22.182302</v>
      </c>
      <c r="F801" s="955">
        <f t="shared" si="76"/>
        <v>22.182302</v>
      </c>
      <c r="G801" s="955">
        <f t="shared" si="76"/>
        <v>22.182302</v>
      </c>
      <c r="H801" s="955">
        <f t="shared" si="76"/>
        <v>22.182302</v>
      </c>
      <c r="I801" s="955">
        <f t="shared" si="76"/>
        <v>22.182302</v>
      </c>
      <c r="J801" s="956">
        <f t="shared" si="76"/>
        <v>22.182302</v>
      </c>
      <c r="K801" s="957">
        <f t="shared" si="76"/>
        <v>0</v>
      </c>
      <c r="L801" s="957">
        <f t="shared" ref="L801:M801" si="77">+L809</f>
        <v>0</v>
      </c>
      <c r="M801" s="957">
        <f t="shared" si="77"/>
        <v>0</v>
      </c>
      <c r="N801" s="957">
        <f>+N809</f>
        <v>0</v>
      </c>
      <c r="O801" s="957">
        <f>+O809</f>
        <v>0</v>
      </c>
    </row>
    <row r="802" spans="2:16" ht="12.5">
      <c r="B802" s="954" t="s">
        <v>621</v>
      </c>
      <c r="C802" s="955">
        <f>C812</f>
        <v>0</v>
      </c>
      <c r="D802" s="955">
        <f t="shared" ref="D802:K802" si="78">D812</f>
        <v>0</v>
      </c>
      <c r="E802" s="955">
        <f t="shared" si="78"/>
        <v>0</v>
      </c>
      <c r="F802" s="955">
        <f t="shared" si="78"/>
        <v>0</v>
      </c>
      <c r="G802" s="955">
        <f t="shared" si="78"/>
        <v>0</v>
      </c>
      <c r="H802" s="955">
        <f t="shared" si="78"/>
        <v>0</v>
      </c>
      <c r="I802" s="955">
        <f t="shared" si="78"/>
        <v>0</v>
      </c>
      <c r="J802" s="956">
        <f t="shared" si="78"/>
        <v>0</v>
      </c>
      <c r="K802" s="957">
        <f t="shared" si="78"/>
        <v>0</v>
      </c>
      <c r="L802" s="957">
        <f t="shared" ref="L802" si="79">+L812</f>
        <v>0</v>
      </c>
      <c r="M802" s="957">
        <f>+M812</f>
        <v>0</v>
      </c>
      <c r="N802" s="957">
        <f>+N812</f>
        <v>0</v>
      </c>
      <c r="O802" s="957">
        <f>+O812</f>
        <v>0</v>
      </c>
    </row>
    <row r="803" spans="2:16" ht="12.5">
      <c r="B803" s="954" t="s">
        <v>622</v>
      </c>
      <c r="C803" s="955">
        <f>C825</f>
        <v>947.63845087999937</v>
      </c>
      <c r="D803" s="955">
        <f>D825</f>
        <v>948.31208487999982</v>
      </c>
      <c r="E803" s="955">
        <f>E825</f>
        <v>953.09222887999977</v>
      </c>
      <c r="F803" s="955">
        <f t="shared" ref="F803:L803" si="80">F825</f>
        <v>957.36254987999973</v>
      </c>
      <c r="G803" s="955">
        <f t="shared" si="80"/>
        <v>962.31391188000021</v>
      </c>
      <c r="H803" s="955">
        <f t="shared" si="80"/>
        <v>967.23267388000022</v>
      </c>
      <c r="I803" s="955">
        <f>I825</f>
        <v>971.72444488000019</v>
      </c>
      <c r="J803" s="956">
        <f t="shared" si="80"/>
        <v>971.72444488000019</v>
      </c>
      <c r="K803" s="956">
        <f t="shared" si="80"/>
        <v>0</v>
      </c>
      <c r="L803" s="956">
        <f t="shared" si="80"/>
        <v>0</v>
      </c>
      <c r="M803" s="956">
        <v>0</v>
      </c>
      <c r="N803" s="956">
        <f>N825</f>
        <v>0</v>
      </c>
      <c r="O803" s="956">
        <f>O825</f>
        <v>0</v>
      </c>
    </row>
    <row r="804" spans="2:16" ht="12.5">
      <c r="C804" s="441"/>
      <c r="D804" s="441"/>
      <c r="E804" s="441"/>
      <c r="F804" s="441"/>
      <c r="G804" s="441"/>
      <c r="H804" s="441"/>
      <c r="I804" s="441"/>
      <c r="J804" s="546"/>
      <c r="K804" s="441"/>
      <c r="L804" s="441"/>
      <c r="M804" s="547"/>
    </row>
    <row r="805" spans="2:16" ht="13">
      <c r="C805" s="548"/>
      <c r="D805" s="441"/>
      <c r="E805" s="441"/>
      <c r="F805" s="441"/>
      <c r="G805" s="441"/>
      <c r="H805" s="441"/>
      <c r="I805" s="441"/>
      <c r="J805" s="441"/>
      <c r="K805" s="441"/>
      <c r="L805" s="441"/>
      <c r="M805" s="441"/>
    </row>
    <row r="806" spans="2:16" ht="12.5">
      <c r="C806" s="441"/>
      <c r="D806" s="441"/>
      <c r="E806" s="441"/>
      <c r="F806" s="441"/>
      <c r="G806" s="441"/>
      <c r="H806" s="441"/>
      <c r="I806" s="441"/>
      <c r="J806" s="441"/>
      <c r="K806" s="441"/>
      <c r="L806" s="441"/>
      <c r="M806" s="441"/>
      <c r="O806" s="549"/>
      <c r="P806" s="441" t="s">
        <v>623</v>
      </c>
    </row>
    <row r="807" spans="2:16" ht="12.5">
      <c r="B807" s="550" t="s">
        <v>624</v>
      </c>
      <c r="C807" s="551">
        <v>633.20000000000005</v>
      </c>
      <c r="D807" s="551">
        <v>1355.4944909999999</v>
      </c>
      <c r="E807" s="551">
        <v>1791.8114639999999</v>
      </c>
      <c r="F807" s="551">
        <v>2367.5126059999998</v>
      </c>
      <c r="G807" s="551">
        <v>997.60404300000005</v>
      </c>
      <c r="H807" s="551">
        <v>1739.8897179999999</v>
      </c>
      <c r="I807" s="551">
        <v>1172.8603000000001</v>
      </c>
      <c r="J807" s="554">
        <v>1172.8603000000001</v>
      </c>
      <c r="K807" s="553"/>
      <c r="L807" s="551"/>
      <c r="M807" s="551"/>
      <c r="N807" s="551"/>
      <c r="O807" s="551"/>
    </row>
    <row r="808" spans="2:16" ht="12.5">
      <c r="B808" s="550" t="s">
        <v>625</v>
      </c>
      <c r="C808" s="551">
        <v>477.2</v>
      </c>
      <c r="D808" s="551">
        <v>1021.783369</v>
      </c>
      <c r="E808" s="551">
        <v>989.38919999999996</v>
      </c>
      <c r="F808" s="551">
        <v>1221.108716</v>
      </c>
      <c r="G808" s="551">
        <v>1218.047106</v>
      </c>
      <c r="H808" s="551">
        <v>1377.858571</v>
      </c>
      <c r="I808" s="551">
        <v>1383.0370129999999</v>
      </c>
      <c r="J808" s="554">
        <v>1383.0370129999999</v>
      </c>
      <c r="K808" s="553"/>
      <c r="L808" s="551"/>
      <c r="M808" s="551"/>
      <c r="N808" s="551"/>
      <c r="O808" s="551"/>
    </row>
    <row r="809" spans="2:16" ht="12.5">
      <c r="B809" s="550" t="s">
        <v>626</v>
      </c>
      <c r="C809" s="551">
        <v>22.2</v>
      </c>
      <c r="D809" s="551">
        <v>22.182302</v>
      </c>
      <c r="E809" s="551">
        <v>22.182302</v>
      </c>
      <c r="F809" s="551">
        <v>22.182302</v>
      </c>
      <c r="G809" s="551">
        <v>22.182302</v>
      </c>
      <c r="H809" s="551">
        <v>22.182302</v>
      </c>
      <c r="I809" s="551">
        <v>22.182302</v>
      </c>
      <c r="J809" s="554">
        <v>22.182302</v>
      </c>
      <c r="K809" s="553"/>
      <c r="L809" s="551"/>
      <c r="M809" s="551"/>
      <c r="N809" s="551"/>
      <c r="O809" s="551"/>
    </row>
    <row r="810" spans="2:16" ht="12.5">
      <c r="B810" s="550" t="s">
        <v>627</v>
      </c>
      <c r="C810" s="551">
        <v>1139.5</v>
      </c>
      <c r="D810" s="551">
        <v>1140.8789859999999</v>
      </c>
      <c r="E810" s="551">
        <v>1132.1875030000001</v>
      </c>
      <c r="F810" s="551">
        <v>988.543994</v>
      </c>
      <c r="G810" s="551">
        <v>976.083168</v>
      </c>
      <c r="H810" s="551">
        <v>969.33268299999997</v>
      </c>
      <c r="I810" s="551">
        <v>916.30787499999997</v>
      </c>
      <c r="J810" s="554">
        <v>916.30787499999997</v>
      </c>
      <c r="K810" s="553"/>
      <c r="L810" s="551"/>
      <c r="M810" s="551"/>
      <c r="N810" s="551"/>
      <c r="O810" s="551"/>
    </row>
    <row r="811" spans="2:16" ht="12.5">
      <c r="B811" s="550" t="s">
        <v>628</v>
      </c>
      <c r="C811" s="551">
        <v>0</v>
      </c>
      <c r="D811" s="551">
        <v>0</v>
      </c>
      <c r="E811" s="551">
        <v>0</v>
      </c>
      <c r="F811" s="551">
        <v>0</v>
      </c>
      <c r="G811" s="551">
        <v>0</v>
      </c>
      <c r="H811" s="551">
        <v>0</v>
      </c>
      <c r="I811" s="551">
        <v>0</v>
      </c>
      <c r="J811" s="554">
        <v>0</v>
      </c>
      <c r="K811" s="553"/>
      <c r="L811" s="551"/>
      <c r="M811" s="551"/>
      <c r="N811" s="551"/>
      <c r="O811" s="551"/>
    </row>
    <row r="812" spans="2:16" ht="12.5">
      <c r="B812" s="550" t="s">
        <v>629</v>
      </c>
      <c r="C812" s="551">
        <v>0</v>
      </c>
      <c r="D812" s="551">
        <v>0</v>
      </c>
      <c r="E812" s="551">
        <v>0</v>
      </c>
      <c r="F812" s="551">
        <v>0</v>
      </c>
      <c r="G812" s="551">
        <v>0</v>
      </c>
      <c r="H812" s="551">
        <v>0</v>
      </c>
      <c r="I812" s="551">
        <v>0</v>
      </c>
      <c r="J812" s="554">
        <v>0</v>
      </c>
      <c r="K812" s="553"/>
      <c r="L812" s="551"/>
      <c r="M812" s="551"/>
      <c r="N812" s="551"/>
      <c r="O812" s="551"/>
    </row>
    <row r="813" spans="2:16" ht="12.5">
      <c r="B813" s="550" t="s">
        <v>630</v>
      </c>
      <c r="C813" s="551">
        <v>118.7</v>
      </c>
      <c r="D813" s="551">
        <v>118.774462</v>
      </c>
      <c r="E813" s="551">
        <v>118.920469</v>
      </c>
      <c r="F813" s="551">
        <v>119.090925</v>
      </c>
      <c r="G813" s="551">
        <v>118.40392199999999</v>
      </c>
      <c r="H813" s="551">
        <v>118.532484</v>
      </c>
      <c r="I813" s="551">
        <v>118.721011</v>
      </c>
      <c r="J813" s="554">
        <v>118.721011</v>
      </c>
      <c r="K813" s="553"/>
      <c r="L813" s="551"/>
      <c r="M813" s="551"/>
      <c r="N813" s="551"/>
      <c r="O813" s="551"/>
    </row>
    <row r="814" spans="2:16">
      <c r="B814" s="526"/>
      <c r="C814" s="526"/>
      <c r="D814" s="526"/>
      <c r="E814" s="526"/>
      <c r="F814" s="525"/>
      <c r="G814" s="525"/>
      <c r="H814" s="525"/>
      <c r="I814" s="525"/>
      <c r="J814" s="554"/>
      <c r="K814" s="551"/>
      <c r="L814" s="491"/>
      <c r="M814" s="441"/>
      <c r="N814" s="491"/>
    </row>
    <row r="815" spans="2:16" ht="12.5">
      <c r="B815" s="560" t="s">
        <v>631</v>
      </c>
      <c r="C815" s="958"/>
      <c r="D815" s="958"/>
      <c r="E815" s="958"/>
      <c r="F815" s="958"/>
      <c r="G815" s="958"/>
      <c r="H815" s="958"/>
      <c r="I815" s="958"/>
      <c r="J815" s="958"/>
      <c r="K815" s="553"/>
      <c r="L815" s="551"/>
      <c r="M815" s="561"/>
      <c r="N815" s="561"/>
      <c r="O815" s="551"/>
    </row>
    <row r="816" spans="2:16" ht="12.5">
      <c r="B816" s="560" t="s">
        <v>632</v>
      </c>
      <c r="C816" s="551">
        <v>14.71</v>
      </c>
      <c r="D816" s="551">
        <v>14.146445249999999</v>
      </c>
      <c r="E816" s="551">
        <v>14.36331725</v>
      </c>
      <c r="F816" s="551">
        <v>13.42841825</v>
      </c>
      <c r="G816" s="551">
        <v>12.904324249999998</v>
      </c>
      <c r="H816" s="551">
        <v>12.28272825</v>
      </c>
      <c r="I816" s="551">
        <v>18.317981249999999</v>
      </c>
      <c r="J816" s="554">
        <v>18.317981249999999</v>
      </c>
      <c r="K816" s="553"/>
      <c r="L816" s="551"/>
      <c r="M816" s="561"/>
      <c r="N816" s="561"/>
      <c r="O816" s="551"/>
    </row>
    <row r="817" spans="2:15" ht="12.5">
      <c r="B817" s="560" t="s">
        <v>633</v>
      </c>
      <c r="C817" s="551">
        <v>28.76</v>
      </c>
      <c r="D817" s="551">
        <v>32.267119959999995</v>
      </c>
      <c r="E817" s="551">
        <v>34.665655960000002</v>
      </c>
      <c r="F817" s="551">
        <v>37.417906959999996</v>
      </c>
      <c r="G817" s="551">
        <v>39.731059960000003</v>
      </c>
      <c r="H817" s="551">
        <v>49.63166296</v>
      </c>
      <c r="I817" s="551">
        <v>40.218896960000002</v>
      </c>
      <c r="J817" s="554">
        <v>40.218896960000002</v>
      </c>
      <c r="K817" s="553"/>
      <c r="L817" s="551"/>
      <c r="M817" s="561"/>
      <c r="N817" s="561"/>
      <c r="O817" s="551"/>
    </row>
    <row r="818" spans="2:15" ht="12.5">
      <c r="B818" s="560" t="s">
        <v>634</v>
      </c>
      <c r="C818" s="551">
        <v>569.54</v>
      </c>
      <c r="D818" s="551">
        <v>597.425140983029</v>
      </c>
      <c r="E818" s="551">
        <v>565.39987930735572</v>
      </c>
      <c r="F818" s="551">
        <v>549.13630437856864</v>
      </c>
      <c r="G818" s="551">
        <v>559.68931265756396</v>
      </c>
      <c r="H818" s="551">
        <v>548.14147263211942</v>
      </c>
      <c r="I818" s="551">
        <v>559.82638690288422</v>
      </c>
      <c r="J818" s="554">
        <v>559.82638690288422</v>
      </c>
      <c r="K818" s="553"/>
      <c r="L818" s="551"/>
      <c r="M818" s="561"/>
      <c r="N818" s="561"/>
      <c r="O818" s="551"/>
    </row>
    <row r="819" spans="2:15" ht="12.5">
      <c r="B819" s="560" t="s">
        <v>635</v>
      </c>
      <c r="C819" s="958"/>
      <c r="D819" s="958"/>
      <c r="E819" s="958"/>
      <c r="F819" s="958"/>
      <c r="G819" s="958"/>
      <c r="H819" s="958"/>
      <c r="I819" s="958"/>
      <c r="J819" s="958"/>
      <c r="K819" s="553"/>
      <c r="L819" s="551"/>
      <c r="M819" s="561"/>
      <c r="N819" s="561"/>
      <c r="O819" s="551"/>
    </row>
    <row r="820" spans="2:15" ht="12.5">
      <c r="B820" s="560" t="s">
        <v>636</v>
      </c>
      <c r="C820" s="551">
        <v>0</v>
      </c>
      <c r="D820" s="551">
        <v>0</v>
      </c>
      <c r="E820" s="551">
        <v>0</v>
      </c>
      <c r="F820" s="551">
        <v>0</v>
      </c>
      <c r="G820" s="551">
        <v>0</v>
      </c>
      <c r="H820" s="551">
        <v>0</v>
      </c>
      <c r="I820" s="551">
        <v>0</v>
      </c>
      <c r="J820" s="554">
        <v>0</v>
      </c>
      <c r="K820" s="553"/>
      <c r="L820" s="551"/>
      <c r="M820" s="561"/>
      <c r="N820" s="561"/>
      <c r="O820" s="551"/>
    </row>
    <row r="821" spans="2:15" ht="12.5">
      <c r="B821" s="560" t="s">
        <v>637</v>
      </c>
      <c r="C821" s="551">
        <v>0</v>
      </c>
      <c r="D821" s="551">
        <v>0</v>
      </c>
      <c r="E821" s="551">
        <v>0</v>
      </c>
      <c r="F821" s="551">
        <v>0</v>
      </c>
      <c r="G821" s="551">
        <v>0</v>
      </c>
      <c r="H821" s="551">
        <v>0</v>
      </c>
      <c r="I821" s="551">
        <v>0</v>
      </c>
      <c r="J821" s="554">
        <v>0</v>
      </c>
      <c r="K821" s="553"/>
      <c r="L821" s="551"/>
      <c r="M821" s="561"/>
      <c r="N821" s="561"/>
      <c r="O821" s="551"/>
    </row>
    <row r="822" spans="2:15" ht="12.5">
      <c r="B822" s="560" t="s">
        <v>638</v>
      </c>
      <c r="C822" s="551">
        <v>3013.13</v>
      </c>
      <c r="D822" s="551">
        <v>3276.1929536813077</v>
      </c>
      <c r="E822" s="551">
        <v>3231.1963119504935</v>
      </c>
      <c r="F822" s="551">
        <v>3464.1282694725642</v>
      </c>
      <c r="G822" s="551">
        <v>3476.1223908506054</v>
      </c>
      <c r="H822" s="551">
        <v>3627.8349796691782</v>
      </c>
      <c r="I822" s="551">
        <v>3614.4275255883645</v>
      </c>
      <c r="J822" s="554">
        <v>3614.4275255883645</v>
      </c>
      <c r="K822" s="553"/>
      <c r="L822" s="551"/>
      <c r="M822" s="561"/>
      <c r="N822" s="561"/>
      <c r="O822" s="551"/>
    </row>
    <row r="823" spans="2:15" ht="12.5">
      <c r="B823" s="560" t="s">
        <v>639</v>
      </c>
      <c r="C823" s="551">
        <v>5610.82</v>
      </c>
      <c r="D823" s="551">
        <v>5638.3769314300007</v>
      </c>
      <c r="E823" s="551">
        <v>5517.6252189499992</v>
      </c>
      <c r="F823" s="551">
        <v>5717.0575361200008</v>
      </c>
      <c r="G823" s="551">
        <v>5695.82921609</v>
      </c>
      <c r="H823" s="551">
        <v>5843.2596874900009</v>
      </c>
      <c r="I823" s="551">
        <v>6035.0981341400002</v>
      </c>
      <c r="J823" s="554">
        <v>6035.0981341400002</v>
      </c>
      <c r="K823" s="553"/>
      <c r="L823" s="551"/>
      <c r="M823" s="561"/>
      <c r="N823" s="561"/>
      <c r="O823" s="551"/>
    </row>
    <row r="825" spans="2:15" ht="13">
      <c r="B825" s="959" t="s">
        <v>622</v>
      </c>
      <c r="C825" s="960">
        <v>947.63845087999937</v>
      </c>
      <c r="D825" s="960">
        <v>948.31208487999982</v>
      </c>
      <c r="E825" s="960">
        <v>953.09222887999977</v>
      </c>
      <c r="F825" s="960">
        <v>957.36254987999973</v>
      </c>
      <c r="G825" s="960">
        <v>962.31391188000021</v>
      </c>
      <c r="H825" s="960">
        <v>967.23267388000022</v>
      </c>
      <c r="I825" s="960">
        <v>971.72444488000019</v>
      </c>
      <c r="J825" s="961">
        <v>971.72444488000019</v>
      </c>
      <c r="K825" s="961"/>
      <c r="L825" s="961"/>
      <c r="M825" s="961"/>
      <c r="N825" s="961"/>
      <c r="O825" s="961"/>
    </row>
    <row r="827" spans="2:15" ht="12.5">
      <c r="B827" s="566" t="s">
        <v>640</v>
      </c>
      <c r="C827" s="566"/>
      <c r="D827" s="566"/>
      <c r="E827" s="566"/>
      <c r="F827" s="441"/>
      <c r="G827" s="441"/>
      <c r="H827" s="441"/>
      <c r="I827" s="441"/>
      <c r="J827" s="441"/>
      <c r="K827" s="441"/>
      <c r="L827" s="441"/>
      <c r="M827" s="441"/>
    </row>
    <row r="829" spans="2:15" ht="12.5">
      <c r="B829" s="567" t="s">
        <v>641</v>
      </c>
      <c r="C829" s="567"/>
      <c r="D829" s="441"/>
      <c r="E829" s="441"/>
      <c r="F829" s="441"/>
      <c r="G829" s="441"/>
      <c r="H829" s="441"/>
      <c r="I829" s="441"/>
      <c r="J829" s="441"/>
      <c r="K829" s="441"/>
      <c r="L829" s="441"/>
      <c r="M829" s="441"/>
    </row>
    <row r="830" spans="2:15" ht="12.5">
      <c r="B830" s="567" t="s">
        <v>642</v>
      </c>
      <c r="C830" s="567"/>
      <c r="D830" s="441"/>
      <c r="E830" s="441"/>
      <c r="F830" s="441"/>
      <c r="G830" s="441"/>
      <c r="H830" s="441"/>
      <c r="I830" s="441"/>
      <c r="J830" s="441"/>
      <c r="K830" s="441"/>
      <c r="L830" s="441"/>
      <c r="M830" s="441"/>
    </row>
    <row r="832" spans="2:15" ht="12.5">
      <c r="C832" s="441"/>
      <c r="D832" s="551"/>
      <c r="E832" s="551"/>
      <c r="F832" s="551"/>
      <c r="G832" s="551"/>
      <c r="H832" s="551"/>
      <c r="I832" s="551"/>
      <c r="J832" s="551"/>
      <c r="K832" s="551"/>
      <c r="L832" s="551"/>
      <c r="M832" s="551"/>
      <c r="N832" s="551"/>
      <c r="O832" s="551"/>
    </row>
  </sheetData>
  <mergeCells count="2">
    <mergeCell ref="B4:H4"/>
    <mergeCell ref="J4:L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EG722"/>
  <sheetViews>
    <sheetView showGridLines="0" topLeftCell="E654" zoomScale="98" zoomScaleNormal="98" workbookViewId="0">
      <selection activeCell="L676" sqref="L676"/>
    </sheetView>
  </sheetViews>
  <sheetFormatPr defaultRowHeight="14.5"/>
  <cols>
    <col min="1" max="1" width="3.453125" style="441" customWidth="1"/>
    <col min="2" max="2" width="26.81640625" style="441" customWidth="1"/>
    <col min="3" max="3" width="16" style="535" customWidth="1"/>
    <col min="4" max="4" width="18.26953125" style="535" bestFit="1" customWidth="1"/>
    <col min="5" max="5" width="18.81640625" style="535" customWidth="1"/>
    <col min="6" max="7" width="15.1796875" style="535" customWidth="1"/>
    <col min="8" max="8" width="15.453125" style="535" customWidth="1"/>
    <col min="9" max="9" width="14.54296875" style="535" customWidth="1"/>
    <col min="10" max="10" width="16.453125" style="535" customWidth="1"/>
    <col min="11" max="11" width="17.1796875" style="535" customWidth="1"/>
    <col min="12" max="12" width="16.7265625" style="535" customWidth="1"/>
    <col min="13" max="13" width="24" style="535" customWidth="1"/>
    <col min="14" max="14" width="16.1796875" style="441" customWidth="1"/>
    <col min="15" max="15" width="16" style="441" customWidth="1"/>
    <col min="16" max="16" width="17.26953125" style="441" customWidth="1"/>
    <col min="17" max="17" width="14.81640625" style="441" customWidth="1"/>
    <col min="18" max="18" width="18.26953125" style="441" customWidth="1"/>
    <col min="19" max="19" width="18" style="441" customWidth="1"/>
    <col min="20" max="20" width="16" style="441" bestFit="1" customWidth="1"/>
    <col min="21" max="21" width="17.81640625" style="441" customWidth="1"/>
    <col min="22" max="22" width="17.7265625" style="441" customWidth="1"/>
    <col min="23" max="117" width="9.1796875" style="441"/>
    <col min="118" max="122" width="0" style="441" hidden="1" customWidth="1"/>
    <col min="123" max="129" width="9.1796875" style="441"/>
    <col min="130" max="130" width="8" style="441" customWidth="1"/>
    <col min="131" max="134" width="0" style="441" hidden="1" customWidth="1"/>
    <col min="135" max="254" width="9.1796875" style="441"/>
    <col min="255" max="255" width="14.54296875" style="441" customWidth="1"/>
    <col min="256" max="257" width="9.1796875" style="441"/>
    <col min="258" max="258" width="14.7265625" style="441" customWidth="1"/>
    <col min="259" max="259" width="14.26953125" style="441" customWidth="1"/>
    <col min="260" max="260" width="13.81640625" style="441" customWidth="1"/>
    <col min="261" max="261" width="11.7265625" style="441" customWidth="1"/>
    <col min="262" max="262" width="12" style="441" customWidth="1"/>
    <col min="263" max="263" width="9.1796875" style="441"/>
    <col min="264" max="264" width="13.81640625" style="441" customWidth="1"/>
    <col min="265" max="265" width="13" style="441" customWidth="1"/>
    <col min="266" max="266" width="15.1796875" style="441" customWidth="1"/>
    <col min="267" max="267" width="14.7265625" style="441" customWidth="1"/>
    <col min="268" max="268" width="11.1796875" style="441" bestFit="1" customWidth="1"/>
    <col min="269" max="510" width="9.1796875" style="441"/>
    <col min="511" max="511" width="14.54296875" style="441" customWidth="1"/>
    <col min="512" max="513" width="9.1796875" style="441"/>
    <col min="514" max="514" width="14.7265625" style="441" customWidth="1"/>
    <col min="515" max="515" width="14.26953125" style="441" customWidth="1"/>
    <col min="516" max="516" width="13.81640625" style="441" customWidth="1"/>
    <col min="517" max="517" width="11.7265625" style="441" customWidth="1"/>
    <col min="518" max="518" width="12" style="441" customWidth="1"/>
    <col min="519" max="519" width="9.1796875" style="441"/>
    <col min="520" max="520" width="13.81640625" style="441" customWidth="1"/>
    <col min="521" max="521" width="13" style="441" customWidth="1"/>
    <col min="522" max="522" width="15.1796875" style="441" customWidth="1"/>
    <col min="523" max="523" width="14.7265625" style="441" customWidth="1"/>
    <col min="524" max="524" width="11.1796875" style="441" bestFit="1" customWidth="1"/>
    <col min="525" max="766" width="9.1796875" style="441"/>
    <col min="767" max="767" width="14.54296875" style="441" customWidth="1"/>
    <col min="768" max="769" width="9.1796875" style="441"/>
    <col min="770" max="770" width="14.7265625" style="441" customWidth="1"/>
    <col min="771" max="771" width="14.26953125" style="441" customWidth="1"/>
    <col min="772" max="772" width="13.81640625" style="441" customWidth="1"/>
    <col min="773" max="773" width="11.7265625" style="441" customWidth="1"/>
    <col min="774" max="774" width="12" style="441" customWidth="1"/>
    <col min="775" max="775" width="9.1796875" style="441"/>
    <col min="776" max="776" width="13.81640625" style="441" customWidth="1"/>
    <col min="777" max="777" width="13" style="441" customWidth="1"/>
    <col min="778" max="778" width="15.1796875" style="441" customWidth="1"/>
    <col min="779" max="779" width="14.7265625" style="441" customWidth="1"/>
    <col min="780" max="780" width="11.1796875" style="441" bestFit="1" customWidth="1"/>
    <col min="781" max="1022" width="9.1796875" style="441"/>
    <col min="1023" max="1023" width="14.54296875" style="441" customWidth="1"/>
    <col min="1024" max="1025" width="9.1796875" style="441"/>
    <col min="1026" max="1026" width="14.7265625" style="441" customWidth="1"/>
    <col min="1027" max="1027" width="14.26953125" style="441" customWidth="1"/>
    <col min="1028" max="1028" width="13.81640625" style="441" customWidth="1"/>
    <col min="1029" max="1029" width="11.7265625" style="441" customWidth="1"/>
    <col min="1030" max="1030" width="12" style="441" customWidth="1"/>
    <col min="1031" max="1031" width="9.1796875" style="441"/>
    <col min="1032" max="1032" width="13.81640625" style="441" customWidth="1"/>
    <col min="1033" max="1033" width="13" style="441" customWidth="1"/>
    <col min="1034" max="1034" width="15.1796875" style="441" customWidth="1"/>
    <col min="1035" max="1035" width="14.7265625" style="441" customWidth="1"/>
    <col min="1036" max="1036" width="11.1796875" style="441" bestFit="1" customWidth="1"/>
    <col min="1037" max="1278" width="9.1796875" style="441"/>
    <col min="1279" max="1279" width="14.54296875" style="441" customWidth="1"/>
    <col min="1280" max="1281" width="9.1796875" style="441"/>
    <col min="1282" max="1282" width="14.7265625" style="441" customWidth="1"/>
    <col min="1283" max="1283" width="14.26953125" style="441" customWidth="1"/>
    <col min="1284" max="1284" width="13.81640625" style="441" customWidth="1"/>
    <col min="1285" max="1285" width="11.7265625" style="441" customWidth="1"/>
    <col min="1286" max="1286" width="12" style="441" customWidth="1"/>
    <col min="1287" max="1287" width="9.1796875" style="441"/>
    <col min="1288" max="1288" width="13.81640625" style="441" customWidth="1"/>
    <col min="1289" max="1289" width="13" style="441" customWidth="1"/>
    <col min="1290" max="1290" width="15.1796875" style="441" customWidth="1"/>
    <col min="1291" max="1291" width="14.7265625" style="441" customWidth="1"/>
    <col min="1292" max="1292" width="11.1796875" style="441" bestFit="1" customWidth="1"/>
    <col min="1293" max="1534" width="9.1796875" style="441"/>
    <col min="1535" max="1535" width="14.54296875" style="441" customWidth="1"/>
    <col min="1536" max="1537" width="9.1796875" style="441"/>
    <col min="1538" max="1538" width="14.7265625" style="441" customWidth="1"/>
    <col min="1539" max="1539" width="14.26953125" style="441" customWidth="1"/>
    <col min="1540" max="1540" width="13.81640625" style="441" customWidth="1"/>
    <col min="1541" max="1541" width="11.7265625" style="441" customWidth="1"/>
    <col min="1542" max="1542" width="12" style="441" customWidth="1"/>
    <col min="1543" max="1543" width="9.1796875" style="441"/>
    <col min="1544" max="1544" width="13.81640625" style="441" customWidth="1"/>
    <col min="1545" max="1545" width="13" style="441" customWidth="1"/>
    <col min="1546" max="1546" width="15.1796875" style="441" customWidth="1"/>
    <col min="1547" max="1547" width="14.7265625" style="441" customWidth="1"/>
    <col min="1548" max="1548" width="11.1796875" style="441" bestFit="1" customWidth="1"/>
    <col min="1549" max="1790" width="9.1796875" style="441"/>
    <col min="1791" max="1791" width="14.54296875" style="441" customWidth="1"/>
    <col min="1792" max="1793" width="9.1796875" style="441"/>
    <col min="1794" max="1794" width="14.7265625" style="441" customWidth="1"/>
    <col min="1795" max="1795" width="14.26953125" style="441" customWidth="1"/>
    <col min="1796" max="1796" width="13.81640625" style="441" customWidth="1"/>
    <col min="1797" max="1797" width="11.7265625" style="441" customWidth="1"/>
    <col min="1798" max="1798" width="12" style="441" customWidth="1"/>
    <col min="1799" max="1799" width="9.1796875" style="441"/>
    <col min="1800" max="1800" width="13.81640625" style="441" customWidth="1"/>
    <col min="1801" max="1801" width="13" style="441" customWidth="1"/>
    <col min="1802" max="1802" width="15.1796875" style="441" customWidth="1"/>
    <col min="1803" max="1803" width="14.7265625" style="441" customWidth="1"/>
    <col min="1804" max="1804" width="11.1796875" style="441" bestFit="1" customWidth="1"/>
    <col min="1805" max="2046" width="9.1796875" style="441"/>
    <col min="2047" max="2047" width="14.54296875" style="441" customWidth="1"/>
    <col min="2048" max="2049" width="9.1796875" style="441"/>
    <col min="2050" max="2050" width="14.7265625" style="441" customWidth="1"/>
    <col min="2051" max="2051" width="14.26953125" style="441" customWidth="1"/>
    <col min="2052" max="2052" width="13.81640625" style="441" customWidth="1"/>
    <col min="2053" max="2053" width="11.7265625" style="441" customWidth="1"/>
    <col min="2054" max="2054" width="12" style="441" customWidth="1"/>
    <col min="2055" max="2055" width="9.1796875" style="441"/>
    <col min="2056" max="2056" width="13.81640625" style="441" customWidth="1"/>
    <col min="2057" max="2057" width="13" style="441" customWidth="1"/>
    <col min="2058" max="2058" width="15.1796875" style="441" customWidth="1"/>
    <col min="2059" max="2059" width="14.7265625" style="441" customWidth="1"/>
    <col min="2060" max="2060" width="11.1796875" style="441" bestFit="1" customWidth="1"/>
    <col min="2061" max="2302" width="9.1796875" style="441"/>
    <col min="2303" max="2303" width="14.54296875" style="441" customWidth="1"/>
    <col min="2304" max="2305" width="9.1796875" style="441"/>
    <col min="2306" max="2306" width="14.7265625" style="441" customWidth="1"/>
    <col min="2307" max="2307" width="14.26953125" style="441" customWidth="1"/>
    <col min="2308" max="2308" width="13.81640625" style="441" customWidth="1"/>
    <col min="2309" max="2309" width="11.7265625" style="441" customWidth="1"/>
    <col min="2310" max="2310" width="12" style="441" customWidth="1"/>
    <col min="2311" max="2311" width="9.1796875" style="441"/>
    <col min="2312" max="2312" width="13.81640625" style="441" customWidth="1"/>
    <col min="2313" max="2313" width="13" style="441" customWidth="1"/>
    <col min="2314" max="2314" width="15.1796875" style="441" customWidth="1"/>
    <col min="2315" max="2315" width="14.7265625" style="441" customWidth="1"/>
    <col min="2316" max="2316" width="11.1796875" style="441" bestFit="1" customWidth="1"/>
    <col min="2317" max="2558" width="9.1796875" style="441"/>
    <col min="2559" max="2559" width="14.54296875" style="441" customWidth="1"/>
    <col min="2560" max="2561" width="9.1796875" style="441"/>
    <col min="2562" max="2562" width="14.7265625" style="441" customWidth="1"/>
    <col min="2563" max="2563" width="14.26953125" style="441" customWidth="1"/>
    <col min="2564" max="2564" width="13.81640625" style="441" customWidth="1"/>
    <col min="2565" max="2565" width="11.7265625" style="441" customWidth="1"/>
    <col min="2566" max="2566" width="12" style="441" customWidth="1"/>
    <col min="2567" max="2567" width="9.1796875" style="441"/>
    <col min="2568" max="2568" width="13.81640625" style="441" customWidth="1"/>
    <col min="2569" max="2569" width="13" style="441" customWidth="1"/>
    <col min="2570" max="2570" width="15.1796875" style="441" customWidth="1"/>
    <col min="2571" max="2571" width="14.7265625" style="441" customWidth="1"/>
    <col min="2572" max="2572" width="11.1796875" style="441" bestFit="1" customWidth="1"/>
    <col min="2573" max="2814" width="9.1796875" style="441"/>
    <col min="2815" max="2815" width="14.54296875" style="441" customWidth="1"/>
    <col min="2816" max="2817" width="9.1796875" style="441"/>
    <col min="2818" max="2818" width="14.7265625" style="441" customWidth="1"/>
    <col min="2819" max="2819" width="14.26953125" style="441" customWidth="1"/>
    <col min="2820" max="2820" width="13.81640625" style="441" customWidth="1"/>
    <col min="2821" max="2821" width="11.7265625" style="441" customWidth="1"/>
    <col min="2822" max="2822" width="12" style="441" customWidth="1"/>
    <col min="2823" max="2823" width="9.1796875" style="441"/>
    <col min="2824" max="2824" width="13.81640625" style="441" customWidth="1"/>
    <col min="2825" max="2825" width="13" style="441" customWidth="1"/>
    <col min="2826" max="2826" width="15.1796875" style="441" customWidth="1"/>
    <col min="2827" max="2827" width="14.7265625" style="441" customWidth="1"/>
    <col min="2828" max="2828" width="11.1796875" style="441" bestFit="1" customWidth="1"/>
    <col min="2829" max="3070" width="9.1796875" style="441"/>
    <col min="3071" max="3071" width="14.54296875" style="441" customWidth="1"/>
    <col min="3072" max="3073" width="9.1796875" style="441"/>
    <col min="3074" max="3074" width="14.7265625" style="441" customWidth="1"/>
    <col min="3075" max="3075" width="14.26953125" style="441" customWidth="1"/>
    <col min="3076" max="3076" width="13.81640625" style="441" customWidth="1"/>
    <col min="3077" max="3077" width="11.7265625" style="441" customWidth="1"/>
    <col min="3078" max="3078" width="12" style="441" customWidth="1"/>
    <col min="3079" max="3079" width="9.1796875" style="441"/>
    <col min="3080" max="3080" width="13.81640625" style="441" customWidth="1"/>
    <col min="3081" max="3081" width="13" style="441" customWidth="1"/>
    <col min="3082" max="3082" width="15.1796875" style="441" customWidth="1"/>
    <col min="3083" max="3083" width="14.7265625" style="441" customWidth="1"/>
    <col min="3084" max="3084" width="11.1796875" style="441" bestFit="1" customWidth="1"/>
    <col min="3085" max="3326" width="9.1796875" style="441"/>
    <col min="3327" max="3327" width="14.54296875" style="441" customWidth="1"/>
    <col min="3328" max="3329" width="9.1796875" style="441"/>
    <col min="3330" max="3330" width="14.7265625" style="441" customWidth="1"/>
    <col min="3331" max="3331" width="14.26953125" style="441" customWidth="1"/>
    <col min="3332" max="3332" width="13.81640625" style="441" customWidth="1"/>
    <col min="3333" max="3333" width="11.7265625" style="441" customWidth="1"/>
    <col min="3334" max="3334" width="12" style="441" customWidth="1"/>
    <col min="3335" max="3335" width="9.1796875" style="441"/>
    <col min="3336" max="3336" width="13.81640625" style="441" customWidth="1"/>
    <col min="3337" max="3337" width="13" style="441" customWidth="1"/>
    <col min="3338" max="3338" width="15.1796875" style="441" customWidth="1"/>
    <col min="3339" max="3339" width="14.7265625" style="441" customWidth="1"/>
    <col min="3340" max="3340" width="11.1796875" style="441" bestFit="1" customWidth="1"/>
    <col min="3341" max="3582" width="9.1796875" style="441"/>
    <col min="3583" max="3583" width="14.54296875" style="441" customWidth="1"/>
    <col min="3584" max="3585" width="9.1796875" style="441"/>
    <col min="3586" max="3586" width="14.7265625" style="441" customWidth="1"/>
    <col min="3587" max="3587" width="14.26953125" style="441" customWidth="1"/>
    <col min="3588" max="3588" width="13.81640625" style="441" customWidth="1"/>
    <col min="3589" max="3589" width="11.7265625" style="441" customWidth="1"/>
    <col min="3590" max="3590" width="12" style="441" customWidth="1"/>
    <col min="3591" max="3591" width="9.1796875" style="441"/>
    <col min="3592" max="3592" width="13.81640625" style="441" customWidth="1"/>
    <col min="3593" max="3593" width="13" style="441" customWidth="1"/>
    <col min="3594" max="3594" width="15.1796875" style="441" customWidth="1"/>
    <col min="3595" max="3595" width="14.7265625" style="441" customWidth="1"/>
    <col min="3596" max="3596" width="11.1796875" style="441" bestFit="1" customWidth="1"/>
    <col min="3597" max="3838" width="9.1796875" style="441"/>
    <col min="3839" max="3839" width="14.54296875" style="441" customWidth="1"/>
    <col min="3840" max="3841" width="9.1796875" style="441"/>
    <col min="3842" max="3842" width="14.7265625" style="441" customWidth="1"/>
    <col min="3843" max="3843" width="14.26953125" style="441" customWidth="1"/>
    <col min="3844" max="3844" width="13.81640625" style="441" customWidth="1"/>
    <col min="3845" max="3845" width="11.7265625" style="441" customWidth="1"/>
    <col min="3846" max="3846" width="12" style="441" customWidth="1"/>
    <col min="3847" max="3847" width="9.1796875" style="441"/>
    <col min="3848" max="3848" width="13.81640625" style="441" customWidth="1"/>
    <col min="3849" max="3849" width="13" style="441" customWidth="1"/>
    <col min="3850" max="3850" width="15.1796875" style="441" customWidth="1"/>
    <col min="3851" max="3851" width="14.7265625" style="441" customWidth="1"/>
    <col min="3852" max="3852" width="11.1796875" style="441" bestFit="1" customWidth="1"/>
    <col min="3853" max="4094" width="9.1796875" style="441"/>
    <col min="4095" max="4095" width="14.54296875" style="441" customWidth="1"/>
    <col min="4096" max="4097" width="9.1796875" style="441"/>
    <col min="4098" max="4098" width="14.7265625" style="441" customWidth="1"/>
    <col min="4099" max="4099" width="14.26953125" style="441" customWidth="1"/>
    <col min="4100" max="4100" width="13.81640625" style="441" customWidth="1"/>
    <col min="4101" max="4101" width="11.7265625" style="441" customWidth="1"/>
    <col min="4102" max="4102" width="12" style="441" customWidth="1"/>
    <col min="4103" max="4103" width="9.1796875" style="441"/>
    <col min="4104" max="4104" width="13.81640625" style="441" customWidth="1"/>
    <col min="4105" max="4105" width="13" style="441" customWidth="1"/>
    <col min="4106" max="4106" width="15.1796875" style="441" customWidth="1"/>
    <col min="4107" max="4107" width="14.7265625" style="441" customWidth="1"/>
    <col min="4108" max="4108" width="11.1796875" style="441" bestFit="1" customWidth="1"/>
    <col min="4109" max="4350" width="9.1796875" style="441"/>
    <col min="4351" max="4351" width="14.54296875" style="441" customWidth="1"/>
    <col min="4352" max="4353" width="9.1796875" style="441"/>
    <col min="4354" max="4354" width="14.7265625" style="441" customWidth="1"/>
    <col min="4355" max="4355" width="14.26953125" style="441" customWidth="1"/>
    <col min="4356" max="4356" width="13.81640625" style="441" customWidth="1"/>
    <col min="4357" max="4357" width="11.7265625" style="441" customWidth="1"/>
    <col min="4358" max="4358" width="12" style="441" customWidth="1"/>
    <col min="4359" max="4359" width="9.1796875" style="441"/>
    <col min="4360" max="4360" width="13.81640625" style="441" customWidth="1"/>
    <col min="4361" max="4361" width="13" style="441" customWidth="1"/>
    <col min="4362" max="4362" width="15.1796875" style="441" customWidth="1"/>
    <col min="4363" max="4363" width="14.7265625" style="441" customWidth="1"/>
    <col min="4364" max="4364" width="11.1796875" style="441" bestFit="1" customWidth="1"/>
    <col min="4365" max="4606" width="9.1796875" style="441"/>
    <col min="4607" max="4607" width="14.54296875" style="441" customWidth="1"/>
    <col min="4608" max="4609" width="9.1796875" style="441"/>
    <col min="4610" max="4610" width="14.7265625" style="441" customWidth="1"/>
    <col min="4611" max="4611" width="14.26953125" style="441" customWidth="1"/>
    <col min="4612" max="4612" width="13.81640625" style="441" customWidth="1"/>
    <col min="4613" max="4613" width="11.7265625" style="441" customWidth="1"/>
    <col min="4614" max="4614" width="12" style="441" customWidth="1"/>
    <col min="4615" max="4615" width="9.1796875" style="441"/>
    <col min="4616" max="4616" width="13.81640625" style="441" customWidth="1"/>
    <col min="4617" max="4617" width="13" style="441" customWidth="1"/>
    <col min="4618" max="4618" width="15.1796875" style="441" customWidth="1"/>
    <col min="4619" max="4619" width="14.7265625" style="441" customWidth="1"/>
    <col min="4620" max="4620" width="11.1796875" style="441" bestFit="1" customWidth="1"/>
    <col min="4621" max="4862" width="9.1796875" style="441"/>
    <col min="4863" max="4863" width="14.54296875" style="441" customWidth="1"/>
    <col min="4864" max="4865" width="9.1796875" style="441"/>
    <col min="4866" max="4866" width="14.7265625" style="441" customWidth="1"/>
    <col min="4867" max="4867" width="14.26953125" style="441" customWidth="1"/>
    <col min="4868" max="4868" width="13.81640625" style="441" customWidth="1"/>
    <col min="4869" max="4869" width="11.7265625" style="441" customWidth="1"/>
    <col min="4870" max="4870" width="12" style="441" customWidth="1"/>
    <col min="4871" max="4871" width="9.1796875" style="441"/>
    <col min="4872" max="4872" width="13.81640625" style="441" customWidth="1"/>
    <col min="4873" max="4873" width="13" style="441" customWidth="1"/>
    <col min="4874" max="4874" width="15.1796875" style="441" customWidth="1"/>
    <col min="4875" max="4875" width="14.7265625" style="441" customWidth="1"/>
    <col min="4876" max="4876" width="11.1796875" style="441" bestFit="1" customWidth="1"/>
    <col min="4877" max="5118" width="9.1796875" style="441"/>
    <col min="5119" max="5119" width="14.54296875" style="441" customWidth="1"/>
    <col min="5120" max="5121" width="9.1796875" style="441"/>
    <col min="5122" max="5122" width="14.7265625" style="441" customWidth="1"/>
    <col min="5123" max="5123" width="14.26953125" style="441" customWidth="1"/>
    <col min="5124" max="5124" width="13.81640625" style="441" customWidth="1"/>
    <col min="5125" max="5125" width="11.7265625" style="441" customWidth="1"/>
    <col min="5126" max="5126" width="12" style="441" customWidth="1"/>
    <col min="5127" max="5127" width="9.1796875" style="441"/>
    <col min="5128" max="5128" width="13.81640625" style="441" customWidth="1"/>
    <col min="5129" max="5129" width="13" style="441" customWidth="1"/>
    <col min="5130" max="5130" width="15.1796875" style="441" customWidth="1"/>
    <col min="5131" max="5131" width="14.7265625" style="441" customWidth="1"/>
    <col min="5132" max="5132" width="11.1796875" style="441" bestFit="1" customWidth="1"/>
    <col min="5133" max="5374" width="9.1796875" style="441"/>
    <col min="5375" max="5375" width="14.54296875" style="441" customWidth="1"/>
    <col min="5376" max="5377" width="9.1796875" style="441"/>
    <col min="5378" max="5378" width="14.7265625" style="441" customWidth="1"/>
    <col min="5379" max="5379" width="14.26953125" style="441" customWidth="1"/>
    <col min="5380" max="5380" width="13.81640625" style="441" customWidth="1"/>
    <col min="5381" max="5381" width="11.7265625" style="441" customWidth="1"/>
    <col min="5382" max="5382" width="12" style="441" customWidth="1"/>
    <col min="5383" max="5383" width="9.1796875" style="441"/>
    <col min="5384" max="5384" width="13.81640625" style="441" customWidth="1"/>
    <col min="5385" max="5385" width="13" style="441" customWidth="1"/>
    <col min="5386" max="5386" width="15.1796875" style="441" customWidth="1"/>
    <col min="5387" max="5387" width="14.7265625" style="441" customWidth="1"/>
    <col min="5388" max="5388" width="11.1796875" style="441" bestFit="1" customWidth="1"/>
    <col min="5389" max="5630" width="9.1796875" style="441"/>
    <col min="5631" max="5631" width="14.54296875" style="441" customWidth="1"/>
    <col min="5632" max="5633" width="9.1796875" style="441"/>
    <col min="5634" max="5634" width="14.7265625" style="441" customWidth="1"/>
    <col min="5635" max="5635" width="14.26953125" style="441" customWidth="1"/>
    <col min="5636" max="5636" width="13.81640625" style="441" customWidth="1"/>
    <col min="5637" max="5637" width="11.7265625" style="441" customWidth="1"/>
    <col min="5638" max="5638" width="12" style="441" customWidth="1"/>
    <col min="5639" max="5639" width="9.1796875" style="441"/>
    <col min="5640" max="5640" width="13.81640625" style="441" customWidth="1"/>
    <col min="5641" max="5641" width="13" style="441" customWidth="1"/>
    <col min="5642" max="5642" width="15.1796875" style="441" customWidth="1"/>
    <col min="5643" max="5643" width="14.7265625" style="441" customWidth="1"/>
    <col min="5644" max="5644" width="11.1796875" style="441" bestFit="1" customWidth="1"/>
    <col min="5645" max="5886" width="9.1796875" style="441"/>
    <col min="5887" max="5887" width="14.54296875" style="441" customWidth="1"/>
    <col min="5888" max="5889" width="9.1796875" style="441"/>
    <col min="5890" max="5890" width="14.7265625" style="441" customWidth="1"/>
    <col min="5891" max="5891" width="14.26953125" style="441" customWidth="1"/>
    <col min="5892" max="5892" width="13.81640625" style="441" customWidth="1"/>
    <col min="5893" max="5893" width="11.7265625" style="441" customWidth="1"/>
    <col min="5894" max="5894" width="12" style="441" customWidth="1"/>
    <col min="5895" max="5895" width="9.1796875" style="441"/>
    <col min="5896" max="5896" width="13.81640625" style="441" customWidth="1"/>
    <col min="5897" max="5897" width="13" style="441" customWidth="1"/>
    <col min="5898" max="5898" width="15.1796875" style="441" customWidth="1"/>
    <col min="5899" max="5899" width="14.7265625" style="441" customWidth="1"/>
    <col min="5900" max="5900" width="11.1796875" style="441" bestFit="1" customWidth="1"/>
    <col min="5901" max="6142" width="9.1796875" style="441"/>
    <col min="6143" max="6143" width="14.54296875" style="441" customWidth="1"/>
    <col min="6144" max="6145" width="9.1796875" style="441"/>
    <col min="6146" max="6146" width="14.7265625" style="441" customWidth="1"/>
    <col min="6147" max="6147" width="14.26953125" style="441" customWidth="1"/>
    <col min="6148" max="6148" width="13.81640625" style="441" customWidth="1"/>
    <col min="6149" max="6149" width="11.7265625" style="441" customWidth="1"/>
    <col min="6150" max="6150" width="12" style="441" customWidth="1"/>
    <col min="6151" max="6151" width="9.1796875" style="441"/>
    <col min="6152" max="6152" width="13.81640625" style="441" customWidth="1"/>
    <col min="6153" max="6153" width="13" style="441" customWidth="1"/>
    <col min="6154" max="6154" width="15.1796875" style="441" customWidth="1"/>
    <col min="6155" max="6155" width="14.7265625" style="441" customWidth="1"/>
    <col min="6156" max="6156" width="11.1796875" style="441" bestFit="1" customWidth="1"/>
    <col min="6157" max="6398" width="9.1796875" style="441"/>
    <col min="6399" max="6399" width="14.54296875" style="441" customWidth="1"/>
    <col min="6400" max="6401" width="9.1796875" style="441"/>
    <col min="6402" max="6402" width="14.7265625" style="441" customWidth="1"/>
    <col min="6403" max="6403" width="14.26953125" style="441" customWidth="1"/>
    <col min="6404" max="6404" width="13.81640625" style="441" customWidth="1"/>
    <col min="6405" max="6405" width="11.7265625" style="441" customWidth="1"/>
    <col min="6406" max="6406" width="12" style="441" customWidth="1"/>
    <col min="6407" max="6407" width="9.1796875" style="441"/>
    <col min="6408" max="6408" width="13.81640625" style="441" customWidth="1"/>
    <col min="6409" max="6409" width="13" style="441" customWidth="1"/>
    <col min="6410" max="6410" width="15.1796875" style="441" customWidth="1"/>
    <col min="6411" max="6411" width="14.7265625" style="441" customWidth="1"/>
    <col min="6412" max="6412" width="11.1796875" style="441" bestFit="1" customWidth="1"/>
    <col min="6413" max="6654" width="9.1796875" style="441"/>
    <col min="6655" max="6655" width="14.54296875" style="441" customWidth="1"/>
    <col min="6656" max="6657" width="9.1796875" style="441"/>
    <col min="6658" max="6658" width="14.7265625" style="441" customWidth="1"/>
    <col min="6659" max="6659" width="14.26953125" style="441" customWidth="1"/>
    <col min="6660" max="6660" width="13.81640625" style="441" customWidth="1"/>
    <col min="6661" max="6661" width="11.7265625" style="441" customWidth="1"/>
    <col min="6662" max="6662" width="12" style="441" customWidth="1"/>
    <col min="6663" max="6663" width="9.1796875" style="441"/>
    <col min="6664" max="6664" width="13.81640625" style="441" customWidth="1"/>
    <col min="6665" max="6665" width="13" style="441" customWidth="1"/>
    <col min="6666" max="6666" width="15.1796875" style="441" customWidth="1"/>
    <col min="6667" max="6667" width="14.7265625" style="441" customWidth="1"/>
    <col min="6668" max="6668" width="11.1796875" style="441" bestFit="1" customWidth="1"/>
    <col min="6669" max="6910" width="9.1796875" style="441"/>
    <col min="6911" max="6911" width="14.54296875" style="441" customWidth="1"/>
    <col min="6912" max="6913" width="9.1796875" style="441"/>
    <col min="6914" max="6914" width="14.7265625" style="441" customWidth="1"/>
    <col min="6915" max="6915" width="14.26953125" style="441" customWidth="1"/>
    <col min="6916" max="6916" width="13.81640625" style="441" customWidth="1"/>
    <col min="6917" max="6917" width="11.7265625" style="441" customWidth="1"/>
    <col min="6918" max="6918" width="12" style="441" customWidth="1"/>
    <col min="6919" max="6919" width="9.1796875" style="441"/>
    <col min="6920" max="6920" width="13.81640625" style="441" customWidth="1"/>
    <col min="6921" max="6921" width="13" style="441" customWidth="1"/>
    <col min="6922" max="6922" width="15.1796875" style="441" customWidth="1"/>
    <col min="6923" max="6923" width="14.7265625" style="441" customWidth="1"/>
    <col min="6924" max="6924" width="11.1796875" style="441" bestFit="1" customWidth="1"/>
    <col min="6925" max="7166" width="9.1796875" style="441"/>
    <col min="7167" max="7167" width="14.54296875" style="441" customWidth="1"/>
    <col min="7168" max="7169" width="9.1796875" style="441"/>
    <col min="7170" max="7170" width="14.7265625" style="441" customWidth="1"/>
    <col min="7171" max="7171" width="14.26953125" style="441" customWidth="1"/>
    <col min="7172" max="7172" width="13.81640625" style="441" customWidth="1"/>
    <col min="7173" max="7173" width="11.7265625" style="441" customWidth="1"/>
    <col min="7174" max="7174" width="12" style="441" customWidth="1"/>
    <col min="7175" max="7175" width="9.1796875" style="441"/>
    <col min="7176" max="7176" width="13.81640625" style="441" customWidth="1"/>
    <col min="7177" max="7177" width="13" style="441" customWidth="1"/>
    <col min="7178" max="7178" width="15.1796875" style="441" customWidth="1"/>
    <col min="7179" max="7179" width="14.7265625" style="441" customWidth="1"/>
    <col min="7180" max="7180" width="11.1796875" style="441" bestFit="1" customWidth="1"/>
    <col min="7181" max="7422" width="9.1796875" style="441"/>
    <col min="7423" max="7423" width="14.54296875" style="441" customWidth="1"/>
    <col min="7424" max="7425" width="9.1796875" style="441"/>
    <col min="7426" max="7426" width="14.7265625" style="441" customWidth="1"/>
    <col min="7427" max="7427" width="14.26953125" style="441" customWidth="1"/>
    <col min="7428" max="7428" width="13.81640625" style="441" customWidth="1"/>
    <col min="7429" max="7429" width="11.7265625" style="441" customWidth="1"/>
    <col min="7430" max="7430" width="12" style="441" customWidth="1"/>
    <col min="7431" max="7431" width="9.1796875" style="441"/>
    <col min="7432" max="7432" width="13.81640625" style="441" customWidth="1"/>
    <col min="7433" max="7433" width="13" style="441" customWidth="1"/>
    <col min="7434" max="7434" width="15.1796875" style="441" customWidth="1"/>
    <col min="7435" max="7435" width="14.7265625" style="441" customWidth="1"/>
    <col min="7436" max="7436" width="11.1796875" style="441" bestFit="1" customWidth="1"/>
    <col min="7437" max="7678" width="9.1796875" style="441"/>
    <col min="7679" max="7679" width="14.54296875" style="441" customWidth="1"/>
    <col min="7680" max="7681" width="9.1796875" style="441"/>
    <col min="7682" max="7682" width="14.7265625" style="441" customWidth="1"/>
    <col min="7683" max="7683" width="14.26953125" style="441" customWidth="1"/>
    <col min="7684" max="7684" width="13.81640625" style="441" customWidth="1"/>
    <col min="7685" max="7685" width="11.7265625" style="441" customWidth="1"/>
    <col min="7686" max="7686" width="12" style="441" customWidth="1"/>
    <col min="7687" max="7687" width="9.1796875" style="441"/>
    <col min="7688" max="7688" width="13.81640625" style="441" customWidth="1"/>
    <col min="7689" max="7689" width="13" style="441" customWidth="1"/>
    <col min="7690" max="7690" width="15.1796875" style="441" customWidth="1"/>
    <col min="7691" max="7691" width="14.7265625" style="441" customWidth="1"/>
    <col min="7692" max="7692" width="11.1796875" style="441" bestFit="1" customWidth="1"/>
    <col min="7693" max="7934" width="9.1796875" style="441"/>
    <col min="7935" max="7935" width="14.54296875" style="441" customWidth="1"/>
    <col min="7936" max="7937" width="9.1796875" style="441"/>
    <col min="7938" max="7938" width="14.7265625" style="441" customWidth="1"/>
    <col min="7939" max="7939" width="14.26953125" style="441" customWidth="1"/>
    <col min="7940" max="7940" width="13.81640625" style="441" customWidth="1"/>
    <col min="7941" max="7941" width="11.7265625" style="441" customWidth="1"/>
    <col min="7942" max="7942" width="12" style="441" customWidth="1"/>
    <col min="7943" max="7943" width="9.1796875" style="441"/>
    <col min="7944" max="7944" width="13.81640625" style="441" customWidth="1"/>
    <col min="7945" max="7945" width="13" style="441" customWidth="1"/>
    <col min="7946" max="7946" width="15.1796875" style="441" customWidth="1"/>
    <col min="7947" max="7947" width="14.7265625" style="441" customWidth="1"/>
    <col min="7948" max="7948" width="11.1796875" style="441" bestFit="1" customWidth="1"/>
    <col min="7949" max="8190" width="9.1796875" style="441"/>
    <col min="8191" max="8191" width="14.54296875" style="441" customWidth="1"/>
    <col min="8192" max="8193" width="9.1796875" style="441"/>
    <col min="8194" max="8194" width="14.7265625" style="441" customWidth="1"/>
    <col min="8195" max="8195" width="14.26953125" style="441" customWidth="1"/>
    <col min="8196" max="8196" width="13.81640625" style="441" customWidth="1"/>
    <col min="8197" max="8197" width="11.7265625" style="441" customWidth="1"/>
    <col min="8198" max="8198" width="12" style="441" customWidth="1"/>
    <col min="8199" max="8199" width="9.1796875" style="441"/>
    <col min="8200" max="8200" width="13.81640625" style="441" customWidth="1"/>
    <col min="8201" max="8201" width="13" style="441" customWidth="1"/>
    <col min="8202" max="8202" width="15.1796875" style="441" customWidth="1"/>
    <col min="8203" max="8203" width="14.7265625" style="441" customWidth="1"/>
    <col min="8204" max="8204" width="11.1796875" style="441" bestFit="1" customWidth="1"/>
    <col min="8205" max="8446" width="9.1796875" style="441"/>
    <col min="8447" max="8447" width="14.54296875" style="441" customWidth="1"/>
    <col min="8448" max="8449" width="9.1796875" style="441"/>
    <col min="8450" max="8450" width="14.7265625" style="441" customWidth="1"/>
    <col min="8451" max="8451" width="14.26953125" style="441" customWidth="1"/>
    <col min="8452" max="8452" width="13.81640625" style="441" customWidth="1"/>
    <col min="8453" max="8453" width="11.7265625" style="441" customWidth="1"/>
    <col min="8454" max="8454" width="12" style="441" customWidth="1"/>
    <col min="8455" max="8455" width="9.1796875" style="441"/>
    <col min="8456" max="8456" width="13.81640625" style="441" customWidth="1"/>
    <col min="8457" max="8457" width="13" style="441" customWidth="1"/>
    <col min="8458" max="8458" width="15.1796875" style="441" customWidth="1"/>
    <col min="8459" max="8459" width="14.7265625" style="441" customWidth="1"/>
    <col min="8460" max="8460" width="11.1796875" style="441" bestFit="1" customWidth="1"/>
    <col min="8461" max="8702" width="9.1796875" style="441"/>
    <col min="8703" max="8703" width="14.54296875" style="441" customWidth="1"/>
    <col min="8704" max="8705" width="9.1796875" style="441"/>
    <col min="8706" max="8706" width="14.7265625" style="441" customWidth="1"/>
    <col min="8707" max="8707" width="14.26953125" style="441" customWidth="1"/>
    <col min="8708" max="8708" width="13.81640625" style="441" customWidth="1"/>
    <col min="8709" max="8709" width="11.7265625" style="441" customWidth="1"/>
    <col min="8710" max="8710" width="12" style="441" customWidth="1"/>
    <col min="8711" max="8711" width="9.1796875" style="441"/>
    <col min="8712" max="8712" width="13.81640625" style="441" customWidth="1"/>
    <col min="8713" max="8713" width="13" style="441" customWidth="1"/>
    <col min="8714" max="8714" width="15.1796875" style="441" customWidth="1"/>
    <col min="8715" max="8715" width="14.7265625" style="441" customWidth="1"/>
    <col min="8716" max="8716" width="11.1796875" style="441" bestFit="1" customWidth="1"/>
    <col min="8717" max="8958" width="9.1796875" style="441"/>
    <col min="8959" max="8959" width="14.54296875" style="441" customWidth="1"/>
    <col min="8960" max="8961" width="9.1796875" style="441"/>
    <col min="8962" max="8962" width="14.7265625" style="441" customWidth="1"/>
    <col min="8963" max="8963" width="14.26953125" style="441" customWidth="1"/>
    <col min="8964" max="8964" width="13.81640625" style="441" customWidth="1"/>
    <col min="8965" max="8965" width="11.7265625" style="441" customWidth="1"/>
    <col min="8966" max="8966" width="12" style="441" customWidth="1"/>
    <col min="8967" max="8967" width="9.1796875" style="441"/>
    <col min="8968" max="8968" width="13.81640625" style="441" customWidth="1"/>
    <col min="8969" max="8969" width="13" style="441" customWidth="1"/>
    <col min="8970" max="8970" width="15.1796875" style="441" customWidth="1"/>
    <col min="8971" max="8971" width="14.7265625" style="441" customWidth="1"/>
    <col min="8972" max="8972" width="11.1796875" style="441" bestFit="1" customWidth="1"/>
    <col min="8973" max="9214" width="9.1796875" style="441"/>
    <col min="9215" max="9215" width="14.54296875" style="441" customWidth="1"/>
    <col min="9216" max="9217" width="9.1796875" style="441"/>
    <col min="9218" max="9218" width="14.7265625" style="441" customWidth="1"/>
    <col min="9219" max="9219" width="14.26953125" style="441" customWidth="1"/>
    <col min="9220" max="9220" width="13.81640625" style="441" customWidth="1"/>
    <col min="9221" max="9221" width="11.7265625" style="441" customWidth="1"/>
    <col min="9222" max="9222" width="12" style="441" customWidth="1"/>
    <col min="9223" max="9223" width="9.1796875" style="441"/>
    <col min="9224" max="9224" width="13.81640625" style="441" customWidth="1"/>
    <col min="9225" max="9225" width="13" style="441" customWidth="1"/>
    <col min="9226" max="9226" width="15.1796875" style="441" customWidth="1"/>
    <col min="9227" max="9227" width="14.7265625" style="441" customWidth="1"/>
    <col min="9228" max="9228" width="11.1796875" style="441" bestFit="1" customWidth="1"/>
    <col min="9229" max="9470" width="9.1796875" style="441"/>
    <col min="9471" max="9471" width="14.54296875" style="441" customWidth="1"/>
    <col min="9472" max="9473" width="9.1796875" style="441"/>
    <col min="9474" max="9474" width="14.7265625" style="441" customWidth="1"/>
    <col min="9475" max="9475" width="14.26953125" style="441" customWidth="1"/>
    <col min="9476" max="9476" width="13.81640625" style="441" customWidth="1"/>
    <col min="9477" max="9477" width="11.7265625" style="441" customWidth="1"/>
    <col min="9478" max="9478" width="12" style="441" customWidth="1"/>
    <col min="9479" max="9479" width="9.1796875" style="441"/>
    <col min="9480" max="9480" width="13.81640625" style="441" customWidth="1"/>
    <col min="9481" max="9481" width="13" style="441" customWidth="1"/>
    <col min="9482" max="9482" width="15.1796875" style="441" customWidth="1"/>
    <col min="9483" max="9483" width="14.7265625" style="441" customWidth="1"/>
    <col min="9484" max="9484" width="11.1796875" style="441" bestFit="1" customWidth="1"/>
    <col min="9485" max="9726" width="9.1796875" style="441"/>
    <col min="9727" max="9727" width="14.54296875" style="441" customWidth="1"/>
    <col min="9728" max="9729" width="9.1796875" style="441"/>
    <col min="9730" max="9730" width="14.7265625" style="441" customWidth="1"/>
    <col min="9731" max="9731" width="14.26953125" style="441" customWidth="1"/>
    <col min="9732" max="9732" width="13.81640625" style="441" customWidth="1"/>
    <col min="9733" max="9733" width="11.7265625" style="441" customWidth="1"/>
    <col min="9734" max="9734" width="12" style="441" customWidth="1"/>
    <col min="9735" max="9735" width="9.1796875" style="441"/>
    <col min="9736" max="9736" width="13.81640625" style="441" customWidth="1"/>
    <col min="9737" max="9737" width="13" style="441" customWidth="1"/>
    <col min="9738" max="9738" width="15.1796875" style="441" customWidth="1"/>
    <col min="9739" max="9739" width="14.7265625" style="441" customWidth="1"/>
    <col min="9740" max="9740" width="11.1796875" style="441" bestFit="1" customWidth="1"/>
    <col min="9741" max="9982" width="9.1796875" style="441"/>
    <col min="9983" max="9983" width="14.54296875" style="441" customWidth="1"/>
    <col min="9984" max="9985" width="9.1796875" style="441"/>
    <col min="9986" max="9986" width="14.7265625" style="441" customWidth="1"/>
    <col min="9987" max="9987" width="14.26953125" style="441" customWidth="1"/>
    <col min="9988" max="9988" width="13.81640625" style="441" customWidth="1"/>
    <col min="9989" max="9989" width="11.7265625" style="441" customWidth="1"/>
    <col min="9990" max="9990" width="12" style="441" customWidth="1"/>
    <col min="9991" max="9991" width="9.1796875" style="441"/>
    <col min="9992" max="9992" width="13.81640625" style="441" customWidth="1"/>
    <col min="9993" max="9993" width="13" style="441" customWidth="1"/>
    <col min="9994" max="9994" width="15.1796875" style="441" customWidth="1"/>
    <col min="9995" max="9995" width="14.7265625" style="441" customWidth="1"/>
    <col min="9996" max="9996" width="11.1796875" style="441" bestFit="1" customWidth="1"/>
    <col min="9997" max="10238" width="9.1796875" style="441"/>
    <col min="10239" max="10239" width="14.54296875" style="441" customWidth="1"/>
    <col min="10240" max="10241" width="9.1796875" style="441"/>
    <col min="10242" max="10242" width="14.7265625" style="441" customWidth="1"/>
    <col min="10243" max="10243" width="14.26953125" style="441" customWidth="1"/>
    <col min="10244" max="10244" width="13.81640625" style="441" customWidth="1"/>
    <col min="10245" max="10245" width="11.7265625" style="441" customWidth="1"/>
    <col min="10246" max="10246" width="12" style="441" customWidth="1"/>
    <col min="10247" max="10247" width="9.1796875" style="441"/>
    <col min="10248" max="10248" width="13.81640625" style="441" customWidth="1"/>
    <col min="10249" max="10249" width="13" style="441" customWidth="1"/>
    <col min="10250" max="10250" width="15.1796875" style="441" customWidth="1"/>
    <col min="10251" max="10251" width="14.7265625" style="441" customWidth="1"/>
    <col min="10252" max="10252" width="11.1796875" style="441" bestFit="1" customWidth="1"/>
    <col min="10253" max="10494" width="9.1796875" style="441"/>
    <col min="10495" max="10495" width="14.54296875" style="441" customWidth="1"/>
    <col min="10496" max="10497" width="9.1796875" style="441"/>
    <col min="10498" max="10498" width="14.7265625" style="441" customWidth="1"/>
    <col min="10499" max="10499" width="14.26953125" style="441" customWidth="1"/>
    <col min="10500" max="10500" width="13.81640625" style="441" customWidth="1"/>
    <col min="10501" max="10501" width="11.7265625" style="441" customWidth="1"/>
    <col min="10502" max="10502" width="12" style="441" customWidth="1"/>
    <col min="10503" max="10503" width="9.1796875" style="441"/>
    <col min="10504" max="10504" width="13.81640625" style="441" customWidth="1"/>
    <col min="10505" max="10505" width="13" style="441" customWidth="1"/>
    <col min="10506" max="10506" width="15.1796875" style="441" customWidth="1"/>
    <col min="10507" max="10507" width="14.7265625" style="441" customWidth="1"/>
    <col min="10508" max="10508" width="11.1796875" style="441" bestFit="1" customWidth="1"/>
    <col min="10509" max="10750" width="9.1796875" style="441"/>
    <col min="10751" max="10751" width="14.54296875" style="441" customWidth="1"/>
    <col min="10752" max="10753" width="9.1796875" style="441"/>
    <col min="10754" max="10754" width="14.7265625" style="441" customWidth="1"/>
    <col min="10755" max="10755" width="14.26953125" style="441" customWidth="1"/>
    <col min="10756" max="10756" width="13.81640625" style="441" customWidth="1"/>
    <col min="10757" max="10757" width="11.7265625" style="441" customWidth="1"/>
    <col min="10758" max="10758" width="12" style="441" customWidth="1"/>
    <col min="10759" max="10759" width="9.1796875" style="441"/>
    <col min="10760" max="10760" width="13.81640625" style="441" customWidth="1"/>
    <col min="10761" max="10761" width="13" style="441" customWidth="1"/>
    <col min="10762" max="10762" width="15.1796875" style="441" customWidth="1"/>
    <col min="10763" max="10763" width="14.7265625" style="441" customWidth="1"/>
    <col min="10764" max="10764" width="11.1796875" style="441" bestFit="1" customWidth="1"/>
    <col min="10765" max="11006" width="9.1796875" style="441"/>
    <col min="11007" max="11007" width="14.54296875" style="441" customWidth="1"/>
    <col min="11008" max="11009" width="9.1796875" style="441"/>
    <col min="11010" max="11010" width="14.7265625" style="441" customWidth="1"/>
    <col min="11011" max="11011" width="14.26953125" style="441" customWidth="1"/>
    <col min="11012" max="11012" width="13.81640625" style="441" customWidth="1"/>
    <col min="11013" max="11013" width="11.7265625" style="441" customWidth="1"/>
    <col min="11014" max="11014" width="12" style="441" customWidth="1"/>
    <col min="11015" max="11015" width="9.1796875" style="441"/>
    <col min="11016" max="11016" width="13.81640625" style="441" customWidth="1"/>
    <col min="11017" max="11017" width="13" style="441" customWidth="1"/>
    <col min="11018" max="11018" width="15.1796875" style="441" customWidth="1"/>
    <col min="11019" max="11019" width="14.7265625" style="441" customWidth="1"/>
    <col min="11020" max="11020" width="11.1796875" style="441" bestFit="1" customWidth="1"/>
    <col min="11021" max="11262" width="9.1796875" style="441"/>
    <col min="11263" max="11263" width="14.54296875" style="441" customWidth="1"/>
    <col min="11264" max="11265" width="9.1796875" style="441"/>
    <col min="11266" max="11266" width="14.7265625" style="441" customWidth="1"/>
    <col min="11267" max="11267" width="14.26953125" style="441" customWidth="1"/>
    <col min="11268" max="11268" width="13.81640625" style="441" customWidth="1"/>
    <col min="11269" max="11269" width="11.7265625" style="441" customWidth="1"/>
    <col min="11270" max="11270" width="12" style="441" customWidth="1"/>
    <col min="11271" max="11271" width="9.1796875" style="441"/>
    <col min="11272" max="11272" width="13.81640625" style="441" customWidth="1"/>
    <col min="11273" max="11273" width="13" style="441" customWidth="1"/>
    <col min="11274" max="11274" width="15.1796875" style="441" customWidth="1"/>
    <col min="11275" max="11275" width="14.7265625" style="441" customWidth="1"/>
    <col min="11276" max="11276" width="11.1796875" style="441" bestFit="1" customWidth="1"/>
    <col min="11277" max="11518" width="9.1796875" style="441"/>
    <col min="11519" max="11519" width="14.54296875" style="441" customWidth="1"/>
    <col min="11520" max="11521" width="9.1796875" style="441"/>
    <col min="11522" max="11522" width="14.7265625" style="441" customWidth="1"/>
    <col min="11523" max="11523" width="14.26953125" style="441" customWidth="1"/>
    <col min="11524" max="11524" width="13.81640625" style="441" customWidth="1"/>
    <col min="11525" max="11525" width="11.7265625" style="441" customWidth="1"/>
    <col min="11526" max="11526" width="12" style="441" customWidth="1"/>
    <col min="11527" max="11527" width="9.1796875" style="441"/>
    <col min="11528" max="11528" width="13.81640625" style="441" customWidth="1"/>
    <col min="11529" max="11529" width="13" style="441" customWidth="1"/>
    <col min="11530" max="11530" width="15.1796875" style="441" customWidth="1"/>
    <col min="11531" max="11531" width="14.7265625" style="441" customWidth="1"/>
    <col min="11532" max="11532" width="11.1796875" style="441" bestFit="1" customWidth="1"/>
    <col min="11533" max="11774" width="9.1796875" style="441"/>
    <col min="11775" max="11775" width="14.54296875" style="441" customWidth="1"/>
    <col min="11776" max="11777" width="9.1796875" style="441"/>
    <col min="11778" max="11778" width="14.7265625" style="441" customWidth="1"/>
    <col min="11779" max="11779" width="14.26953125" style="441" customWidth="1"/>
    <col min="11780" max="11780" width="13.81640625" style="441" customWidth="1"/>
    <col min="11781" max="11781" width="11.7265625" style="441" customWidth="1"/>
    <col min="11782" max="11782" width="12" style="441" customWidth="1"/>
    <col min="11783" max="11783" width="9.1796875" style="441"/>
    <col min="11784" max="11784" width="13.81640625" style="441" customWidth="1"/>
    <col min="11785" max="11785" width="13" style="441" customWidth="1"/>
    <col min="11786" max="11786" width="15.1796875" style="441" customWidth="1"/>
    <col min="11787" max="11787" width="14.7265625" style="441" customWidth="1"/>
    <col min="11788" max="11788" width="11.1796875" style="441" bestFit="1" customWidth="1"/>
    <col min="11789" max="12030" width="9.1796875" style="441"/>
    <col min="12031" max="12031" width="14.54296875" style="441" customWidth="1"/>
    <col min="12032" max="12033" width="9.1796875" style="441"/>
    <col min="12034" max="12034" width="14.7265625" style="441" customWidth="1"/>
    <col min="12035" max="12035" width="14.26953125" style="441" customWidth="1"/>
    <col min="12036" max="12036" width="13.81640625" style="441" customWidth="1"/>
    <col min="12037" max="12037" width="11.7265625" style="441" customWidth="1"/>
    <col min="12038" max="12038" width="12" style="441" customWidth="1"/>
    <col min="12039" max="12039" width="9.1796875" style="441"/>
    <col min="12040" max="12040" width="13.81640625" style="441" customWidth="1"/>
    <col min="12041" max="12041" width="13" style="441" customWidth="1"/>
    <col min="12042" max="12042" width="15.1796875" style="441" customWidth="1"/>
    <col min="12043" max="12043" width="14.7265625" style="441" customWidth="1"/>
    <col min="12044" max="12044" width="11.1796875" style="441" bestFit="1" customWidth="1"/>
    <col min="12045" max="12286" width="9.1796875" style="441"/>
    <col min="12287" max="12287" width="14.54296875" style="441" customWidth="1"/>
    <col min="12288" max="12289" width="9.1796875" style="441"/>
    <col min="12290" max="12290" width="14.7265625" style="441" customWidth="1"/>
    <col min="12291" max="12291" width="14.26953125" style="441" customWidth="1"/>
    <col min="12292" max="12292" width="13.81640625" style="441" customWidth="1"/>
    <col min="12293" max="12293" width="11.7265625" style="441" customWidth="1"/>
    <col min="12294" max="12294" width="12" style="441" customWidth="1"/>
    <col min="12295" max="12295" width="9.1796875" style="441"/>
    <col min="12296" max="12296" width="13.81640625" style="441" customWidth="1"/>
    <col min="12297" max="12297" width="13" style="441" customWidth="1"/>
    <col min="12298" max="12298" width="15.1796875" style="441" customWidth="1"/>
    <col min="12299" max="12299" width="14.7265625" style="441" customWidth="1"/>
    <col min="12300" max="12300" width="11.1796875" style="441" bestFit="1" customWidth="1"/>
    <col min="12301" max="12542" width="9.1796875" style="441"/>
    <col min="12543" max="12543" width="14.54296875" style="441" customWidth="1"/>
    <col min="12544" max="12545" width="9.1796875" style="441"/>
    <col min="12546" max="12546" width="14.7265625" style="441" customWidth="1"/>
    <col min="12547" max="12547" width="14.26953125" style="441" customWidth="1"/>
    <col min="12548" max="12548" width="13.81640625" style="441" customWidth="1"/>
    <col min="12549" max="12549" width="11.7265625" style="441" customWidth="1"/>
    <col min="12550" max="12550" width="12" style="441" customWidth="1"/>
    <col min="12551" max="12551" width="9.1796875" style="441"/>
    <col min="12552" max="12552" width="13.81640625" style="441" customWidth="1"/>
    <col min="12553" max="12553" width="13" style="441" customWidth="1"/>
    <col min="12554" max="12554" width="15.1796875" style="441" customWidth="1"/>
    <col min="12555" max="12555" width="14.7265625" style="441" customWidth="1"/>
    <col min="12556" max="12556" width="11.1796875" style="441" bestFit="1" customWidth="1"/>
    <col min="12557" max="12798" width="9.1796875" style="441"/>
    <col min="12799" max="12799" width="14.54296875" style="441" customWidth="1"/>
    <col min="12800" max="12801" width="9.1796875" style="441"/>
    <col min="12802" max="12802" width="14.7265625" style="441" customWidth="1"/>
    <col min="12803" max="12803" width="14.26953125" style="441" customWidth="1"/>
    <col min="12804" max="12804" width="13.81640625" style="441" customWidth="1"/>
    <col min="12805" max="12805" width="11.7265625" style="441" customWidth="1"/>
    <col min="12806" max="12806" width="12" style="441" customWidth="1"/>
    <col min="12807" max="12807" width="9.1796875" style="441"/>
    <col min="12808" max="12808" width="13.81640625" style="441" customWidth="1"/>
    <col min="12809" max="12809" width="13" style="441" customWidth="1"/>
    <col min="12810" max="12810" width="15.1796875" style="441" customWidth="1"/>
    <col min="12811" max="12811" width="14.7265625" style="441" customWidth="1"/>
    <col min="12812" max="12812" width="11.1796875" style="441" bestFit="1" customWidth="1"/>
    <col min="12813" max="13054" width="9.1796875" style="441"/>
    <col min="13055" max="13055" width="14.54296875" style="441" customWidth="1"/>
    <col min="13056" max="13057" width="9.1796875" style="441"/>
    <col min="13058" max="13058" width="14.7265625" style="441" customWidth="1"/>
    <col min="13059" max="13059" width="14.26953125" style="441" customWidth="1"/>
    <col min="13060" max="13060" width="13.81640625" style="441" customWidth="1"/>
    <col min="13061" max="13061" width="11.7265625" style="441" customWidth="1"/>
    <col min="13062" max="13062" width="12" style="441" customWidth="1"/>
    <col min="13063" max="13063" width="9.1796875" style="441"/>
    <col min="13064" max="13064" width="13.81640625" style="441" customWidth="1"/>
    <col min="13065" max="13065" width="13" style="441" customWidth="1"/>
    <col min="13066" max="13066" width="15.1796875" style="441" customWidth="1"/>
    <col min="13067" max="13067" width="14.7265625" style="441" customWidth="1"/>
    <col min="13068" max="13068" width="11.1796875" style="441" bestFit="1" customWidth="1"/>
    <col min="13069" max="13310" width="9.1796875" style="441"/>
    <col min="13311" max="13311" width="14.54296875" style="441" customWidth="1"/>
    <col min="13312" max="13313" width="9.1796875" style="441"/>
    <col min="13314" max="13314" width="14.7265625" style="441" customWidth="1"/>
    <col min="13315" max="13315" width="14.26953125" style="441" customWidth="1"/>
    <col min="13316" max="13316" width="13.81640625" style="441" customWidth="1"/>
    <col min="13317" max="13317" width="11.7265625" style="441" customWidth="1"/>
    <col min="13318" max="13318" width="12" style="441" customWidth="1"/>
    <col min="13319" max="13319" width="9.1796875" style="441"/>
    <col min="13320" max="13320" width="13.81640625" style="441" customWidth="1"/>
    <col min="13321" max="13321" width="13" style="441" customWidth="1"/>
    <col min="13322" max="13322" width="15.1796875" style="441" customWidth="1"/>
    <col min="13323" max="13323" width="14.7265625" style="441" customWidth="1"/>
    <col min="13324" max="13324" width="11.1796875" style="441" bestFit="1" customWidth="1"/>
    <col min="13325" max="13566" width="9.1796875" style="441"/>
    <col min="13567" max="13567" width="14.54296875" style="441" customWidth="1"/>
    <col min="13568" max="13569" width="9.1796875" style="441"/>
    <col min="13570" max="13570" width="14.7265625" style="441" customWidth="1"/>
    <col min="13571" max="13571" width="14.26953125" style="441" customWidth="1"/>
    <col min="13572" max="13572" width="13.81640625" style="441" customWidth="1"/>
    <col min="13573" max="13573" width="11.7265625" style="441" customWidth="1"/>
    <col min="13574" max="13574" width="12" style="441" customWidth="1"/>
    <col min="13575" max="13575" width="9.1796875" style="441"/>
    <col min="13576" max="13576" width="13.81640625" style="441" customWidth="1"/>
    <col min="13577" max="13577" width="13" style="441" customWidth="1"/>
    <col min="13578" max="13578" width="15.1796875" style="441" customWidth="1"/>
    <col min="13579" max="13579" width="14.7265625" style="441" customWidth="1"/>
    <col min="13580" max="13580" width="11.1796875" style="441" bestFit="1" customWidth="1"/>
    <col min="13581" max="13822" width="9.1796875" style="441"/>
    <col min="13823" max="13823" width="14.54296875" style="441" customWidth="1"/>
    <col min="13824" max="13825" width="9.1796875" style="441"/>
    <col min="13826" max="13826" width="14.7265625" style="441" customWidth="1"/>
    <col min="13827" max="13827" width="14.26953125" style="441" customWidth="1"/>
    <col min="13828" max="13828" width="13.81640625" style="441" customWidth="1"/>
    <col min="13829" max="13829" width="11.7265625" style="441" customWidth="1"/>
    <col min="13830" max="13830" width="12" style="441" customWidth="1"/>
    <col min="13831" max="13831" width="9.1796875" style="441"/>
    <col min="13832" max="13832" width="13.81640625" style="441" customWidth="1"/>
    <col min="13833" max="13833" width="13" style="441" customWidth="1"/>
    <col min="13834" max="13834" width="15.1796875" style="441" customWidth="1"/>
    <col min="13835" max="13835" width="14.7265625" style="441" customWidth="1"/>
    <col min="13836" max="13836" width="11.1796875" style="441" bestFit="1" customWidth="1"/>
    <col min="13837" max="14078" width="9.1796875" style="441"/>
    <col min="14079" max="14079" width="14.54296875" style="441" customWidth="1"/>
    <col min="14080" max="14081" width="9.1796875" style="441"/>
    <col min="14082" max="14082" width="14.7265625" style="441" customWidth="1"/>
    <col min="14083" max="14083" width="14.26953125" style="441" customWidth="1"/>
    <col min="14084" max="14084" width="13.81640625" style="441" customWidth="1"/>
    <col min="14085" max="14085" width="11.7265625" style="441" customWidth="1"/>
    <col min="14086" max="14086" width="12" style="441" customWidth="1"/>
    <col min="14087" max="14087" width="9.1796875" style="441"/>
    <col min="14088" max="14088" width="13.81640625" style="441" customWidth="1"/>
    <col min="14089" max="14089" width="13" style="441" customWidth="1"/>
    <col min="14090" max="14090" width="15.1796875" style="441" customWidth="1"/>
    <col min="14091" max="14091" width="14.7265625" style="441" customWidth="1"/>
    <col min="14092" max="14092" width="11.1796875" style="441" bestFit="1" customWidth="1"/>
    <col min="14093" max="14334" width="9.1796875" style="441"/>
    <col min="14335" max="14335" width="14.54296875" style="441" customWidth="1"/>
    <col min="14336" max="14337" width="9.1796875" style="441"/>
    <col min="14338" max="14338" width="14.7265625" style="441" customWidth="1"/>
    <col min="14339" max="14339" width="14.26953125" style="441" customWidth="1"/>
    <col min="14340" max="14340" width="13.81640625" style="441" customWidth="1"/>
    <col min="14341" max="14341" width="11.7265625" style="441" customWidth="1"/>
    <col min="14342" max="14342" width="12" style="441" customWidth="1"/>
    <col min="14343" max="14343" width="9.1796875" style="441"/>
    <col min="14344" max="14344" width="13.81640625" style="441" customWidth="1"/>
    <col min="14345" max="14345" width="13" style="441" customWidth="1"/>
    <col min="14346" max="14346" width="15.1796875" style="441" customWidth="1"/>
    <col min="14347" max="14347" width="14.7265625" style="441" customWidth="1"/>
    <col min="14348" max="14348" width="11.1796875" style="441" bestFit="1" customWidth="1"/>
    <col min="14349" max="14590" width="9.1796875" style="441"/>
    <col min="14591" max="14591" width="14.54296875" style="441" customWidth="1"/>
    <col min="14592" max="14593" width="9.1796875" style="441"/>
    <col min="14594" max="14594" width="14.7265625" style="441" customWidth="1"/>
    <col min="14595" max="14595" width="14.26953125" style="441" customWidth="1"/>
    <col min="14596" max="14596" width="13.81640625" style="441" customWidth="1"/>
    <col min="14597" max="14597" width="11.7265625" style="441" customWidth="1"/>
    <col min="14598" max="14598" width="12" style="441" customWidth="1"/>
    <col min="14599" max="14599" width="9.1796875" style="441"/>
    <col min="14600" max="14600" width="13.81640625" style="441" customWidth="1"/>
    <col min="14601" max="14601" width="13" style="441" customWidth="1"/>
    <col min="14602" max="14602" width="15.1796875" style="441" customWidth="1"/>
    <col min="14603" max="14603" width="14.7265625" style="441" customWidth="1"/>
    <col min="14604" max="14604" width="11.1796875" style="441" bestFit="1" customWidth="1"/>
    <col min="14605" max="14846" width="9.1796875" style="441"/>
    <col min="14847" max="14847" width="14.54296875" style="441" customWidth="1"/>
    <col min="14848" max="14849" width="9.1796875" style="441"/>
    <col min="14850" max="14850" width="14.7265625" style="441" customWidth="1"/>
    <col min="14851" max="14851" width="14.26953125" style="441" customWidth="1"/>
    <col min="14852" max="14852" width="13.81640625" style="441" customWidth="1"/>
    <col min="14853" max="14853" width="11.7265625" style="441" customWidth="1"/>
    <col min="14854" max="14854" width="12" style="441" customWidth="1"/>
    <col min="14855" max="14855" width="9.1796875" style="441"/>
    <col min="14856" max="14856" width="13.81640625" style="441" customWidth="1"/>
    <col min="14857" max="14857" width="13" style="441" customWidth="1"/>
    <col min="14858" max="14858" width="15.1796875" style="441" customWidth="1"/>
    <col min="14859" max="14859" width="14.7265625" style="441" customWidth="1"/>
    <col min="14860" max="14860" width="11.1796875" style="441" bestFit="1" customWidth="1"/>
    <col min="14861" max="15102" width="9.1796875" style="441"/>
    <col min="15103" max="15103" width="14.54296875" style="441" customWidth="1"/>
    <col min="15104" max="15105" width="9.1796875" style="441"/>
    <col min="15106" max="15106" width="14.7265625" style="441" customWidth="1"/>
    <col min="15107" max="15107" width="14.26953125" style="441" customWidth="1"/>
    <col min="15108" max="15108" width="13.81640625" style="441" customWidth="1"/>
    <col min="15109" max="15109" width="11.7265625" style="441" customWidth="1"/>
    <col min="15110" max="15110" width="12" style="441" customWidth="1"/>
    <col min="15111" max="15111" width="9.1796875" style="441"/>
    <col min="15112" max="15112" width="13.81640625" style="441" customWidth="1"/>
    <col min="15113" max="15113" width="13" style="441" customWidth="1"/>
    <col min="15114" max="15114" width="15.1796875" style="441" customWidth="1"/>
    <col min="15115" max="15115" width="14.7265625" style="441" customWidth="1"/>
    <col min="15116" max="15116" width="11.1796875" style="441" bestFit="1" customWidth="1"/>
    <col min="15117" max="15358" width="9.1796875" style="441"/>
    <col min="15359" max="15359" width="14.54296875" style="441" customWidth="1"/>
    <col min="15360" max="15361" width="9.1796875" style="441"/>
    <col min="15362" max="15362" width="14.7265625" style="441" customWidth="1"/>
    <col min="15363" max="15363" width="14.26953125" style="441" customWidth="1"/>
    <col min="15364" max="15364" width="13.81640625" style="441" customWidth="1"/>
    <col min="15365" max="15365" width="11.7265625" style="441" customWidth="1"/>
    <col min="15366" max="15366" width="12" style="441" customWidth="1"/>
    <col min="15367" max="15367" width="9.1796875" style="441"/>
    <col min="15368" max="15368" width="13.81640625" style="441" customWidth="1"/>
    <col min="15369" max="15369" width="13" style="441" customWidth="1"/>
    <col min="15370" max="15370" width="15.1796875" style="441" customWidth="1"/>
    <col min="15371" max="15371" width="14.7265625" style="441" customWidth="1"/>
    <col min="15372" max="15372" width="11.1796875" style="441" bestFit="1" customWidth="1"/>
    <col min="15373" max="15614" width="9.1796875" style="441"/>
    <col min="15615" max="15615" width="14.54296875" style="441" customWidth="1"/>
    <col min="15616" max="15617" width="9.1796875" style="441"/>
    <col min="15618" max="15618" width="14.7265625" style="441" customWidth="1"/>
    <col min="15619" max="15619" width="14.26953125" style="441" customWidth="1"/>
    <col min="15620" max="15620" width="13.81640625" style="441" customWidth="1"/>
    <col min="15621" max="15621" width="11.7265625" style="441" customWidth="1"/>
    <col min="15622" max="15622" width="12" style="441" customWidth="1"/>
    <col min="15623" max="15623" width="9.1796875" style="441"/>
    <col min="15624" max="15624" width="13.81640625" style="441" customWidth="1"/>
    <col min="15625" max="15625" width="13" style="441" customWidth="1"/>
    <col min="15626" max="15626" width="15.1796875" style="441" customWidth="1"/>
    <col min="15627" max="15627" width="14.7265625" style="441" customWidth="1"/>
    <col min="15628" max="15628" width="11.1796875" style="441" bestFit="1" customWidth="1"/>
    <col min="15629" max="15870" width="9.1796875" style="441"/>
    <col min="15871" max="15871" width="14.54296875" style="441" customWidth="1"/>
    <col min="15872" max="15873" width="9.1796875" style="441"/>
    <col min="15874" max="15874" width="14.7265625" style="441" customWidth="1"/>
    <col min="15875" max="15875" width="14.26953125" style="441" customWidth="1"/>
    <col min="15876" max="15876" width="13.81640625" style="441" customWidth="1"/>
    <col min="15877" max="15877" width="11.7265625" style="441" customWidth="1"/>
    <col min="15878" max="15878" width="12" style="441" customWidth="1"/>
    <col min="15879" max="15879" width="9.1796875" style="441"/>
    <col min="15880" max="15880" width="13.81640625" style="441" customWidth="1"/>
    <col min="15881" max="15881" width="13" style="441" customWidth="1"/>
    <col min="15882" max="15882" width="15.1796875" style="441" customWidth="1"/>
    <col min="15883" max="15883" width="14.7265625" style="441" customWidth="1"/>
    <col min="15884" max="15884" width="11.1796875" style="441" bestFit="1" customWidth="1"/>
    <col min="15885" max="16126" width="9.1796875" style="441"/>
    <col min="16127" max="16127" width="14.54296875" style="441" customWidth="1"/>
    <col min="16128" max="16129" width="9.1796875" style="441"/>
    <col min="16130" max="16130" width="14.7265625" style="441" customWidth="1"/>
    <col min="16131" max="16131" width="14.26953125" style="441" customWidth="1"/>
    <col min="16132" max="16132" width="13.81640625" style="441" customWidth="1"/>
    <col min="16133" max="16133" width="11.7265625" style="441" customWidth="1"/>
    <col min="16134" max="16134" width="12" style="441" customWidth="1"/>
    <col min="16135" max="16135" width="9.1796875" style="441"/>
    <col min="16136" max="16136" width="13.81640625" style="441" customWidth="1"/>
    <col min="16137" max="16137" width="13" style="441" customWidth="1"/>
    <col min="16138" max="16138" width="15.1796875" style="441" customWidth="1"/>
    <col min="16139" max="16139" width="14.7265625" style="441" customWidth="1"/>
    <col min="16140" max="16140" width="11.1796875" style="441" bestFit="1" customWidth="1"/>
    <col min="16141" max="16384" width="9.1796875" style="441"/>
  </cols>
  <sheetData>
    <row r="4" spans="2:137" ht="12.5">
      <c r="B4" s="1068" t="s">
        <v>555</v>
      </c>
      <c r="C4" s="1068"/>
      <c r="D4" s="1068"/>
      <c r="E4" s="1068"/>
      <c r="F4" s="1068"/>
      <c r="G4" s="1068"/>
      <c r="H4" s="1068"/>
      <c r="I4" s="440" t="s">
        <v>556</v>
      </c>
      <c r="J4" s="1068" t="s">
        <v>557</v>
      </c>
      <c r="K4" s="1068"/>
      <c r="L4" s="1068"/>
      <c r="M4" s="440" t="s">
        <v>558</v>
      </c>
      <c r="EF4" s="441" t="e">
        <f>+DZ4/DS4*100</f>
        <v>#DIV/0!</v>
      </c>
      <c r="EG4" s="441" t="e">
        <f>+(DZ4/DM4-1)*100</f>
        <v>#DIV/0!</v>
      </c>
    </row>
    <row r="5" spans="2:137" ht="13">
      <c r="B5" s="442"/>
      <c r="C5" s="443" t="s">
        <v>559</v>
      </c>
      <c r="D5" s="444" t="s">
        <v>560</v>
      </c>
      <c r="E5" s="443" t="s">
        <v>561</v>
      </c>
      <c r="F5" s="444" t="s">
        <v>562</v>
      </c>
      <c r="G5" s="444" t="s">
        <v>563</v>
      </c>
      <c r="H5" s="444" t="s">
        <v>564</v>
      </c>
      <c r="I5" s="774"/>
      <c r="J5" s="446" t="s">
        <v>565</v>
      </c>
      <c r="K5" s="444" t="s">
        <v>566</v>
      </c>
      <c r="L5" s="444" t="s">
        <v>567</v>
      </c>
      <c r="M5" s="774"/>
      <c r="N5" s="773" t="s">
        <v>568</v>
      </c>
      <c r="O5" s="773" t="s">
        <v>569</v>
      </c>
      <c r="P5" s="772" t="s">
        <v>570</v>
      </c>
      <c r="EF5" s="441" t="e">
        <f t="shared" ref="EF5:EF23" si="0">+DZ5/DS5*100</f>
        <v>#DIV/0!</v>
      </c>
      <c r="EG5" s="441" t="e">
        <f t="shared" ref="EG5:EG23" si="1">+(DZ5/DM5-1)*100</f>
        <v>#DIV/0!</v>
      </c>
    </row>
    <row r="6" spans="2:137" ht="13.5" thickBot="1">
      <c r="B6" s="449" t="s">
        <v>571</v>
      </c>
      <c r="C6" s="450"/>
      <c r="D6" s="450"/>
      <c r="E6" s="451"/>
      <c r="F6" s="450"/>
      <c r="G6" s="450"/>
      <c r="H6" s="450"/>
      <c r="I6" s="450"/>
      <c r="J6" s="450"/>
      <c r="K6" s="450"/>
      <c r="L6" s="450"/>
      <c r="M6" s="452"/>
      <c r="N6" s="453" t="s">
        <v>572</v>
      </c>
      <c r="O6" s="453" t="s">
        <v>573</v>
      </c>
      <c r="P6" s="454" t="s">
        <v>574</v>
      </c>
      <c r="EF6" s="441" t="e">
        <f t="shared" si="0"/>
        <v>#DIV/0!</v>
      </c>
      <c r="EG6" s="441" t="e">
        <f t="shared" si="1"/>
        <v>#DIV/0!</v>
      </c>
    </row>
    <row r="7" spans="2:137">
      <c r="B7" s="455" t="s">
        <v>575</v>
      </c>
      <c r="C7" s="456">
        <v>44203</v>
      </c>
      <c r="D7" s="457">
        <v>3240</v>
      </c>
      <c r="E7" s="458" t="s">
        <v>576</v>
      </c>
      <c r="F7" s="459">
        <f t="shared" ref="F7:F29" si="2">G7+H7</f>
        <v>485715000</v>
      </c>
      <c r="G7" s="459">
        <v>485715000</v>
      </c>
      <c r="H7" s="459">
        <v>0</v>
      </c>
      <c r="I7" s="459">
        <f t="shared" ref="I7:I29" si="3">+G7+H7</f>
        <v>485715000</v>
      </c>
      <c r="J7" s="460"/>
      <c r="K7" s="459"/>
      <c r="L7" s="459"/>
      <c r="M7" s="459"/>
      <c r="N7" s="461"/>
      <c r="O7" s="462"/>
      <c r="P7" s="462"/>
      <c r="EF7" s="441" t="e">
        <f t="shared" si="0"/>
        <v>#DIV/0!</v>
      </c>
      <c r="EG7" s="441" t="e">
        <f t="shared" si="1"/>
        <v>#DIV/0!</v>
      </c>
    </row>
    <row r="8" spans="2:137">
      <c r="B8" s="455" t="s">
        <v>577</v>
      </c>
      <c r="C8" s="456">
        <v>44203</v>
      </c>
      <c r="D8" s="457">
        <v>3240</v>
      </c>
      <c r="E8" s="458" t="s">
        <v>576</v>
      </c>
      <c r="F8" s="459">
        <f t="shared" si="2"/>
        <v>214285000</v>
      </c>
      <c r="G8" s="459">
        <v>214285000</v>
      </c>
      <c r="H8" s="459">
        <v>0</v>
      </c>
      <c r="I8" s="459">
        <f t="shared" si="3"/>
        <v>214285000</v>
      </c>
      <c r="J8" s="460"/>
      <c r="K8" s="459"/>
      <c r="L8" s="459"/>
      <c r="M8" s="459"/>
      <c r="N8" s="461"/>
      <c r="O8" s="462"/>
      <c r="P8" s="462"/>
      <c r="EF8" s="441" t="e">
        <f t="shared" si="0"/>
        <v>#DIV/0!</v>
      </c>
      <c r="EG8" s="441" t="e">
        <f t="shared" si="1"/>
        <v>#DIV/0!</v>
      </c>
    </row>
    <row r="9" spans="2:137">
      <c r="B9" s="455" t="s">
        <v>578</v>
      </c>
      <c r="C9" s="456">
        <v>44208</v>
      </c>
      <c r="D9" s="457">
        <v>180</v>
      </c>
      <c r="E9" s="458" t="s">
        <v>579</v>
      </c>
      <c r="F9" s="459">
        <f t="shared" si="2"/>
        <v>50005000</v>
      </c>
      <c r="G9" s="459">
        <v>49756218.905472644</v>
      </c>
      <c r="H9" s="459">
        <v>248781.09452735633</v>
      </c>
      <c r="I9" s="459">
        <f t="shared" si="3"/>
        <v>50005000</v>
      </c>
      <c r="J9" s="460"/>
      <c r="K9" s="459"/>
      <c r="L9" s="459"/>
      <c r="M9" s="459"/>
      <c r="N9" s="461"/>
      <c r="O9" s="462"/>
      <c r="P9" s="462"/>
      <c r="EF9" s="441" t="e">
        <f t="shared" si="0"/>
        <v>#DIV/0!</v>
      </c>
      <c r="EG9" s="441" t="e">
        <f t="shared" si="1"/>
        <v>#DIV/0!</v>
      </c>
    </row>
    <row r="10" spans="2:137">
      <c r="B10" s="455" t="s">
        <v>580</v>
      </c>
      <c r="C10" s="456">
        <v>44208</v>
      </c>
      <c r="D10" s="457">
        <v>180</v>
      </c>
      <c r="E10" s="458" t="s">
        <v>579</v>
      </c>
      <c r="F10" s="459">
        <f t="shared" si="2"/>
        <v>49999000</v>
      </c>
      <c r="G10" s="459">
        <v>49750248.75621891</v>
      </c>
      <c r="H10" s="459">
        <v>248751.24378108978</v>
      </c>
      <c r="I10" s="459">
        <f t="shared" si="3"/>
        <v>49999000</v>
      </c>
      <c r="J10" s="460"/>
      <c r="K10" s="459"/>
      <c r="L10" s="459"/>
      <c r="M10" s="459"/>
      <c r="N10" s="461"/>
      <c r="O10" s="462"/>
      <c r="P10" s="462"/>
      <c r="EF10" s="441" t="e">
        <f t="shared" si="0"/>
        <v>#DIV/0!</v>
      </c>
      <c r="EG10" s="441" t="e">
        <f t="shared" si="1"/>
        <v>#DIV/0!</v>
      </c>
    </row>
    <row r="11" spans="2:137">
      <c r="B11" s="455" t="s">
        <v>581</v>
      </c>
      <c r="C11" s="456">
        <v>44208</v>
      </c>
      <c r="D11" s="457">
        <v>180</v>
      </c>
      <c r="E11" s="458" t="s">
        <v>579</v>
      </c>
      <c r="F11" s="459">
        <f t="shared" si="2"/>
        <v>49999000</v>
      </c>
      <c r="G11" s="459">
        <v>49750248.75621891</v>
      </c>
      <c r="H11" s="459">
        <v>248751.24378108978</v>
      </c>
      <c r="I11" s="459">
        <f t="shared" si="3"/>
        <v>49999000</v>
      </c>
      <c r="J11" s="460"/>
      <c r="K11" s="459"/>
      <c r="L11" s="459"/>
      <c r="M11" s="459"/>
      <c r="N11" s="461"/>
      <c r="O11" s="462"/>
      <c r="P11" s="462"/>
      <c r="EF11" s="441" t="e">
        <f t="shared" si="0"/>
        <v>#DIV/0!</v>
      </c>
      <c r="EG11" s="441" t="e">
        <f t="shared" si="1"/>
        <v>#DIV/0!</v>
      </c>
    </row>
    <row r="12" spans="2:137">
      <c r="B12" s="455" t="s">
        <v>577</v>
      </c>
      <c r="C12" s="456">
        <v>44208</v>
      </c>
      <c r="D12" s="457">
        <v>180</v>
      </c>
      <c r="E12" s="458" t="s">
        <v>579</v>
      </c>
      <c r="F12" s="459">
        <f t="shared" si="2"/>
        <v>49999000</v>
      </c>
      <c r="G12" s="459">
        <v>49750248.75621891</v>
      </c>
      <c r="H12" s="459">
        <v>248751.24378108978</v>
      </c>
      <c r="I12" s="459">
        <f t="shared" si="3"/>
        <v>49999000</v>
      </c>
      <c r="J12" s="460"/>
      <c r="K12" s="459"/>
      <c r="L12" s="459"/>
      <c r="M12" s="459"/>
      <c r="N12" s="461"/>
      <c r="O12" s="462"/>
      <c r="P12" s="462"/>
      <c r="EF12" s="441" t="e">
        <f t="shared" si="0"/>
        <v>#DIV/0!</v>
      </c>
      <c r="EG12" s="441" t="e">
        <f t="shared" si="1"/>
        <v>#DIV/0!</v>
      </c>
    </row>
    <row r="13" spans="2:137">
      <c r="B13" s="455" t="s">
        <v>575</v>
      </c>
      <c r="C13" s="456">
        <v>44208</v>
      </c>
      <c r="D13" s="457">
        <v>180</v>
      </c>
      <c r="E13" s="458" t="s">
        <v>579</v>
      </c>
      <c r="F13" s="459">
        <f t="shared" si="2"/>
        <v>49999000</v>
      </c>
      <c r="G13" s="459">
        <v>49750248.75621891</v>
      </c>
      <c r="H13" s="459">
        <v>248751.24378108978</v>
      </c>
      <c r="I13" s="459">
        <f t="shared" si="3"/>
        <v>49999000</v>
      </c>
      <c r="J13" s="460"/>
      <c r="K13" s="459"/>
      <c r="L13" s="459"/>
      <c r="M13" s="459"/>
      <c r="N13" s="461"/>
      <c r="O13" s="462"/>
      <c r="P13" s="462"/>
      <c r="EF13" s="441" t="e">
        <f t="shared" si="0"/>
        <v>#DIV/0!</v>
      </c>
      <c r="EG13" s="441" t="e">
        <f t="shared" si="1"/>
        <v>#DIV/0!</v>
      </c>
    </row>
    <row r="14" spans="2:137">
      <c r="B14" s="455" t="s">
        <v>575</v>
      </c>
      <c r="C14" s="456">
        <v>44211</v>
      </c>
      <c r="D14" s="457">
        <v>720</v>
      </c>
      <c r="E14" s="458" t="s">
        <v>576</v>
      </c>
      <c r="F14" s="459">
        <f t="shared" si="2"/>
        <v>201216000</v>
      </c>
      <c r="G14" s="459">
        <v>201216000</v>
      </c>
      <c r="H14" s="459">
        <v>0</v>
      </c>
      <c r="I14" s="459">
        <f t="shared" si="3"/>
        <v>201216000</v>
      </c>
      <c r="J14" s="460"/>
      <c r="K14" s="459"/>
      <c r="L14" s="459"/>
      <c r="M14" s="459"/>
      <c r="N14" s="461"/>
      <c r="O14" s="462"/>
      <c r="P14" s="462"/>
      <c r="EF14" s="441" t="e">
        <f t="shared" si="0"/>
        <v>#DIV/0!</v>
      </c>
      <c r="EG14" s="441" t="e">
        <f t="shared" si="1"/>
        <v>#DIV/0!</v>
      </c>
    </row>
    <row r="15" spans="2:137">
      <c r="B15" s="455" t="s">
        <v>578</v>
      </c>
      <c r="C15" s="456">
        <v>44211</v>
      </c>
      <c r="D15" s="457">
        <v>720</v>
      </c>
      <c r="E15" s="458" t="s">
        <v>576</v>
      </c>
      <c r="F15" s="459">
        <f t="shared" si="2"/>
        <v>43068000</v>
      </c>
      <c r="G15" s="459">
        <v>43068000</v>
      </c>
      <c r="H15" s="459">
        <v>0</v>
      </c>
      <c r="I15" s="459">
        <f t="shared" si="3"/>
        <v>43068000</v>
      </c>
      <c r="J15" s="460"/>
      <c r="K15" s="459"/>
      <c r="L15" s="459"/>
      <c r="M15" s="459"/>
      <c r="N15" s="461"/>
      <c r="O15" s="462"/>
      <c r="P15" s="462"/>
      <c r="EF15" s="441" t="e">
        <f t="shared" si="0"/>
        <v>#DIV/0!</v>
      </c>
      <c r="EG15" s="441" t="e">
        <f t="shared" si="1"/>
        <v>#DIV/0!</v>
      </c>
    </row>
    <row r="16" spans="2:137">
      <c r="B16" s="455" t="s">
        <v>577</v>
      </c>
      <c r="C16" s="456">
        <v>44211</v>
      </c>
      <c r="D16" s="457">
        <v>720</v>
      </c>
      <c r="E16" s="458" t="s">
        <v>576</v>
      </c>
      <c r="F16" s="459">
        <f t="shared" si="2"/>
        <v>39576000</v>
      </c>
      <c r="G16" s="459">
        <v>39576000</v>
      </c>
      <c r="H16" s="459">
        <v>0</v>
      </c>
      <c r="I16" s="459">
        <f t="shared" si="3"/>
        <v>39576000</v>
      </c>
      <c r="J16" s="460"/>
      <c r="K16" s="459"/>
      <c r="L16" s="459"/>
      <c r="M16" s="459"/>
      <c r="N16" s="461"/>
      <c r="O16" s="462"/>
      <c r="P16" s="462"/>
      <c r="EF16" s="441" t="e">
        <f t="shared" si="0"/>
        <v>#DIV/0!</v>
      </c>
      <c r="EG16" s="441" t="e">
        <f t="shared" si="1"/>
        <v>#DIV/0!</v>
      </c>
    </row>
    <row r="17" spans="2:137">
      <c r="B17" s="455" t="s">
        <v>582</v>
      </c>
      <c r="C17" s="456">
        <v>44211</v>
      </c>
      <c r="D17" s="457">
        <v>720</v>
      </c>
      <c r="E17" s="458" t="s">
        <v>576</v>
      </c>
      <c r="F17" s="459">
        <f t="shared" si="2"/>
        <v>30000000</v>
      </c>
      <c r="G17" s="459">
        <v>30000000</v>
      </c>
      <c r="H17" s="459">
        <v>0</v>
      </c>
      <c r="I17" s="459">
        <f t="shared" si="3"/>
        <v>30000000</v>
      </c>
      <c r="J17" s="460"/>
      <c r="K17" s="459"/>
      <c r="L17" s="459"/>
      <c r="M17" s="459"/>
      <c r="N17" s="461"/>
      <c r="O17" s="462"/>
      <c r="P17" s="462"/>
      <c r="EF17" s="441" t="e">
        <f t="shared" si="0"/>
        <v>#DIV/0!</v>
      </c>
      <c r="EG17" s="441" t="e">
        <f t="shared" si="1"/>
        <v>#DIV/0!</v>
      </c>
    </row>
    <row r="18" spans="2:137">
      <c r="B18" s="455" t="s">
        <v>582</v>
      </c>
      <c r="C18" s="456">
        <v>44211</v>
      </c>
      <c r="D18" s="457">
        <v>720</v>
      </c>
      <c r="E18" s="458" t="s">
        <v>576</v>
      </c>
      <c r="F18" s="459">
        <f t="shared" si="2"/>
        <v>5000000</v>
      </c>
      <c r="G18" s="459">
        <v>5000000</v>
      </c>
      <c r="H18" s="459">
        <v>0</v>
      </c>
      <c r="I18" s="459">
        <f t="shared" si="3"/>
        <v>5000000</v>
      </c>
      <c r="J18" s="460"/>
      <c r="K18" s="459"/>
      <c r="L18" s="459"/>
      <c r="M18" s="459"/>
      <c r="N18" s="461"/>
      <c r="O18" s="462"/>
      <c r="P18" s="462"/>
      <c r="EF18" s="441" t="e">
        <f t="shared" si="0"/>
        <v>#DIV/0!</v>
      </c>
      <c r="EG18" s="441" t="e">
        <f t="shared" si="1"/>
        <v>#DIV/0!</v>
      </c>
    </row>
    <row r="19" spans="2:137">
      <c r="B19" s="455" t="s">
        <v>583</v>
      </c>
      <c r="C19" s="456">
        <v>44211</v>
      </c>
      <c r="D19" s="457">
        <v>720</v>
      </c>
      <c r="E19" s="458" t="s">
        <v>576</v>
      </c>
      <c r="F19" s="459">
        <f t="shared" si="2"/>
        <v>15000000</v>
      </c>
      <c r="G19" s="459">
        <v>15000000</v>
      </c>
      <c r="H19" s="459">
        <v>0</v>
      </c>
      <c r="I19" s="459">
        <f t="shared" si="3"/>
        <v>15000000</v>
      </c>
      <c r="J19" s="460"/>
      <c r="K19" s="459"/>
      <c r="L19" s="459"/>
      <c r="M19" s="459"/>
      <c r="N19" s="461"/>
      <c r="O19" s="462"/>
      <c r="P19" s="462"/>
      <c r="EF19" s="441" t="e">
        <f t="shared" si="0"/>
        <v>#DIV/0!</v>
      </c>
      <c r="EG19" s="441" t="e">
        <f t="shared" si="1"/>
        <v>#DIV/0!</v>
      </c>
    </row>
    <row r="20" spans="2:137">
      <c r="B20" s="455" t="s">
        <v>580</v>
      </c>
      <c r="C20" s="456">
        <v>44215</v>
      </c>
      <c r="D20" s="457">
        <v>270</v>
      </c>
      <c r="E20" s="458" t="s">
        <v>579</v>
      </c>
      <c r="F20" s="459">
        <f t="shared" si="2"/>
        <v>72729000</v>
      </c>
      <c r="G20" s="459">
        <v>72187593.052109182</v>
      </c>
      <c r="H20" s="459">
        <v>541406.94789081812</v>
      </c>
      <c r="I20" s="459">
        <f t="shared" si="3"/>
        <v>72729000</v>
      </c>
      <c r="J20" s="460"/>
      <c r="K20" s="459"/>
      <c r="L20" s="459"/>
      <c r="M20" s="459"/>
      <c r="N20" s="461"/>
      <c r="O20" s="462"/>
      <c r="P20" s="462"/>
      <c r="EF20" s="441" t="e">
        <f t="shared" si="0"/>
        <v>#DIV/0!</v>
      </c>
      <c r="EG20" s="441" t="e">
        <f t="shared" si="1"/>
        <v>#DIV/0!</v>
      </c>
    </row>
    <row r="21" spans="2:137">
      <c r="B21" s="455" t="s">
        <v>577</v>
      </c>
      <c r="C21" s="456">
        <v>44215</v>
      </c>
      <c r="D21" s="457">
        <v>270</v>
      </c>
      <c r="E21" s="458" t="s">
        <v>579</v>
      </c>
      <c r="F21" s="459">
        <f t="shared" si="2"/>
        <v>72727000</v>
      </c>
      <c r="G21" s="459">
        <v>72185607.940446645</v>
      </c>
      <c r="H21" s="459">
        <v>541392.05955335498</v>
      </c>
      <c r="I21" s="459">
        <f t="shared" si="3"/>
        <v>72727000</v>
      </c>
      <c r="J21" s="460"/>
      <c r="K21" s="459"/>
      <c r="L21" s="459"/>
      <c r="M21" s="459"/>
      <c r="N21" s="461"/>
      <c r="O21" s="462"/>
      <c r="P21" s="462"/>
      <c r="EF21" s="441" t="e">
        <f t="shared" si="0"/>
        <v>#DIV/0!</v>
      </c>
      <c r="EG21" s="441" t="e">
        <f t="shared" si="1"/>
        <v>#DIV/0!</v>
      </c>
    </row>
    <row r="22" spans="2:137">
      <c r="B22" s="455" t="s">
        <v>575</v>
      </c>
      <c r="C22" s="456">
        <v>44215</v>
      </c>
      <c r="D22" s="457">
        <v>270</v>
      </c>
      <c r="E22" s="458" t="s">
        <v>579</v>
      </c>
      <c r="F22" s="459">
        <f t="shared" si="2"/>
        <v>72727000</v>
      </c>
      <c r="G22" s="459">
        <v>72185607.940446645</v>
      </c>
      <c r="H22" s="459">
        <v>541392.05955335498</v>
      </c>
      <c r="I22" s="459">
        <f t="shared" si="3"/>
        <v>72727000</v>
      </c>
      <c r="J22" s="460"/>
      <c r="K22" s="459"/>
      <c r="L22" s="459"/>
      <c r="M22" s="459"/>
      <c r="N22" s="461"/>
      <c r="O22" s="462"/>
      <c r="P22" s="462"/>
      <c r="EF22" s="441" t="e">
        <f t="shared" si="0"/>
        <v>#DIV/0!</v>
      </c>
      <c r="EG22" s="441" t="e">
        <f t="shared" si="1"/>
        <v>#DIV/0!</v>
      </c>
    </row>
    <row r="23" spans="2:137">
      <c r="B23" s="455" t="s">
        <v>581</v>
      </c>
      <c r="C23" s="456">
        <v>44215</v>
      </c>
      <c r="D23" s="457">
        <v>270</v>
      </c>
      <c r="E23" s="458" t="s">
        <v>579</v>
      </c>
      <c r="F23" s="459">
        <f t="shared" si="2"/>
        <v>36363000</v>
      </c>
      <c r="G23" s="459">
        <v>36092307.692307688</v>
      </c>
      <c r="H23" s="459">
        <v>270692.3076923117</v>
      </c>
      <c r="I23" s="459">
        <f t="shared" si="3"/>
        <v>36363000</v>
      </c>
      <c r="J23" s="460"/>
      <c r="K23" s="459"/>
      <c r="L23" s="459"/>
      <c r="M23" s="459"/>
      <c r="N23" s="461"/>
      <c r="O23" s="462"/>
      <c r="P23" s="462"/>
      <c r="EF23" s="441" t="e">
        <f t="shared" si="0"/>
        <v>#DIV/0!</v>
      </c>
      <c r="EG23" s="441" t="e">
        <f t="shared" si="1"/>
        <v>#DIV/0!</v>
      </c>
    </row>
    <row r="24" spans="2:137">
      <c r="B24" s="455" t="s">
        <v>578</v>
      </c>
      <c r="C24" s="456">
        <v>44215</v>
      </c>
      <c r="D24" s="457">
        <v>270</v>
      </c>
      <c r="E24" s="458" t="s">
        <v>579</v>
      </c>
      <c r="F24" s="459">
        <f t="shared" si="2"/>
        <v>72727000</v>
      </c>
      <c r="G24" s="459">
        <v>72185607.940446645</v>
      </c>
      <c r="H24" s="459">
        <v>541392.05955335498</v>
      </c>
      <c r="I24" s="459">
        <f t="shared" si="3"/>
        <v>72727000</v>
      </c>
      <c r="J24" s="460"/>
      <c r="K24" s="459"/>
      <c r="L24" s="459"/>
      <c r="M24" s="459"/>
      <c r="N24" s="461"/>
      <c r="O24" s="462"/>
      <c r="P24" s="462"/>
    </row>
    <row r="25" spans="2:137">
      <c r="B25" s="455" t="s">
        <v>578</v>
      </c>
      <c r="C25" s="456">
        <v>44218</v>
      </c>
      <c r="D25" s="457">
        <v>1800</v>
      </c>
      <c r="E25" s="458" t="s">
        <v>576</v>
      </c>
      <c r="F25" s="459">
        <f t="shared" si="2"/>
        <v>271264000</v>
      </c>
      <c r="G25" s="459">
        <v>271264000</v>
      </c>
      <c r="H25" s="459">
        <v>0</v>
      </c>
      <c r="I25" s="459">
        <f t="shared" si="3"/>
        <v>271264000</v>
      </c>
      <c r="J25" s="460"/>
      <c r="K25" s="459"/>
      <c r="L25" s="459"/>
      <c r="M25" s="459"/>
      <c r="N25" s="461"/>
      <c r="O25" s="462"/>
      <c r="P25" s="462"/>
    </row>
    <row r="26" spans="2:137">
      <c r="B26" s="455" t="s">
        <v>581</v>
      </c>
      <c r="C26" s="456">
        <v>44218</v>
      </c>
      <c r="D26" s="457">
        <v>1800</v>
      </c>
      <c r="E26" s="458" t="s">
        <v>576</v>
      </c>
      <c r="F26" s="459">
        <f t="shared" si="2"/>
        <v>42103000</v>
      </c>
      <c r="G26" s="459">
        <v>42103000</v>
      </c>
      <c r="H26" s="459">
        <v>0</v>
      </c>
      <c r="I26" s="459">
        <f t="shared" si="3"/>
        <v>42103000</v>
      </c>
      <c r="J26" s="460"/>
      <c r="K26" s="459"/>
      <c r="L26" s="459"/>
      <c r="M26" s="459"/>
      <c r="N26" s="461"/>
      <c r="O26" s="462"/>
      <c r="P26" s="462"/>
    </row>
    <row r="27" spans="2:137">
      <c r="B27" s="455" t="s">
        <v>580</v>
      </c>
      <c r="C27" s="456">
        <v>44218</v>
      </c>
      <c r="D27" s="457">
        <v>1800</v>
      </c>
      <c r="E27" s="458" t="s">
        <v>576</v>
      </c>
      <c r="F27" s="459">
        <f t="shared" si="2"/>
        <v>84633000</v>
      </c>
      <c r="G27" s="459">
        <v>84633000</v>
      </c>
      <c r="H27" s="459">
        <v>0</v>
      </c>
      <c r="I27" s="459">
        <f t="shared" si="3"/>
        <v>84633000</v>
      </c>
      <c r="J27" s="460"/>
      <c r="K27" s="459"/>
      <c r="L27" s="459"/>
      <c r="M27" s="459"/>
      <c r="N27" s="461"/>
      <c r="O27" s="462"/>
      <c r="P27" s="462"/>
    </row>
    <row r="28" spans="2:137">
      <c r="B28" s="455" t="s">
        <v>583</v>
      </c>
      <c r="C28" s="456">
        <v>44218</v>
      </c>
      <c r="D28" s="457">
        <v>1800</v>
      </c>
      <c r="E28" s="458" t="s">
        <v>576</v>
      </c>
      <c r="F28" s="459">
        <f t="shared" si="2"/>
        <v>10000000</v>
      </c>
      <c r="G28" s="459">
        <v>10000000</v>
      </c>
      <c r="H28" s="459">
        <v>0</v>
      </c>
      <c r="I28" s="459">
        <f t="shared" si="3"/>
        <v>10000000</v>
      </c>
      <c r="J28" s="460"/>
      <c r="K28" s="459"/>
      <c r="L28" s="459"/>
      <c r="M28" s="459"/>
      <c r="N28" s="461"/>
      <c r="O28" s="462"/>
      <c r="P28" s="462"/>
    </row>
    <row r="29" spans="2:137">
      <c r="B29" s="455" t="s">
        <v>582</v>
      </c>
      <c r="C29" s="456">
        <v>44218</v>
      </c>
      <c r="D29" s="457">
        <v>1800</v>
      </c>
      <c r="E29" s="458" t="s">
        <v>576</v>
      </c>
      <c r="F29" s="459">
        <f t="shared" si="2"/>
        <v>30000000</v>
      </c>
      <c r="G29" s="459">
        <v>30000000</v>
      </c>
      <c r="H29" s="459">
        <v>0</v>
      </c>
      <c r="I29" s="459">
        <f t="shared" si="3"/>
        <v>30000000</v>
      </c>
      <c r="J29" s="460"/>
      <c r="K29" s="459"/>
      <c r="L29" s="459"/>
      <c r="M29" s="459"/>
      <c r="N29" s="461"/>
      <c r="O29" s="462"/>
      <c r="P29" s="462"/>
    </row>
    <row r="30" spans="2:137">
      <c r="B30" s="455" t="s">
        <v>575</v>
      </c>
      <c r="C30" s="463"/>
      <c r="D30" s="464"/>
      <c r="E30" s="458" t="s">
        <v>576</v>
      </c>
      <c r="F30" s="459"/>
      <c r="G30" s="465"/>
      <c r="H30" s="465"/>
      <c r="I30" s="465"/>
      <c r="J30" s="456">
        <v>44200</v>
      </c>
      <c r="K30" s="459">
        <v>0</v>
      </c>
      <c r="L30" s="459">
        <v>4668958</v>
      </c>
      <c r="M30" s="459">
        <f t="shared" ref="M30:M61" si="4">+K30+L30</f>
        <v>4668958</v>
      </c>
      <c r="N30" s="461"/>
      <c r="O30" s="462"/>
      <c r="P30" s="462"/>
    </row>
    <row r="31" spans="2:137">
      <c r="B31" s="455" t="s">
        <v>584</v>
      </c>
      <c r="C31" s="463"/>
      <c r="D31" s="464"/>
      <c r="E31" s="458" t="s">
        <v>576</v>
      </c>
      <c r="F31" s="459"/>
      <c r="G31" s="465"/>
      <c r="H31" s="465"/>
      <c r="I31" s="465"/>
      <c r="J31" s="456">
        <v>44200</v>
      </c>
      <c r="K31" s="459">
        <v>0</v>
      </c>
      <c r="L31" s="459">
        <v>36724</v>
      </c>
      <c r="M31" s="459">
        <f t="shared" si="4"/>
        <v>36724</v>
      </c>
      <c r="N31" s="461"/>
      <c r="O31" s="462"/>
      <c r="P31" s="462"/>
    </row>
    <row r="32" spans="2:137">
      <c r="B32" s="455" t="s">
        <v>580</v>
      </c>
      <c r="C32" s="463"/>
      <c r="D32" s="464"/>
      <c r="E32" s="458" t="s">
        <v>576</v>
      </c>
      <c r="F32" s="459"/>
      <c r="G32" s="465"/>
      <c r="H32" s="465"/>
      <c r="I32" s="465"/>
      <c r="J32" s="456">
        <v>44200</v>
      </c>
      <c r="K32" s="459">
        <v>0</v>
      </c>
      <c r="L32" s="459">
        <v>3632824</v>
      </c>
      <c r="M32" s="459">
        <f t="shared" si="4"/>
        <v>3632824</v>
      </c>
      <c r="N32" s="461"/>
      <c r="O32" s="462"/>
      <c r="P32" s="462"/>
    </row>
    <row r="33" spans="2:16">
      <c r="B33" s="455" t="s">
        <v>577</v>
      </c>
      <c r="C33" s="463"/>
      <c r="D33" s="464"/>
      <c r="E33" s="458" t="s">
        <v>576</v>
      </c>
      <c r="F33" s="459"/>
      <c r="G33" s="465"/>
      <c r="H33" s="465"/>
      <c r="I33" s="465"/>
      <c r="J33" s="456">
        <v>44200</v>
      </c>
      <c r="K33" s="459">
        <v>0</v>
      </c>
      <c r="L33" s="459">
        <v>21887800</v>
      </c>
      <c r="M33" s="459">
        <f t="shared" si="4"/>
        <v>21887800</v>
      </c>
      <c r="N33" s="461"/>
      <c r="O33" s="462"/>
      <c r="P33" s="462"/>
    </row>
    <row r="34" spans="2:16">
      <c r="B34" s="455" t="s">
        <v>580</v>
      </c>
      <c r="C34" s="463"/>
      <c r="D34" s="464"/>
      <c r="E34" s="458" t="s">
        <v>576</v>
      </c>
      <c r="F34" s="459"/>
      <c r="G34" s="465"/>
      <c r="H34" s="465"/>
      <c r="I34" s="465"/>
      <c r="J34" s="456">
        <v>44204</v>
      </c>
      <c r="K34" s="459">
        <v>0</v>
      </c>
      <c r="L34" s="459">
        <v>6762525</v>
      </c>
      <c r="M34" s="459">
        <f t="shared" si="4"/>
        <v>6762525</v>
      </c>
      <c r="N34" s="461"/>
      <c r="O34" s="462"/>
      <c r="P34" s="462"/>
    </row>
    <row r="35" spans="2:16">
      <c r="B35" s="455" t="s">
        <v>575</v>
      </c>
      <c r="C35" s="463"/>
      <c r="D35" s="464"/>
      <c r="E35" s="458" t="s">
        <v>576</v>
      </c>
      <c r="F35" s="459"/>
      <c r="G35" s="465"/>
      <c r="H35" s="465"/>
      <c r="I35" s="465"/>
      <c r="J35" s="456">
        <v>44204</v>
      </c>
      <c r="K35" s="459">
        <v>0</v>
      </c>
      <c r="L35" s="459">
        <v>5624975</v>
      </c>
      <c r="M35" s="459">
        <f t="shared" si="4"/>
        <v>5624975</v>
      </c>
      <c r="N35" s="461"/>
      <c r="O35" s="462"/>
      <c r="P35" s="462"/>
    </row>
    <row r="36" spans="2:16">
      <c r="B36" s="455" t="s">
        <v>575</v>
      </c>
      <c r="C36" s="463"/>
      <c r="D36" s="464"/>
      <c r="E36" s="458" t="s">
        <v>576</v>
      </c>
      <c r="F36" s="459"/>
      <c r="G36" s="465"/>
      <c r="H36" s="465"/>
      <c r="I36" s="465"/>
      <c r="J36" s="456">
        <v>44204</v>
      </c>
      <c r="K36" s="466">
        <v>224999000</v>
      </c>
      <c r="L36" s="466">
        <v>0</v>
      </c>
      <c r="M36" s="466">
        <f t="shared" si="4"/>
        <v>224999000</v>
      </c>
      <c r="N36" s="461"/>
      <c r="O36" s="462"/>
      <c r="P36" s="462"/>
    </row>
    <row r="37" spans="2:16">
      <c r="B37" s="455" t="s">
        <v>580</v>
      </c>
      <c r="C37" s="463"/>
      <c r="D37" s="464"/>
      <c r="E37" s="458" t="s">
        <v>576</v>
      </c>
      <c r="F37" s="459"/>
      <c r="G37" s="465"/>
      <c r="H37" s="465"/>
      <c r="I37" s="465"/>
      <c r="J37" s="456">
        <v>44204</v>
      </c>
      <c r="K37" s="466">
        <v>270501000</v>
      </c>
      <c r="L37" s="466">
        <v>0</v>
      </c>
      <c r="M37" s="466">
        <f t="shared" si="4"/>
        <v>270501000</v>
      </c>
      <c r="N37" s="461"/>
      <c r="O37" s="462"/>
      <c r="P37" s="462"/>
    </row>
    <row r="38" spans="2:16">
      <c r="B38" s="455" t="s">
        <v>577</v>
      </c>
      <c r="C38" s="463"/>
      <c r="D38" s="464"/>
      <c r="E38" s="458" t="s">
        <v>576</v>
      </c>
      <c r="F38" s="459"/>
      <c r="G38" s="465"/>
      <c r="H38" s="465"/>
      <c r="I38" s="465"/>
      <c r="J38" s="456">
        <v>44207</v>
      </c>
      <c r="K38" s="459">
        <v>0</v>
      </c>
      <c r="L38" s="459">
        <v>8932500</v>
      </c>
      <c r="M38" s="459">
        <f t="shared" si="4"/>
        <v>8932500</v>
      </c>
      <c r="N38" s="461"/>
      <c r="O38" s="462"/>
      <c r="P38" s="462"/>
    </row>
    <row r="39" spans="2:16">
      <c r="B39" s="455" t="s">
        <v>575</v>
      </c>
      <c r="C39" s="463"/>
      <c r="D39" s="464"/>
      <c r="E39" s="458" t="s">
        <v>576</v>
      </c>
      <c r="F39" s="459"/>
      <c r="G39" s="465"/>
      <c r="H39" s="465"/>
      <c r="I39" s="465"/>
      <c r="J39" s="456">
        <v>44207</v>
      </c>
      <c r="K39" s="459">
        <v>0</v>
      </c>
      <c r="L39" s="459">
        <v>10625000</v>
      </c>
      <c r="M39" s="459">
        <f t="shared" si="4"/>
        <v>10625000</v>
      </c>
      <c r="N39" s="461"/>
      <c r="O39" s="462"/>
      <c r="P39" s="462"/>
    </row>
    <row r="40" spans="2:16">
      <c r="B40" s="455" t="s">
        <v>575</v>
      </c>
      <c r="C40" s="463"/>
      <c r="D40" s="464"/>
      <c r="E40" s="458" t="s">
        <v>576</v>
      </c>
      <c r="F40" s="459"/>
      <c r="G40" s="465"/>
      <c r="H40" s="465"/>
      <c r="I40" s="465"/>
      <c r="J40" s="456">
        <v>44208</v>
      </c>
      <c r="K40" s="459">
        <v>0</v>
      </c>
      <c r="L40" s="459">
        <v>9010938</v>
      </c>
      <c r="M40" s="459">
        <f t="shared" si="4"/>
        <v>9010938</v>
      </c>
      <c r="N40" s="461"/>
      <c r="O40" s="462"/>
      <c r="P40" s="462"/>
    </row>
    <row r="41" spans="2:16">
      <c r="B41" s="455" t="s">
        <v>582</v>
      </c>
      <c r="C41" s="463"/>
      <c r="D41" s="464"/>
      <c r="E41" s="458" t="s">
        <v>576</v>
      </c>
      <c r="F41" s="459"/>
      <c r="G41" s="465"/>
      <c r="H41" s="465"/>
      <c r="I41" s="465"/>
      <c r="J41" s="456">
        <v>44208</v>
      </c>
      <c r="K41" s="459">
        <v>0</v>
      </c>
      <c r="L41" s="459">
        <v>33281</v>
      </c>
      <c r="M41" s="459">
        <f t="shared" si="4"/>
        <v>33281</v>
      </c>
      <c r="N41" s="461"/>
      <c r="O41" s="462"/>
      <c r="P41" s="462"/>
    </row>
    <row r="42" spans="2:16">
      <c r="B42" s="455" t="s">
        <v>575</v>
      </c>
      <c r="C42" s="463"/>
      <c r="D42" s="464"/>
      <c r="E42" s="458" t="s">
        <v>576</v>
      </c>
      <c r="F42" s="459"/>
      <c r="G42" s="465"/>
      <c r="H42" s="465"/>
      <c r="I42" s="465"/>
      <c r="J42" s="456">
        <v>44208</v>
      </c>
      <c r="K42" s="459">
        <v>0</v>
      </c>
      <c r="L42" s="459">
        <v>6343768</v>
      </c>
      <c r="M42" s="459">
        <f t="shared" si="4"/>
        <v>6343768</v>
      </c>
      <c r="N42" s="461"/>
      <c r="O42" s="462"/>
      <c r="P42" s="462"/>
    </row>
    <row r="43" spans="2:16">
      <c r="B43" s="455" t="s">
        <v>575</v>
      </c>
      <c r="C43" s="463"/>
      <c r="D43" s="464"/>
      <c r="E43" s="458" t="s">
        <v>576</v>
      </c>
      <c r="F43" s="459"/>
      <c r="G43" s="465"/>
      <c r="H43" s="465"/>
      <c r="I43" s="465"/>
      <c r="J43" s="456">
        <v>44208</v>
      </c>
      <c r="K43" s="459">
        <v>0</v>
      </c>
      <c r="L43" s="459">
        <v>1893860</v>
      </c>
      <c r="M43" s="459">
        <f t="shared" si="4"/>
        <v>1893860</v>
      </c>
      <c r="N43" s="461"/>
      <c r="O43" s="462"/>
      <c r="P43" s="462"/>
    </row>
    <row r="44" spans="2:16">
      <c r="B44" s="455" t="s">
        <v>585</v>
      </c>
      <c r="C44" s="463"/>
      <c r="D44" s="464"/>
      <c r="E44" s="458" t="s">
        <v>576</v>
      </c>
      <c r="F44" s="459"/>
      <c r="G44" s="465"/>
      <c r="H44" s="465"/>
      <c r="I44" s="465"/>
      <c r="J44" s="456">
        <v>44208</v>
      </c>
      <c r="K44" s="459">
        <v>0</v>
      </c>
      <c r="L44" s="459">
        <v>6552302</v>
      </c>
      <c r="M44" s="459">
        <f t="shared" si="4"/>
        <v>6552302</v>
      </c>
      <c r="N44" s="461"/>
      <c r="O44" s="462"/>
      <c r="P44" s="462"/>
    </row>
    <row r="45" spans="2:16">
      <c r="B45" s="455" t="s">
        <v>582</v>
      </c>
      <c r="C45" s="463"/>
      <c r="D45" s="464"/>
      <c r="E45" s="458" t="s">
        <v>576</v>
      </c>
      <c r="F45" s="459"/>
      <c r="G45" s="465"/>
      <c r="H45" s="465"/>
      <c r="I45" s="465"/>
      <c r="J45" s="456">
        <v>44210</v>
      </c>
      <c r="K45" s="459">
        <v>0</v>
      </c>
      <c r="L45" s="459">
        <v>143438</v>
      </c>
      <c r="M45" s="459">
        <f t="shared" si="4"/>
        <v>143438</v>
      </c>
      <c r="N45" s="461"/>
      <c r="O45" s="462"/>
      <c r="P45" s="462"/>
    </row>
    <row r="46" spans="2:16">
      <c r="B46" s="455" t="s">
        <v>582</v>
      </c>
      <c r="C46" s="463"/>
      <c r="D46" s="464"/>
      <c r="E46" s="458" t="s">
        <v>576</v>
      </c>
      <c r="F46" s="459"/>
      <c r="G46" s="465"/>
      <c r="H46" s="465"/>
      <c r="I46" s="465"/>
      <c r="J46" s="456">
        <v>44210</v>
      </c>
      <c r="K46" s="459">
        <v>0</v>
      </c>
      <c r="L46" s="459">
        <v>108281</v>
      </c>
      <c r="M46" s="459">
        <f t="shared" si="4"/>
        <v>108281</v>
      </c>
      <c r="N46" s="461"/>
      <c r="O46" s="462"/>
      <c r="P46" s="462"/>
    </row>
    <row r="47" spans="2:16">
      <c r="B47" s="455" t="s">
        <v>585</v>
      </c>
      <c r="C47" s="463"/>
      <c r="D47" s="464"/>
      <c r="E47" s="458" t="s">
        <v>576</v>
      </c>
      <c r="F47" s="459"/>
      <c r="G47" s="465"/>
      <c r="H47" s="465"/>
      <c r="I47" s="465"/>
      <c r="J47" s="456">
        <v>44210</v>
      </c>
      <c r="K47" s="459">
        <v>0</v>
      </c>
      <c r="L47" s="459">
        <v>6115247</v>
      </c>
      <c r="M47" s="459">
        <f t="shared" si="4"/>
        <v>6115247</v>
      </c>
      <c r="N47" s="461"/>
      <c r="O47" s="462"/>
      <c r="P47" s="462"/>
    </row>
    <row r="48" spans="2:16">
      <c r="B48" s="455" t="s">
        <v>577</v>
      </c>
      <c r="C48" s="463"/>
      <c r="D48" s="464"/>
      <c r="E48" s="458" t="s">
        <v>576</v>
      </c>
      <c r="F48" s="459"/>
      <c r="G48" s="465"/>
      <c r="H48" s="465"/>
      <c r="I48" s="465"/>
      <c r="J48" s="456">
        <v>44210</v>
      </c>
      <c r="K48" s="459">
        <v>0</v>
      </c>
      <c r="L48" s="459">
        <v>11910938</v>
      </c>
      <c r="M48" s="459">
        <f t="shared" si="4"/>
        <v>11910938</v>
      </c>
      <c r="N48" s="461"/>
      <c r="O48" s="462"/>
      <c r="P48" s="462"/>
    </row>
    <row r="49" spans="2:16">
      <c r="B49" s="455" t="s">
        <v>586</v>
      </c>
      <c r="C49" s="463"/>
      <c r="D49" s="464"/>
      <c r="E49" s="458" t="s">
        <v>576</v>
      </c>
      <c r="F49" s="459"/>
      <c r="G49" s="465"/>
      <c r="H49" s="465"/>
      <c r="I49" s="465"/>
      <c r="J49" s="456">
        <v>44210</v>
      </c>
      <c r="K49" s="459">
        <v>0</v>
      </c>
      <c r="L49" s="459">
        <v>38125</v>
      </c>
      <c r="M49" s="459">
        <f t="shared" si="4"/>
        <v>38125</v>
      </c>
      <c r="N49" s="461"/>
      <c r="O49" s="462"/>
      <c r="P49" s="462"/>
    </row>
    <row r="50" spans="2:16">
      <c r="B50" s="455" t="s">
        <v>586</v>
      </c>
      <c r="C50" s="463"/>
      <c r="D50" s="464"/>
      <c r="E50" s="458" t="s">
        <v>576</v>
      </c>
      <c r="F50" s="459"/>
      <c r="G50" s="465"/>
      <c r="H50" s="465"/>
      <c r="I50" s="465"/>
      <c r="J50" s="456">
        <v>44210</v>
      </c>
      <c r="K50" s="459">
        <v>0</v>
      </c>
      <c r="L50" s="459">
        <v>32406</v>
      </c>
      <c r="M50" s="459">
        <f t="shared" si="4"/>
        <v>32406</v>
      </c>
      <c r="N50" s="461"/>
      <c r="O50" s="462"/>
      <c r="P50" s="462"/>
    </row>
    <row r="51" spans="2:16">
      <c r="B51" s="455" t="s">
        <v>577</v>
      </c>
      <c r="C51" s="463"/>
      <c r="D51" s="464"/>
      <c r="E51" s="458" t="s">
        <v>576</v>
      </c>
      <c r="F51" s="459"/>
      <c r="G51" s="465"/>
      <c r="H51" s="465"/>
      <c r="I51" s="465"/>
      <c r="J51" s="456">
        <v>44214</v>
      </c>
      <c r="K51" s="459">
        <v>0</v>
      </c>
      <c r="L51" s="459">
        <v>2684825</v>
      </c>
      <c r="M51" s="459">
        <f t="shared" si="4"/>
        <v>2684825</v>
      </c>
      <c r="N51" s="461"/>
      <c r="O51" s="462"/>
      <c r="P51" s="462"/>
    </row>
    <row r="52" spans="2:16">
      <c r="B52" s="455" t="s">
        <v>585</v>
      </c>
      <c r="C52" s="463"/>
      <c r="D52" s="464"/>
      <c r="E52" s="458" t="s">
        <v>576</v>
      </c>
      <c r="F52" s="459"/>
      <c r="G52" s="465"/>
      <c r="H52" s="465"/>
      <c r="I52" s="465"/>
      <c r="J52" s="456">
        <v>44214</v>
      </c>
      <c r="K52" s="459">
        <v>0</v>
      </c>
      <c r="L52" s="459">
        <v>2617408</v>
      </c>
      <c r="M52" s="459">
        <f t="shared" si="4"/>
        <v>2617408</v>
      </c>
      <c r="N52" s="461"/>
      <c r="O52" s="462"/>
      <c r="P52" s="462"/>
    </row>
    <row r="53" spans="2:16">
      <c r="B53" s="455" t="s">
        <v>577</v>
      </c>
      <c r="C53" s="463"/>
      <c r="D53" s="464"/>
      <c r="E53" s="458" t="s">
        <v>576</v>
      </c>
      <c r="F53" s="459"/>
      <c r="G53" s="465"/>
      <c r="H53" s="465"/>
      <c r="I53" s="465"/>
      <c r="J53" s="456">
        <v>44214</v>
      </c>
      <c r="K53" s="459">
        <v>0</v>
      </c>
      <c r="L53" s="459">
        <v>5664062</v>
      </c>
      <c r="M53" s="459">
        <f t="shared" si="4"/>
        <v>5664062</v>
      </c>
      <c r="N53" s="461"/>
      <c r="O53" s="462"/>
      <c r="P53" s="462"/>
    </row>
    <row r="54" spans="2:16">
      <c r="B54" s="455" t="s">
        <v>585</v>
      </c>
      <c r="C54" s="463"/>
      <c r="D54" s="464"/>
      <c r="E54" s="458" t="s">
        <v>576</v>
      </c>
      <c r="F54" s="459"/>
      <c r="G54" s="465"/>
      <c r="H54" s="465"/>
      <c r="I54" s="465"/>
      <c r="J54" s="456">
        <v>44214</v>
      </c>
      <c r="K54" s="459">
        <v>0</v>
      </c>
      <c r="L54" s="459">
        <v>2599066</v>
      </c>
      <c r="M54" s="459">
        <f t="shared" si="4"/>
        <v>2599066</v>
      </c>
      <c r="N54" s="461"/>
      <c r="O54" s="462"/>
      <c r="P54" s="462"/>
    </row>
    <row r="55" spans="2:16">
      <c r="B55" s="455" t="s">
        <v>575</v>
      </c>
      <c r="C55" s="463"/>
      <c r="D55" s="464"/>
      <c r="E55" s="458" t="s">
        <v>576</v>
      </c>
      <c r="F55" s="459"/>
      <c r="G55" s="465"/>
      <c r="H55" s="465"/>
      <c r="I55" s="465"/>
      <c r="J55" s="456">
        <v>44214</v>
      </c>
      <c r="K55" s="459">
        <v>0</v>
      </c>
      <c r="L55" s="459">
        <v>8510267</v>
      </c>
      <c r="M55" s="459">
        <f t="shared" si="4"/>
        <v>8510267</v>
      </c>
      <c r="N55" s="461"/>
      <c r="O55" s="462"/>
      <c r="P55" s="462"/>
    </row>
    <row r="56" spans="2:16">
      <c r="B56" s="455" t="s">
        <v>577</v>
      </c>
      <c r="C56" s="463"/>
      <c r="D56" s="464"/>
      <c r="E56" s="458" t="s">
        <v>576</v>
      </c>
      <c r="F56" s="459"/>
      <c r="G56" s="465"/>
      <c r="H56" s="465"/>
      <c r="I56" s="465"/>
      <c r="J56" s="456">
        <v>44214</v>
      </c>
      <c r="K56" s="459">
        <v>0</v>
      </c>
      <c r="L56" s="459">
        <v>5851177</v>
      </c>
      <c r="M56" s="459">
        <f t="shared" si="4"/>
        <v>5851177</v>
      </c>
      <c r="N56" s="461"/>
      <c r="O56" s="462"/>
      <c r="P56" s="462"/>
    </row>
    <row r="57" spans="2:16">
      <c r="B57" s="455" t="s">
        <v>580</v>
      </c>
      <c r="C57" s="463"/>
      <c r="D57" s="464"/>
      <c r="E57" s="458" t="s">
        <v>576</v>
      </c>
      <c r="F57" s="459"/>
      <c r="G57" s="465"/>
      <c r="H57" s="465"/>
      <c r="I57" s="465"/>
      <c r="J57" s="456">
        <v>44214</v>
      </c>
      <c r="K57" s="459">
        <v>0</v>
      </c>
      <c r="L57" s="459">
        <v>2599133</v>
      </c>
      <c r="M57" s="459">
        <f t="shared" si="4"/>
        <v>2599133</v>
      </c>
      <c r="N57" s="461"/>
      <c r="O57" s="462"/>
      <c r="P57" s="462"/>
    </row>
    <row r="58" spans="2:16">
      <c r="B58" s="455" t="s">
        <v>580</v>
      </c>
      <c r="C58" s="463"/>
      <c r="D58" s="464"/>
      <c r="E58" s="458" t="s">
        <v>576</v>
      </c>
      <c r="F58" s="459"/>
      <c r="G58" s="465"/>
      <c r="H58" s="465"/>
      <c r="I58" s="465"/>
      <c r="J58" s="456">
        <v>44214</v>
      </c>
      <c r="K58" s="459">
        <v>0</v>
      </c>
      <c r="L58" s="459">
        <v>3398438</v>
      </c>
      <c r="M58" s="459">
        <f t="shared" si="4"/>
        <v>3398438</v>
      </c>
      <c r="N58" s="461"/>
      <c r="O58" s="462"/>
      <c r="P58" s="462"/>
    </row>
    <row r="59" spans="2:16">
      <c r="B59" s="455" t="s">
        <v>585</v>
      </c>
      <c r="C59" s="463"/>
      <c r="D59" s="464"/>
      <c r="E59" s="458" t="s">
        <v>576</v>
      </c>
      <c r="F59" s="459"/>
      <c r="G59" s="465"/>
      <c r="H59" s="465"/>
      <c r="I59" s="465"/>
      <c r="J59" s="456">
        <v>44214</v>
      </c>
      <c r="K59" s="459">
        <v>0</v>
      </c>
      <c r="L59" s="459">
        <v>2441221</v>
      </c>
      <c r="M59" s="459">
        <f t="shared" si="4"/>
        <v>2441221</v>
      </c>
      <c r="N59" s="461"/>
      <c r="O59" s="462"/>
      <c r="P59" s="462"/>
    </row>
    <row r="60" spans="2:16">
      <c r="B60" s="455" t="s">
        <v>575</v>
      </c>
      <c r="C60" s="463"/>
      <c r="D60" s="464"/>
      <c r="E60" s="458" t="s">
        <v>576</v>
      </c>
      <c r="F60" s="459"/>
      <c r="G60" s="465"/>
      <c r="H60" s="465"/>
      <c r="I60" s="465"/>
      <c r="J60" s="456">
        <v>44214</v>
      </c>
      <c r="K60" s="459">
        <v>0</v>
      </c>
      <c r="L60" s="459">
        <v>8951279</v>
      </c>
      <c r="M60" s="459">
        <f t="shared" si="4"/>
        <v>8951279</v>
      </c>
      <c r="N60" s="461"/>
      <c r="O60" s="462"/>
      <c r="P60" s="462"/>
    </row>
    <row r="61" spans="2:16">
      <c r="B61" s="455" t="s">
        <v>585</v>
      </c>
      <c r="C61" s="463"/>
      <c r="D61" s="464"/>
      <c r="E61" s="458" t="s">
        <v>576</v>
      </c>
      <c r="F61" s="459"/>
      <c r="G61" s="465"/>
      <c r="H61" s="465"/>
      <c r="I61" s="465"/>
      <c r="J61" s="456">
        <v>44214</v>
      </c>
      <c r="K61" s="466">
        <v>83999000</v>
      </c>
      <c r="L61" s="466">
        <v>0</v>
      </c>
      <c r="M61" s="466">
        <f t="shared" si="4"/>
        <v>83999000</v>
      </c>
      <c r="N61" s="461"/>
      <c r="O61" s="462"/>
      <c r="P61" s="462"/>
    </row>
    <row r="62" spans="2:16">
      <c r="B62" s="455" t="s">
        <v>575</v>
      </c>
      <c r="C62" s="463"/>
      <c r="D62" s="464"/>
      <c r="E62" s="458" t="s">
        <v>576</v>
      </c>
      <c r="F62" s="459"/>
      <c r="G62" s="465"/>
      <c r="H62" s="465"/>
      <c r="I62" s="465"/>
      <c r="J62" s="456">
        <v>44214</v>
      </c>
      <c r="K62" s="466">
        <v>308001000</v>
      </c>
      <c r="L62" s="466">
        <v>0</v>
      </c>
      <c r="M62" s="466">
        <f t="shared" ref="M62:M81" si="5">+K62+L62</f>
        <v>308001000</v>
      </c>
      <c r="N62" s="461"/>
      <c r="O62" s="462"/>
      <c r="P62" s="462"/>
    </row>
    <row r="63" spans="2:16">
      <c r="B63" s="455" t="s">
        <v>580</v>
      </c>
      <c r="C63" s="463"/>
      <c r="D63" s="464"/>
      <c r="E63" s="458" t="s">
        <v>576</v>
      </c>
      <c r="F63" s="459"/>
      <c r="G63" s="465"/>
      <c r="H63" s="465"/>
      <c r="I63" s="465"/>
      <c r="J63" s="456">
        <v>44217</v>
      </c>
      <c r="K63" s="459">
        <v>0</v>
      </c>
      <c r="L63" s="459">
        <v>7006250</v>
      </c>
      <c r="M63" s="459">
        <f t="shared" si="5"/>
        <v>7006250</v>
      </c>
      <c r="N63" s="461"/>
      <c r="O63" s="462"/>
      <c r="P63" s="462"/>
    </row>
    <row r="64" spans="2:16">
      <c r="B64" s="455" t="s">
        <v>577</v>
      </c>
      <c r="C64" s="463"/>
      <c r="D64" s="464"/>
      <c r="E64" s="458" t="s">
        <v>576</v>
      </c>
      <c r="F64" s="459"/>
      <c r="G64" s="465"/>
      <c r="H64" s="465"/>
      <c r="I64" s="465"/>
      <c r="J64" s="456">
        <v>44217</v>
      </c>
      <c r="K64" s="459">
        <v>0</v>
      </c>
      <c r="L64" s="459">
        <v>5925258</v>
      </c>
      <c r="M64" s="459">
        <f t="shared" si="5"/>
        <v>5925258</v>
      </c>
      <c r="N64" s="461"/>
      <c r="O64" s="462"/>
      <c r="P64" s="462"/>
    </row>
    <row r="65" spans="2:16">
      <c r="B65" s="455" t="s">
        <v>587</v>
      </c>
      <c r="C65" s="463"/>
      <c r="D65" s="464"/>
      <c r="E65" s="458" t="s">
        <v>576</v>
      </c>
      <c r="F65" s="459"/>
      <c r="G65" s="465"/>
      <c r="H65" s="465"/>
      <c r="I65" s="465"/>
      <c r="J65" s="456">
        <v>44217</v>
      </c>
      <c r="K65" s="459">
        <v>0</v>
      </c>
      <c r="L65" s="459">
        <v>5563</v>
      </c>
      <c r="M65" s="459">
        <f t="shared" si="5"/>
        <v>5563</v>
      </c>
      <c r="N65" s="461"/>
      <c r="O65" s="462"/>
      <c r="P65" s="462"/>
    </row>
    <row r="66" spans="2:16">
      <c r="B66" s="455" t="s">
        <v>586</v>
      </c>
      <c r="C66" s="463"/>
      <c r="D66" s="464"/>
      <c r="E66" s="458" t="s">
        <v>576</v>
      </c>
      <c r="F66" s="459"/>
      <c r="G66" s="465"/>
      <c r="H66" s="465"/>
      <c r="I66" s="465"/>
      <c r="J66" s="456">
        <v>44217</v>
      </c>
      <c r="K66" s="459">
        <v>0</v>
      </c>
      <c r="L66" s="459">
        <v>3563</v>
      </c>
      <c r="M66" s="459">
        <f t="shared" si="5"/>
        <v>3563</v>
      </c>
      <c r="N66" s="461"/>
      <c r="O66" s="462"/>
      <c r="P66" s="462"/>
    </row>
    <row r="67" spans="2:16">
      <c r="B67" s="455" t="s">
        <v>584</v>
      </c>
      <c r="C67" s="463"/>
      <c r="D67" s="464"/>
      <c r="E67" s="458" t="s">
        <v>576</v>
      </c>
      <c r="F67" s="459"/>
      <c r="G67" s="465"/>
      <c r="H67" s="465"/>
      <c r="I67" s="465"/>
      <c r="J67" s="456">
        <v>44221</v>
      </c>
      <c r="K67" s="459">
        <v>0</v>
      </c>
      <c r="L67" s="459">
        <v>513124</v>
      </c>
      <c r="M67" s="459">
        <f t="shared" si="5"/>
        <v>513124</v>
      </c>
      <c r="N67" s="461"/>
      <c r="O67" s="462"/>
      <c r="P67" s="462"/>
    </row>
    <row r="68" spans="2:16">
      <c r="B68" s="455" t="s">
        <v>577</v>
      </c>
      <c r="C68" s="463"/>
      <c r="D68" s="464"/>
      <c r="E68" s="458" t="s">
        <v>576</v>
      </c>
      <c r="F68" s="459"/>
      <c r="G68" s="465"/>
      <c r="H68" s="465"/>
      <c r="I68" s="465"/>
      <c r="J68" s="456">
        <v>44221</v>
      </c>
      <c r="K68" s="459">
        <v>0</v>
      </c>
      <c r="L68" s="459">
        <v>743647</v>
      </c>
      <c r="M68" s="459">
        <f t="shared" si="5"/>
        <v>743647</v>
      </c>
      <c r="N68" s="461"/>
      <c r="O68" s="462"/>
      <c r="P68" s="462"/>
    </row>
    <row r="69" spans="2:16">
      <c r="B69" s="455" t="s">
        <v>585</v>
      </c>
      <c r="C69" s="463"/>
      <c r="D69" s="464"/>
      <c r="E69" s="458" t="s">
        <v>576</v>
      </c>
      <c r="F69" s="459"/>
      <c r="G69" s="465"/>
      <c r="H69" s="465"/>
      <c r="I69" s="465"/>
      <c r="J69" s="456">
        <v>44221</v>
      </c>
      <c r="K69" s="459">
        <v>0</v>
      </c>
      <c r="L69" s="459">
        <v>3456435</v>
      </c>
      <c r="M69" s="459">
        <f t="shared" si="5"/>
        <v>3456435</v>
      </c>
      <c r="N69" s="461"/>
      <c r="O69" s="462"/>
      <c r="P69" s="462"/>
    </row>
    <row r="70" spans="2:16">
      <c r="B70" s="455" t="s">
        <v>577</v>
      </c>
      <c r="C70" s="463"/>
      <c r="D70" s="464"/>
      <c r="E70" s="458" t="s">
        <v>576</v>
      </c>
      <c r="F70" s="459"/>
      <c r="G70" s="465"/>
      <c r="H70" s="465"/>
      <c r="I70" s="465"/>
      <c r="J70" s="456">
        <v>44221</v>
      </c>
      <c r="K70" s="459">
        <v>0</v>
      </c>
      <c r="L70" s="459">
        <v>680158</v>
      </c>
      <c r="M70" s="459">
        <f t="shared" si="5"/>
        <v>680158</v>
      </c>
      <c r="N70" s="461"/>
      <c r="O70" s="462"/>
      <c r="P70" s="462"/>
    </row>
    <row r="71" spans="2:16">
      <c r="B71" s="455" t="s">
        <v>580</v>
      </c>
      <c r="C71" s="463"/>
      <c r="D71" s="464"/>
      <c r="E71" s="458" t="s">
        <v>576</v>
      </c>
      <c r="F71" s="459"/>
      <c r="G71" s="465"/>
      <c r="H71" s="465"/>
      <c r="I71" s="465"/>
      <c r="J71" s="456">
        <v>44221</v>
      </c>
      <c r="K71" s="459">
        <v>0</v>
      </c>
      <c r="L71" s="459">
        <v>3456391</v>
      </c>
      <c r="M71" s="459">
        <f t="shared" si="5"/>
        <v>3456391</v>
      </c>
      <c r="N71" s="461"/>
      <c r="O71" s="462"/>
      <c r="P71" s="462"/>
    </row>
    <row r="72" spans="2:16">
      <c r="B72" s="455" t="s">
        <v>577</v>
      </c>
      <c r="C72" s="463"/>
      <c r="D72" s="464"/>
      <c r="E72" s="458" t="s">
        <v>576</v>
      </c>
      <c r="F72" s="459"/>
      <c r="G72" s="465"/>
      <c r="H72" s="465"/>
      <c r="I72" s="465"/>
      <c r="J72" s="456">
        <v>44221</v>
      </c>
      <c r="K72" s="459">
        <v>0</v>
      </c>
      <c r="L72" s="459">
        <v>6264188</v>
      </c>
      <c r="M72" s="459">
        <f t="shared" si="5"/>
        <v>6264188</v>
      </c>
      <c r="N72" s="461"/>
      <c r="O72" s="462"/>
      <c r="P72" s="462"/>
    </row>
    <row r="73" spans="2:16">
      <c r="B73" s="455" t="s">
        <v>575</v>
      </c>
      <c r="C73" s="463"/>
      <c r="D73" s="464"/>
      <c r="E73" s="458" t="s">
        <v>576</v>
      </c>
      <c r="F73" s="459"/>
      <c r="G73" s="465"/>
      <c r="H73" s="465"/>
      <c r="I73" s="465"/>
      <c r="J73" s="456">
        <v>44221</v>
      </c>
      <c r="K73" s="459">
        <v>0</v>
      </c>
      <c r="L73" s="459">
        <v>3431250</v>
      </c>
      <c r="M73" s="459">
        <f t="shared" si="5"/>
        <v>3431250</v>
      </c>
      <c r="N73" s="461"/>
      <c r="O73" s="462"/>
      <c r="P73" s="462"/>
    </row>
    <row r="74" spans="2:16">
      <c r="B74" s="455" t="s">
        <v>577</v>
      </c>
      <c r="C74" s="463"/>
      <c r="D74" s="464"/>
      <c r="E74" s="458" t="s">
        <v>576</v>
      </c>
      <c r="F74" s="459"/>
      <c r="G74" s="465"/>
      <c r="H74" s="465"/>
      <c r="I74" s="465"/>
      <c r="J74" s="456">
        <v>44221</v>
      </c>
      <c r="K74" s="459">
        <v>0</v>
      </c>
      <c r="L74" s="459">
        <v>2287500</v>
      </c>
      <c r="M74" s="459">
        <f t="shared" si="5"/>
        <v>2287500</v>
      </c>
      <c r="N74" s="461"/>
      <c r="O74" s="462"/>
      <c r="P74" s="462"/>
    </row>
    <row r="75" spans="2:16">
      <c r="B75" s="455" t="s">
        <v>575</v>
      </c>
      <c r="C75" s="463"/>
      <c r="D75" s="464"/>
      <c r="E75" s="458" t="s">
        <v>576</v>
      </c>
      <c r="F75" s="459"/>
      <c r="G75" s="465"/>
      <c r="H75" s="465"/>
      <c r="I75" s="465"/>
      <c r="J75" s="456">
        <v>44221</v>
      </c>
      <c r="K75" s="459">
        <v>0</v>
      </c>
      <c r="L75" s="459">
        <v>894915</v>
      </c>
      <c r="M75" s="459">
        <f t="shared" si="5"/>
        <v>894915</v>
      </c>
      <c r="N75" s="461"/>
      <c r="O75" s="462"/>
      <c r="P75" s="462"/>
    </row>
    <row r="76" spans="2:16">
      <c r="B76" s="455" t="s">
        <v>575</v>
      </c>
      <c r="C76" s="463"/>
      <c r="D76" s="464"/>
      <c r="E76" s="458" t="s">
        <v>576</v>
      </c>
      <c r="F76" s="459"/>
      <c r="G76" s="465"/>
      <c r="H76" s="465"/>
      <c r="I76" s="465"/>
      <c r="J76" s="456">
        <v>44221</v>
      </c>
      <c r="K76" s="459">
        <v>0</v>
      </c>
      <c r="L76" s="459">
        <v>2230980</v>
      </c>
      <c r="M76" s="459">
        <f t="shared" si="5"/>
        <v>2230980</v>
      </c>
      <c r="N76" s="461"/>
      <c r="O76" s="462"/>
      <c r="P76" s="462"/>
    </row>
    <row r="77" spans="2:16">
      <c r="B77" s="455" t="s">
        <v>575</v>
      </c>
      <c r="C77" s="463"/>
      <c r="D77" s="464"/>
      <c r="E77" s="458" t="s">
        <v>576</v>
      </c>
      <c r="F77" s="459"/>
      <c r="G77" s="465"/>
      <c r="H77" s="465"/>
      <c r="I77" s="465"/>
      <c r="J77" s="456">
        <v>44222</v>
      </c>
      <c r="K77" s="459">
        <v>0</v>
      </c>
      <c r="L77" s="459">
        <v>1607130</v>
      </c>
      <c r="M77" s="459">
        <f t="shared" si="5"/>
        <v>1607130</v>
      </c>
      <c r="N77" s="461"/>
      <c r="O77" s="462"/>
      <c r="P77" s="462"/>
    </row>
    <row r="78" spans="2:16">
      <c r="B78" s="455" t="s">
        <v>583</v>
      </c>
      <c r="C78" s="463"/>
      <c r="D78" s="464"/>
      <c r="E78" s="458" t="s">
        <v>576</v>
      </c>
      <c r="F78" s="459"/>
      <c r="G78" s="465"/>
      <c r="H78" s="465"/>
      <c r="I78" s="465"/>
      <c r="J78" s="456">
        <v>44225</v>
      </c>
      <c r="K78" s="459">
        <v>0</v>
      </c>
      <c r="L78" s="459">
        <v>126250</v>
      </c>
      <c r="M78" s="459">
        <f t="shared" si="5"/>
        <v>126250</v>
      </c>
      <c r="N78" s="461"/>
      <c r="O78" s="462"/>
      <c r="P78" s="462"/>
    </row>
    <row r="79" spans="2:16">
      <c r="B79" s="455" t="s">
        <v>575</v>
      </c>
      <c r="C79" s="463"/>
      <c r="D79" s="464"/>
      <c r="E79" s="458" t="s">
        <v>576</v>
      </c>
      <c r="F79" s="459"/>
      <c r="G79" s="465"/>
      <c r="H79" s="465"/>
      <c r="I79" s="465"/>
      <c r="J79" s="456">
        <v>44225</v>
      </c>
      <c r="K79" s="459">
        <v>0</v>
      </c>
      <c r="L79" s="459">
        <v>4937500</v>
      </c>
      <c r="M79" s="459">
        <f t="shared" si="5"/>
        <v>4937500</v>
      </c>
      <c r="N79" s="461"/>
      <c r="O79" s="462"/>
      <c r="P79" s="462"/>
    </row>
    <row r="80" spans="2:16">
      <c r="B80" s="455" t="s">
        <v>585</v>
      </c>
      <c r="C80" s="463"/>
      <c r="D80" s="464"/>
      <c r="E80" s="458" t="s">
        <v>576</v>
      </c>
      <c r="F80" s="459"/>
      <c r="G80" s="465"/>
      <c r="H80" s="465"/>
      <c r="I80" s="465"/>
      <c r="J80" s="456">
        <v>44225</v>
      </c>
      <c r="K80" s="459">
        <v>0</v>
      </c>
      <c r="L80" s="459">
        <v>5937500</v>
      </c>
      <c r="M80" s="459">
        <f t="shared" si="5"/>
        <v>5937500</v>
      </c>
      <c r="N80" s="461"/>
      <c r="O80" s="462"/>
      <c r="P80" s="462"/>
    </row>
    <row r="81" spans="2:16">
      <c r="B81" s="455" t="s">
        <v>582</v>
      </c>
      <c r="C81" s="463"/>
      <c r="D81" s="464"/>
      <c r="E81" s="458" t="s">
        <v>576</v>
      </c>
      <c r="F81" s="459"/>
      <c r="G81" s="465"/>
      <c r="H81" s="465"/>
      <c r="I81" s="465"/>
      <c r="J81" s="456">
        <v>44225</v>
      </c>
      <c r="K81" s="459">
        <v>0</v>
      </c>
      <c r="L81" s="459">
        <v>75000</v>
      </c>
      <c r="M81" s="459">
        <f t="shared" si="5"/>
        <v>75000</v>
      </c>
      <c r="N81" s="461"/>
      <c r="O81" s="462"/>
      <c r="P81" s="462"/>
    </row>
    <row r="82" spans="2:16">
      <c r="B82" s="467" t="s">
        <v>588</v>
      </c>
      <c r="C82" s="468"/>
      <c r="D82" s="469"/>
      <c r="E82" s="470"/>
      <c r="F82" s="459"/>
      <c r="G82" s="471">
        <f>(D693-C693)*1000000</f>
        <v>49901276.000000738</v>
      </c>
      <c r="H82" s="465"/>
      <c r="I82" s="465"/>
      <c r="J82" s="472"/>
      <c r="K82" s="473"/>
      <c r="L82" s="473"/>
      <c r="M82" s="473"/>
      <c r="N82" s="461"/>
      <c r="O82" s="462"/>
      <c r="P82" s="462"/>
    </row>
    <row r="83" spans="2:16">
      <c r="B83" s="467" t="s">
        <v>589</v>
      </c>
      <c r="C83" s="468"/>
      <c r="D83" s="469"/>
      <c r="E83" s="470" t="s">
        <v>590</v>
      </c>
      <c r="F83" s="459"/>
      <c r="G83" s="471"/>
      <c r="H83" s="465"/>
      <c r="I83" s="465"/>
      <c r="J83" s="472">
        <v>44212</v>
      </c>
      <c r="K83" s="473">
        <v>57074265.179068856</v>
      </c>
      <c r="L83" s="473">
        <v>15713710.980220115</v>
      </c>
      <c r="M83" s="473">
        <f>+K83+L83</f>
        <v>72787976.159288973</v>
      </c>
      <c r="N83" s="461"/>
      <c r="O83" s="462"/>
      <c r="P83" s="462"/>
    </row>
    <row r="84" spans="2:16">
      <c r="B84" s="467" t="s">
        <v>591</v>
      </c>
      <c r="C84" s="468"/>
      <c r="D84" s="469"/>
      <c r="E84" s="470" t="s">
        <v>592</v>
      </c>
      <c r="F84" s="459"/>
      <c r="G84" s="471"/>
      <c r="H84" s="465"/>
      <c r="I84" s="465"/>
      <c r="J84" s="472">
        <v>44216</v>
      </c>
      <c r="K84" s="473">
        <v>17803435.591066342</v>
      </c>
      <c r="L84" s="473">
        <v>8822395.0373320319</v>
      </c>
      <c r="M84" s="473">
        <f>+K84+L84</f>
        <v>26625830.628398374</v>
      </c>
      <c r="N84" s="461"/>
      <c r="O84" s="462"/>
      <c r="P84" s="462"/>
    </row>
    <row r="85" spans="2:16" ht="12.5">
      <c r="B85" s="770" t="s">
        <v>593</v>
      </c>
      <c r="C85" s="769"/>
      <c r="D85" s="769"/>
      <c r="E85" s="768"/>
      <c r="F85" s="767">
        <f>SUM(F7:F84)</f>
        <v>2049134000</v>
      </c>
      <c r="G85" s="767">
        <f>SUM(G7:G84)</f>
        <v>2095355214.4961059</v>
      </c>
      <c r="H85" s="767">
        <f>SUM(H7:H84)</f>
        <v>3680061.5038949102</v>
      </c>
      <c r="I85" s="767">
        <f>SUM(I7:I84)</f>
        <v>2049134000</v>
      </c>
      <c r="J85" s="767"/>
      <c r="K85" s="767">
        <f>SUM(K7:K84)</f>
        <v>962377700.77013516</v>
      </c>
      <c r="L85" s="767">
        <f>SUM(L7:L84)</f>
        <v>223789474.01755214</v>
      </c>
      <c r="M85" s="767">
        <f>SUM(M7:M84)</f>
        <v>1186167174.7876873</v>
      </c>
      <c r="N85" s="762">
        <f>+G85-K85</f>
        <v>1132977513.7259707</v>
      </c>
      <c r="O85" s="762">
        <f>+(D683-C683)*1000000</f>
        <v>1299223053.4235764</v>
      </c>
      <c r="P85" s="762">
        <f>N85-O85</f>
        <v>-166245539.69760561</v>
      </c>
    </row>
    <row r="86" spans="2:16" ht="12.5">
      <c r="B86" s="455" t="s">
        <v>594</v>
      </c>
      <c r="C86" s="479">
        <v>44208</v>
      </c>
      <c r="D86" s="457">
        <v>180</v>
      </c>
      <c r="E86" s="480" t="s">
        <v>579</v>
      </c>
      <c r="F86" s="459">
        <f>G86+H86</f>
        <v>49999000</v>
      </c>
      <c r="G86" s="459">
        <v>49750248.75621891</v>
      </c>
      <c r="H86" s="459">
        <v>248751.24378108978</v>
      </c>
      <c r="I86" s="459">
        <f>+G86+H86</f>
        <v>49999000</v>
      </c>
      <c r="J86" s="468"/>
      <c r="K86" s="481"/>
      <c r="L86" s="481"/>
      <c r="M86" s="481"/>
      <c r="N86" s="482"/>
      <c r="O86" s="482"/>
      <c r="P86" s="483"/>
    </row>
    <row r="87" spans="2:16" ht="12.5">
      <c r="B87" s="455" t="s">
        <v>594</v>
      </c>
      <c r="C87" s="479">
        <v>44211</v>
      </c>
      <c r="D87" s="457">
        <v>720</v>
      </c>
      <c r="E87" s="480" t="s">
        <v>576</v>
      </c>
      <c r="F87" s="459">
        <f>G87+H87</f>
        <v>86140000</v>
      </c>
      <c r="G87" s="459">
        <v>86140000</v>
      </c>
      <c r="H87" s="459">
        <v>0</v>
      </c>
      <c r="I87" s="459">
        <f>+G87+H87</f>
        <v>86140000</v>
      </c>
      <c r="J87" s="468"/>
      <c r="K87" s="481"/>
      <c r="L87" s="481"/>
      <c r="M87" s="481"/>
      <c r="N87" s="482"/>
      <c r="O87" s="482"/>
      <c r="P87" s="483"/>
    </row>
    <row r="88" spans="2:16" ht="12.5">
      <c r="B88" s="455" t="s">
        <v>594</v>
      </c>
      <c r="C88" s="479">
        <v>44215</v>
      </c>
      <c r="D88" s="457">
        <v>270</v>
      </c>
      <c r="E88" s="480" t="s">
        <v>579</v>
      </c>
      <c r="F88" s="459">
        <f>G88+H88</f>
        <v>72727000</v>
      </c>
      <c r="G88" s="459">
        <v>72185607.940446645</v>
      </c>
      <c r="H88" s="459">
        <v>541392.05955335498</v>
      </c>
      <c r="I88" s="459">
        <f>+G88+H88</f>
        <v>72727000</v>
      </c>
      <c r="J88" s="468"/>
      <c r="K88" s="481"/>
      <c r="L88" s="481"/>
      <c r="M88" s="481"/>
      <c r="N88" s="482"/>
      <c r="O88" s="482"/>
      <c r="P88" s="483"/>
    </row>
    <row r="89" spans="2:16" ht="12.5">
      <c r="B89" s="455" t="s">
        <v>594</v>
      </c>
      <c r="C89" s="479">
        <v>44224</v>
      </c>
      <c r="D89" s="457">
        <v>3600</v>
      </c>
      <c r="E89" s="480" t="s">
        <v>576</v>
      </c>
      <c r="F89" s="459">
        <f>G89+H89</f>
        <v>800000000</v>
      </c>
      <c r="G89" s="459">
        <v>800000000</v>
      </c>
      <c r="H89" s="459">
        <v>0</v>
      </c>
      <c r="I89" s="459">
        <f>+G89+H89</f>
        <v>800000000</v>
      </c>
      <c r="J89" s="468"/>
      <c r="K89" s="481"/>
      <c r="L89" s="481"/>
      <c r="M89" s="481"/>
      <c r="N89" s="482"/>
      <c r="O89" s="482"/>
      <c r="P89" s="483"/>
    </row>
    <row r="90" spans="2:16" ht="12.5">
      <c r="B90" s="455" t="s">
        <v>594</v>
      </c>
      <c r="C90" s="468"/>
      <c r="D90" s="469"/>
      <c r="E90" s="480" t="s">
        <v>576</v>
      </c>
      <c r="F90" s="465"/>
      <c r="G90" s="465"/>
      <c r="H90" s="465"/>
      <c r="I90" s="465"/>
      <c r="J90" s="456">
        <v>44200</v>
      </c>
      <c r="K90" s="459">
        <v>0</v>
      </c>
      <c r="L90" s="459">
        <v>135947</v>
      </c>
      <c r="M90" s="484">
        <f t="shared" ref="M90:M104" si="6">+K90+L90</f>
        <v>135947</v>
      </c>
      <c r="N90" s="481"/>
      <c r="O90" s="462"/>
      <c r="P90" s="482"/>
    </row>
    <row r="91" spans="2:16" ht="12.5">
      <c r="B91" s="455" t="s">
        <v>594</v>
      </c>
      <c r="C91" s="468"/>
      <c r="D91" s="469"/>
      <c r="E91" s="480" t="s">
        <v>576</v>
      </c>
      <c r="F91" s="465"/>
      <c r="G91" s="465"/>
      <c r="H91" s="465"/>
      <c r="I91" s="465"/>
      <c r="J91" s="456">
        <v>44207</v>
      </c>
      <c r="K91" s="459">
        <v>0</v>
      </c>
      <c r="L91" s="459">
        <v>2537482</v>
      </c>
      <c r="M91" s="484">
        <f t="shared" si="6"/>
        <v>2537482</v>
      </c>
      <c r="N91" s="481"/>
      <c r="O91" s="462"/>
      <c r="P91" s="482"/>
    </row>
    <row r="92" spans="2:16" ht="12.5">
      <c r="B92" s="455" t="s">
        <v>594</v>
      </c>
      <c r="C92" s="468"/>
      <c r="D92" s="469"/>
      <c r="E92" s="480" t="s">
        <v>576</v>
      </c>
      <c r="F92" s="465"/>
      <c r="G92" s="465"/>
      <c r="H92" s="465"/>
      <c r="I92" s="465"/>
      <c r="J92" s="456">
        <v>44207</v>
      </c>
      <c r="K92" s="459">
        <v>0</v>
      </c>
      <c r="L92" s="459">
        <v>3812500</v>
      </c>
      <c r="M92" s="484">
        <f t="shared" si="6"/>
        <v>3812500</v>
      </c>
      <c r="N92" s="481"/>
      <c r="O92" s="462"/>
      <c r="P92" s="482"/>
    </row>
    <row r="93" spans="2:16" ht="12.5">
      <c r="B93" s="455" t="s">
        <v>594</v>
      </c>
      <c r="C93" s="468"/>
      <c r="D93" s="469"/>
      <c r="E93" s="480" t="s">
        <v>576</v>
      </c>
      <c r="F93" s="465"/>
      <c r="G93" s="465"/>
      <c r="H93" s="465"/>
      <c r="I93" s="465"/>
      <c r="J93" s="456">
        <v>44208</v>
      </c>
      <c r="K93" s="459">
        <v>0</v>
      </c>
      <c r="L93" s="459">
        <v>1887188</v>
      </c>
      <c r="M93" s="484">
        <f t="shared" si="6"/>
        <v>1887188</v>
      </c>
      <c r="N93" s="481"/>
      <c r="O93" s="462"/>
      <c r="P93" s="482"/>
    </row>
    <row r="94" spans="2:16" ht="12.5">
      <c r="B94" s="455" t="s">
        <v>594</v>
      </c>
      <c r="C94" s="468"/>
      <c r="D94" s="469"/>
      <c r="E94" s="480" t="s">
        <v>576</v>
      </c>
      <c r="F94" s="465"/>
      <c r="G94" s="465"/>
      <c r="H94" s="465"/>
      <c r="I94" s="465"/>
      <c r="J94" s="456">
        <v>44208</v>
      </c>
      <c r="K94" s="459">
        <v>0</v>
      </c>
      <c r="L94" s="459">
        <v>2289417</v>
      </c>
      <c r="M94" s="484">
        <f t="shared" si="6"/>
        <v>2289417</v>
      </c>
      <c r="N94" s="481"/>
      <c r="O94" s="462"/>
      <c r="P94" s="482"/>
    </row>
    <row r="95" spans="2:16" ht="12.5">
      <c r="B95" s="455" t="s">
        <v>594</v>
      </c>
      <c r="C95" s="468"/>
      <c r="D95" s="469"/>
      <c r="E95" s="480" t="s">
        <v>576</v>
      </c>
      <c r="F95" s="465"/>
      <c r="G95" s="465"/>
      <c r="H95" s="465"/>
      <c r="I95" s="465"/>
      <c r="J95" s="456">
        <v>44210</v>
      </c>
      <c r="K95" s="459">
        <v>0</v>
      </c>
      <c r="L95" s="459">
        <v>4994128</v>
      </c>
      <c r="M95" s="484">
        <f t="shared" si="6"/>
        <v>4994128</v>
      </c>
      <c r="N95" s="481"/>
      <c r="O95" s="462"/>
      <c r="P95" s="482"/>
    </row>
    <row r="96" spans="2:16" ht="12.5">
      <c r="B96" s="455" t="s">
        <v>594</v>
      </c>
      <c r="C96" s="468"/>
      <c r="D96" s="469"/>
      <c r="E96" s="480" t="s">
        <v>576</v>
      </c>
      <c r="F96" s="465"/>
      <c r="G96" s="465"/>
      <c r="H96" s="465"/>
      <c r="I96" s="465"/>
      <c r="J96" s="456">
        <v>44210</v>
      </c>
      <c r="K96" s="459">
        <v>0</v>
      </c>
      <c r="L96" s="459">
        <v>9340625</v>
      </c>
      <c r="M96" s="484">
        <f t="shared" si="6"/>
        <v>9340625</v>
      </c>
      <c r="N96" s="481"/>
      <c r="O96" s="462"/>
      <c r="P96" s="482"/>
    </row>
    <row r="97" spans="2:16" ht="12.5">
      <c r="B97" s="455" t="s">
        <v>594</v>
      </c>
      <c r="C97" s="468"/>
      <c r="D97" s="469"/>
      <c r="E97" s="480" t="s">
        <v>576</v>
      </c>
      <c r="F97" s="465"/>
      <c r="G97" s="465"/>
      <c r="H97" s="465"/>
      <c r="I97" s="465"/>
      <c r="J97" s="456">
        <v>44214</v>
      </c>
      <c r="K97" s="459">
        <v>0</v>
      </c>
      <c r="L97" s="459">
        <v>9687500</v>
      </c>
      <c r="M97" s="484">
        <f t="shared" si="6"/>
        <v>9687500</v>
      </c>
      <c r="N97" s="481"/>
      <c r="O97" s="462"/>
      <c r="P97" s="482"/>
    </row>
    <row r="98" spans="2:16" ht="12.5">
      <c r="B98" s="455" t="s">
        <v>594</v>
      </c>
      <c r="C98" s="468"/>
      <c r="D98" s="469"/>
      <c r="E98" s="480" t="s">
        <v>576</v>
      </c>
      <c r="F98" s="465"/>
      <c r="G98" s="465"/>
      <c r="H98" s="465"/>
      <c r="I98" s="465"/>
      <c r="J98" s="456">
        <v>44217</v>
      </c>
      <c r="K98" s="459">
        <v>0</v>
      </c>
      <c r="L98" s="459">
        <v>7702867</v>
      </c>
      <c r="M98" s="484">
        <f t="shared" si="6"/>
        <v>7702867</v>
      </c>
      <c r="N98" s="481"/>
      <c r="O98" s="462"/>
      <c r="P98" s="482"/>
    </row>
    <row r="99" spans="2:16" ht="12.5">
      <c r="B99" s="455" t="s">
        <v>594</v>
      </c>
      <c r="C99" s="468"/>
      <c r="D99" s="469"/>
      <c r="E99" s="480" t="s">
        <v>576</v>
      </c>
      <c r="F99" s="465"/>
      <c r="G99" s="465"/>
      <c r="H99" s="465"/>
      <c r="I99" s="465"/>
      <c r="J99" s="456">
        <v>44218</v>
      </c>
      <c r="K99" s="459">
        <v>0</v>
      </c>
      <c r="L99" s="459">
        <v>8932500</v>
      </c>
      <c r="M99" s="484">
        <f t="shared" si="6"/>
        <v>8932500</v>
      </c>
      <c r="N99" s="481"/>
      <c r="O99" s="462"/>
      <c r="P99" s="482"/>
    </row>
    <row r="100" spans="2:16" ht="12.5">
      <c r="B100" s="455" t="s">
        <v>594</v>
      </c>
      <c r="C100" s="468"/>
      <c r="D100" s="469"/>
      <c r="E100" s="480" t="s">
        <v>576</v>
      </c>
      <c r="F100" s="465"/>
      <c r="G100" s="465"/>
      <c r="H100" s="465"/>
      <c r="I100" s="465"/>
      <c r="J100" s="456">
        <v>44221</v>
      </c>
      <c r="K100" s="459">
        <v>0</v>
      </c>
      <c r="L100" s="459">
        <v>2684647</v>
      </c>
      <c r="M100" s="484">
        <f t="shared" si="6"/>
        <v>2684647</v>
      </c>
      <c r="N100" s="481"/>
      <c r="O100" s="462"/>
      <c r="P100" s="482"/>
    </row>
    <row r="101" spans="2:16" ht="12.5">
      <c r="B101" s="455" t="s">
        <v>594</v>
      </c>
      <c r="C101" s="468"/>
      <c r="D101" s="469"/>
      <c r="E101" s="480" t="s">
        <v>576</v>
      </c>
      <c r="F101" s="465"/>
      <c r="G101" s="465"/>
      <c r="H101" s="465"/>
      <c r="I101" s="465"/>
      <c r="J101" s="456">
        <v>44221</v>
      </c>
      <c r="K101" s="459">
        <v>0</v>
      </c>
      <c r="L101" s="459">
        <v>3456391</v>
      </c>
      <c r="M101" s="484">
        <f t="shared" si="6"/>
        <v>3456391</v>
      </c>
      <c r="N101" s="481"/>
      <c r="O101" s="462"/>
      <c r="P101" s="482"/>
    </row>
    <row r="102" spans="2:16" ht="12.5">
      <c r="B102" s="455" t="s">
        <v>594</v>
      </c>
      <c r="C102" s="468"/>
      <c r="D102" s="469"/>
      <c r="E102" s="480" t="s">
        <v>576</v>
      </c>
      <c r="F102" s="465"/>
      <c r="G102" s="465"/>
      <c r="H102" s="465"/>
      <c r="I102" s="465"/>
      <c r="J102" s="456">
        <v>44221</v>
      </c>
      <c r="K102" s="459">
        <v>0</v>
      </c>
      <c r="L102" s="459">
        <v>2230999</v>
      </c>
      <c r="M102" s="484">
        <f t="shared" si="6"/>
        <v>2230999</v>
      </c>
      <c r="N102" s="481"/>
      <c r="O102" s="462"/>
      <c r="P102" s="482"/>
    </row>
    <row r="103" spans="2:16" ht="12.5">
      <c r="B103" s="455" t="s">
        <v>594</v>
      </c>
      <c r="C103" s="468"/>
      <c r="D103" s="469"/>
      <c r="E103" s="480" t="s">
        <v>576</v>
      </c>
      <c r="F103" s="465"/>
      <c r="G103" s="465"/>
      <c r="H103" s="465"/>
      <c r="I103" s="465"/>
      <c r="J103" s="456">
        <v>44222</v>
      </c>
      <c r="K103" s="459">
        <v>0</v>
      </c>
      <c r="L103" s="459">
        <v>7347870</v>
      </c>
      <c r="M103" s="484">
        <f t="shared" si="6"/>
        <v>7347870</v>
      </c>
      <c r="N103" s="481"/>
      <c r="O103" s="462"/>
      <c r="P103" s="482"/>
    </row>
    <row r="104" spans="2:16" ht="12.5">
      <c r="B104" s="455" t="s">
        <v>594</v>
      </c>
      <c r="C104" s="468"/>
      <c r="D104" s="469"/>
      <c r="E104" s="480" t="s">
        <v>576</v>
      </c>
      <c r="F104" s="465"/>
      <c r="G104" s="465"/>
      <c r="H104" s="465"/>
      <c r="I104" s="465"/>
      <c r="J104" s="456">
        <v>44225</v>
      </c>
      <c r="K104" s="459">
        <v>0</v>
      </c>
      <c r="L104" s="459">
        <v>4937500</v>
      </c>
      <c r="M104" s="484">
        <f t="shared" si="6"/>
        <v>4937500</v>
      </c>
      <c r="N104" s="481"/>
      <c r="O104" s="462"/>
      <c r="P104" s="482"/>
    </row>
    <row r="105" spans="2:16" ht="12.5">
      <c r="B105" s="766" t="s">
        <v>595</v>
      </c>
      <c r="C105" s="765"/>
      <c r="D105" s="765"/>
      <c r="E105" s="764"/>
      <c r="F105" s="763">
        <f>SUM(F86:F104)</f>
        <v>1008866000</v>
      </c>
      <c r="G105" s="763">
        <f>SUM(G86:G104)</f>
        <v>1008075856.6966655</v>
      </c>
      <c r="H105" s="763">
        <f>SUM(H86:H104)</f>
        <v>790143.30333444476</v>
      </c>
      <c r="I105" s="763">
        <f>SUM(I86:I104)</f>
        <v>1008866000</v>
      </c>
      <c r="J105" s="763"/>
      <c r="K105" s="763">
        <f>SUM(K86:K104)</f>
        <v>0</v>
      </c>
      <c r="L105" s="763">
        <f>SUM(L86:L104)</f>
        <v>71977561</v>
      </c>
      <c r="M105" s="763">
        <f>SUM(M86:M104)</f>
        <v>71977561</v>
      </c>
      <c r="N105" s="762">
        <f>+G105-K105</f>
        <v>1008075856.6966655</v>
      </c>
      <c r="O105" s="762"/>
      <c r="P105" s="762">
        <f>+N105-O105</f>
        <v>1008075856.6966655</v>
      </c>
    </row>
    <row r="106" spans="2:16">
      <c r="B106" s="455" t="s">
        <v>580</v>
      </c>
      <c r="C106" s="456">
        <v>44229</v>
      </c>
      <c r="D106" s="457">
        <v>2160</v>
      </c>
      <c r="E106" s="458" t="s">
        <v>576</v>
      </c>
      <c r="F106" s="459">
        <f t="shared" ref="F106:F125" si="7">G106+H106</f>
        <v>242465000</v>
      </c>
      <c r="G106" s="459">
        <v>242465000</v>
      </c>
      <c r="H106" s="459">
        <v>0</v>
      </c>
      <c r="I106" s="459">
        <f t="shared" ref="I106:I125" si="8">+G106+H106</f>
        <v>242465000</v>
      </c>
      <c r="J106" s="460"/>
      <c r="K106" s="460"/>
      <c r="L106" s="460"/>
      <c r="M106" s="459"/>
      <c r="N106" s="461"/>
      <c r="O106" s="462"/>
      <c r="P106" s="462"/>
    </row>
    <row r="107" spans="2:16">
      <c r="B107" s="455" t="s">
        <v>577</v>
      </c>
      <c r="C107" s="456">
        <v>44229</v>
      </c>
      <c r="D107" s="457">
        <v>2160</v>
      </c>
      <c r="E107" s="458" t="s">
        <v>576</v>
      </c>
      <c r="F107" s="459">
        <f t="shared" si="7"/>
        <v>63013000</v>
      </c>
      <c r="G107" s="459">
        <v>63013000</v>
      </c>
      <c r="H107" s="459">
        <v>0</v>
      </c>
      <c r="I107" s="459">
        <f t="shared" si="8"/>
        <v>63013000</v>
      </c>
      <c r="J107" s="460"/>
      <c r="K107" s="460"/>
      <c r="L107" s="460"/>
      <c r="M107" s="459"/>
      <c r="N107" s="461"/>
      <c r="O107" s="462"/>
      <c r="P107" s="462"/>
    </row>
    <row r="108" spans="2:16">
      <c r="B108" s="455" t="s">
        <v>575</v>
      </c>
      <c r="C108" s="456">
        <v>44229</v>
      </c>
      <c r="D108" s="457">
        <v>2160</v>
      </c>
      <c r="E108" s="458" t="s">
        <v>576</v>
      </c>
      <c r="F108" s="459">
        <f t="shared" si="7"/>
        <v>94522000</v>
      </c>
      <c r="G108" s="459">
        <v>94522000</v>
      </c>
      <c r="H108" s="459">
        <v>0</v>
      </c>
      <c r="I108" s="459">
        <f t="shared" si="8"/>
        <v>94522000</v>
      </c>
      <c r="J108" s="460"/>
      <c r="K108" s="460"/>
      <c r="L108" s="460"/>
      <c r="M108" s="459"/>
      <c r="N108" s="461"/>
      <c r="O108" s="462"/>
      <c r="P108" s="462"/>
    </row>
    <row r="109" spans="2:16">
      <c r="B109" s="455" t="s">
        <v>577</v>
      </c>
      <c r="C109" s="456">
        <v>44232</v>
      </c>
      <c r="D109" s="457">
        <v>180</v>
      </c>
      <c r="E109" s="458" t="s">
        <v>579</v>
      </c>
      <c r="F109" s="459">
        <f t="shared" si="7"/>
        <v>49999000</v>
      </c>
      <c r="G109" s="459">
        <v>49750248.75621891</v>
      </c>
      <c r="H109" s="459">
        <v>248751.24378108978</v>
      </c>
      <c r="I109" s="459">
        <f t="shared" si="8"/>
        <v>49999000</v>
      </c>
      <c r="J109" s="460"/>
      <c r="K109" s="460"/>
      <c r="L109" s="460"/>
      <c r="M109" s="459"/>
      <c r="N109" s="461"/>
      <c r="O109" s="462"/>
      <c r="P109" s="462"/>
    </row>
    <row r="110" spans="2:16">
      <c r="B110" s="455" t="s">
        <v>575</v>
      </c>
      <c r="C110" s="456">
        <v>44232</v>
      </c>
      <c r="D110" s="457">
        <v>180</v>
      </c>
      <c r="E110" s="458" t="s">
        <v>579</v>
      </c>
      <c r="F110" s="459">
        <f t="shared" si="7"/>
        <v>49999000</v>
      </c>
      <c r="G110" s="459">
        <v>49750248.75621891</v>
      </c>
      <c r="H110" s="459">
        <v>248751.24378108978</v>
      </c>
      <c r="I110" s="459">
        <f t="shared" si="8"/>
        <v>49999000</v>
      </c>
      <c r="J110" s="460"/>
      <c r="K110" s="460"/>
      <c r="L110" s="460"/>
      <c r="M110" s="459"/>
      <c r="N110" s="461"/>
      <c r="O110" s="462"/>
      <c r="P110" s="462"/>
    </row>
    <row r="111" spans="2:16">
      <c r="B111" s="455" t="s">
        <v>580</v>
      </c>
      <c r="C111" s="456">
        <v>44232</v>
      </c>
      <c r="D111" s="457">
        <v>180</v>
      </c>
      <c r="E111" s="458" t="s">
        <v>579</v>
      </c>
      <c r="F111" s="459">
        <f t="shared" si="7"/>
        <v>49999000</v>
      </c>
      <c r="G111" s="459">
        <v>49750248.75621891</v>
      </c>
      <c r="H111" s="459">
        <v>248751.24378108978</v>
      </c>
      <c r="I111" s="459">
        <f t="shared" si="8"/>
        <v>49999000</v>
      </c>
      <c r="J111" s="460"/>
      <c r="K111" s="460"/>
      <c r="L111" s="460"/>
      <c r="M111" s="459"/>
      <c r="N111" s="461"/>
      <c r="O111" s="462"/>
      <c r="P111" s="462"/>
    </row>
    <row r="112" spans="2:16">
      <c r="B112" s="455" t="s">
        <v>581</v>
      </c>
      <c r="C112" s="456">
        <v>44232</v>
      </c>
      <c r="D112" s="457">
        <v>180</v>
      </c>
      <c r="E112" s="458" t="s">
        <v>579</v>
      </c>
      <c r="F112" s="459">
        <f t="shared" si="7"/>
        <v>49999000</v>
      </c>
      <c r="G112" s="459">
        <v>49750248.75621891</v>
      </c>
      <c r="H112" s="459">
        <v>248751.24378108978</v>
      </c>
      <c r="I112" s="459">
        <f t="shared" si="8"/>
        <v>49999000</v>
      </c>
      <c r="J112" s="460"/>
      <c r="K112" s="459"/>
      <c r="L112" s="459"/>
      <c r="M112" s="459"/>
      <c r="N112" s="461"/>
      <c r="O112" s="462"/>
      <c r="P112" s="462"/>
    </row>
    <row r="113" spans="2:16">
      <c r="B113" s="455" t="s">
        <v>578</v>
      </c>
      <c r="C113" s="456">
        <v>44232</v>
      </c>
      <c r="D113" s="457">
        <v>180</v>
      </c>
      <c r="E113" s="458" t="s">
        <v>579</v>
      </c>
      <c r="F113" s="459">
        <f t="shared" si="7"/>
        <v>49999000</v>
      </c>
      <c r="G113" s="459">
        <v>49750248.75621891</v>
      </c>
      <c r="H113" s="459">
        <v>248751.24378108978</v>
      </c>
      <c r="I113" s="459">
        <f t="shared" si="8"/>
        <v>49999000</v>
      </c>
      <c r="J113" s="460"/>
      <c r="K113" s="459"/>
      <c r="L113" s="459"/>
      <c r="M113" s="459"/>
      <c r="N113" s="461"/>
      <c r="O113" s="462"/>
      <c r="P113" s="462"/>
    </row>
    <row r="114" spans="2:16">
      <c r="B114" s="455" t="s">
        <v>575</v>
      </c>
      <c r="C114" s="456">
        <v>44236</v>
      </c>
      <c r="D114" s="457">
        <v>2520</v>
      </c>
      <c r="E114" s="458" t="s">
        <v>576</v>
      </c>
      <c r="F114" s="459">
        <f t="shared" si="7"/>
        <v>239888000</v>
      </c>
      <c r="G114" s="459">
        <v>239888000</v>
      </c>
      <c r="H114" s="459">
        <v>0</v>
      </c>
      <c r="I114" s="459">
        <f t="shared" si="8"/>
        <v>239888000</v>
      </c>
      <c r="J114" s="460"/>
      <c r="K114" s="459"/>
      <c r="L114" s="459"/>
      <c r="M114" s="459"/>
      <c r="N114" s="461"/>
      <c r="O114" s="462"/>
      <c r="P114" s="462"/>
    </row>
    <row r="115" spans="2:16">
      <c r="B115" s="455" t="s">
        <v>577</v>
      </c>
      <c r="C115" s="456">
        <v>44236</v>
      </c>
      <c r="D115" s="457">
        <v>2520</v>
      </c>
      <c r="E115" s="458" t="s">
        <v>576</v>
      </c>
      <c r="F115" s="459">
        <f t="shared" si="7"/>
        <v>110112000</v>
      </c>
      <c r="G115" s="459">
        <v>110112000</v>
      </c>
      <c r="H115" s="459">
        <v>0</v>
      </c>
      <c r="I115" s="459">
        <f t="shared" si="8"/>
        <v>110112000</v>
      </c>
      <c r="J115" s="460"/>
      <c r="K115" s="459"/>
      <c r="L115" s="459"/>
      <c r="M115" s="459"/>
      <c r="N115" s="461"/>
      <c r="O115" s="462"/>
      <c r="P115" s="462"/>
    </row>
    <row r="116" spans="2:16">
      <c r="B116" s="455" t="s">
        <v>581</v>
      </c>
      <c r="C116" s="456">
        <v>44239</v>
      </c>
      <c r="D116" s="457">
        <v>210</v>
      </c>
      <c r="E116" s="458" t="s">
        <v>579</v>
      </c>
      <c r="F116" s="459">
        <f t="shared" si="7"/>
        <v>70000000</v>
      </c>
      <c r="G116" s="459">
        <v>69594034.797017395</v>
      </c>
      <c r="H116" s="459">
        <v>405965.2029826045</v>
      </c>
      <c r="I116" s="459">
        <f t="shared" si="8"/>
        <v>70000000</v>
      </c>
      <c r="J116" s="460"/>
      <c r="K116" s="459"/>
      <c r="L116" s="459"/>
      <c r="M116" s="459"/>
      <c r="N116" s="461"/>
      <c r="O116" s="462"/>
      <c r="P116" s="462"/>
    </row>
    <row r="117" spans="2:16">
      <c r="B117" s="455" t="s">
        <v>575</v>
      </c>
      <c r="C117" s="456">
        <v>44239</v>
      </c>
      <c r="D117" s="457">
        <v>210</v>
      </c>
      <c r="E117" s="458" t="s">
        <v>579</v>
      </c>
      <c r="F117" s="459">
        <f t="shared" si="7"/>
        <v>70000000</v>
      </c>
      <c r="G117" s="459">
        <v>69594034.797017395</v>
      </c>
      <c r="H117" s="459">
        <v>405965.2029826045</v>
      </c>
      <c r="I117" s="459">
        <f t="shared" si="8"/>
        <v>70000000</v>
      </c>
      <c r="J117" s="460"/>
      <c r="K117" s="459"/>
      <c r="L117" s="459"/>
      <c r="M117" s="459"/>
      <c r="N117" s="461"/>
      <c r="O117" s="462"/>
      <c r="P117" s="462"/>
    </row>
    <row r="118" spans="2:16">
      <c r="B118" s="455" t="s">
        <v>577</v>
      </c>
      <c r="C118" s="456">
        <v>44239</v>
      </c>
      <c r="D118" s="457">
        <v>210</v>
      </c>
      <c r="E118" s="458" t="s">
        <v>579</v>
      </c>
      <c r="F118" s="459">
        <f t="shared" si="7"/>
        <v>70000000</v>
      </c>
      <c r="G118" s="459">
        <v>69594034.797017395</v>
      </c>
      <c r="H118" s="459">
        <v>405965.2029826045</v>
      </c>
      <c r="I118" s="459">
        <f t="shared" si="8"/>
        <v>70000000</v>
      </c>
      <c r="J118" s="460"/>
      <c r="K118" s="459"/>
      <c r="L118" s="459"/>
      <c r="M118" s="459"/>
      <c r="N118" s="461"/>
      <c r="O118" s="462"/>
      <c r="P118" s="462"/>
    </row>
    <row r="119" spans="2:16">
      <c r="B119" s="455" t="s">
        <v>580</v>
      </c>
      <c r="C119" s="456">
        <v>44239</v>
      </c>
      <c r="D119" s="457">
        <v>210</v>
      </c>
      <c r="E119" s="458" t="s">
        <v>579</v>
      </c>
      <c r="F119" s="459">
        <f t="shared" si="7"/>
        <v>70000000</v>
      </c>
      <c r="G119" s="459">
        <v>69594034.797017395</v>
      </c>
      <c r="H119" s="459">
        <v>405965.2029826045</v>
      </c>
      <c r="I119" s="459">
        <f t="shared" si="8"/>
        <v>70000000</v>
      </c>
      <c r="J119" s="460"/>
      <c r="K119" s="459"/>
      <c r="L119" s="459"/>
      <c r="M119" s="459"/>
      <c r="N119" s="461"/>
      <c r="O119" s="462"/>
      <c r="P119" s="462"/>
    </row>
    <row r="120" spans="2:16">
      <c r="B120" s="455" t="s">
        <v>575</v>
      </c>
      <c r="C120" s="456">
        <v>44243</v>
      </c>
      <c r="D120" s="457">
        <v>3240</v>
      </c>
      <c r="E120" s="458" t="s">
        <v>576</v>
      </c>
      <c r="F120" s="459">
        <f t="shared" si="7"/>
        <v>240000000</v>
      </c>
      <c r="G120" s="459">
        <v>240000000</v>
      </c>
      <c r="H120" s="459">
        <v>0</v>
      </c>
      <c r="I120" s="459">
        <f t="shared" si="8"/>
        <v>240000000</v>
      </c>
      <c r="J120" s="460"/>
      <c r="K120" s="459"/>
      <c r="L120" s="459"/>
      <c r="M120" s="459"/>
      <c r="N120" s="461"/>
      <c r="O120" s="462"/>
      <c r="P120" s="462"/>
    </row>
    <row r="121" spans="2:16">
      <c r="B121" s="455" t="s">
        <v>578</v>
      </c>
      <c r="C121" s="456">
        <v>44250</v>
      </c>
      <c r="D121" s="457">
        <v>270</v>
      </c>
      <c r="E121" s="458" t="s">
        <v>579</v>
      </c>
      <c r="F121" s="459">
        <f t="shared" si="7"/>
        <v>69567000</v>
      </c>
      <c r="G121" s="459">
        <v>69049131.513647646</v>
      </c>
      <c r="H121" s="459">
        <v>517868.48635235429</v>
      </c>
      <c r="I121" s="459">
        <f t="shared" si="8"/>
        <v>69567000</v>
      </c>
      <c r="J121" s="460"/>
      <c r="K121" s="459"/>
      <c r="L121" s="459"/>
      <c r="M121" s="459"/>
      <c r="N121" s="461"/>
      <c r="O121" s="462"/>
      <c r="P121" s="462"/>
    </row>
    <row r="122" spans="2:16">
      <c r="B122" s="455" t="s">
        <v>581</v>
      </c>
      <c r="C122" s="456">
        <v>44250</v>
      </c>
      <c r="D122" s="457">
        <v>270</v>
      </c>
      <c r="E122" s="458" t="s">
        <v>579</v>
      </c>
      <c r="F122" s="459">
        <f t="shared" si="7"/>
        <v>69565000</v>
      </c>
      <c r="G122" s="459">
        <v>69047146.401985109</v>
      </c>
      <c r="H122" s="459">
        <v>517853.59801489115</v>
      </c>
      <c r="I122" s="459">
        <f t="shared" si="8"/>
        <v>69565000</v>
      </c>
      <c r="J122" s="460"/>
      <c r="K122" s="459"/>
      <c r="L122" s="459"/>
      <c r="M122" s="459"/>
      <c r="N122" s="461"/>
      <c r="O122" s="462"/>
      <c r="P122" s="462"/>
    </row>
    <row r="123" spans="2:16">
      <c r="B123" s="455" t="s">
        <v>577</v>
      </c>
      <c r="C123" s="456">
        <v>44250</v>
      </c>
      <c r="D123" s="457">
        <v>270</v>
      </c>
      <c r="E123" s="458" t="s">
        <v>579</v>
      </c>
      <c r="F123" s="459">
        <f t="shared" si="7"/>
        <v>69565000</v>
      </c>
      <c r="G123" s="459">
        <v>69047146.401985109</v>
      </c>
      <c r="H123" s="459">
        <v>517853.59801489115</v>
      </c>
      <c r="I123" s="459">
        <f t="shared" si="8"/>
        <v>69565000</v>
      </c>
      <c r="J123" s="460"/>
      <c r="K123" s="459"/>
      <c r="L123" s="459"/>
      <c r="M123" s="459"/>
      <c r="N123" s="461"/>
      <c r="O123" s="462"/>
      <c r="P123" s="462"/>
    </row>
    <row r="124" spans="2:16">
      <c r="B124" s="455" t="s">
        <v>580</v>
      </c>
      <c r="C124" s="456">
        <v>44250</v>
      </c>
      <c r="D124" s="457">
        <v>270</v>
      </c>
      <c r="E124" s="458" t="s">
        <v>579</v>
      </c>
      <c r="F124" s="459">
        <f t="shared" si="7"/>
        <v>69565000</v>
      </c>
      <c r="G124" s="459">
        <v>69047146.401985109</v>
      </c>
      <c r="H124" s="459">
        <v>517853.59801489115</v>
      </c>
      <c r="I124" s="459">
        <f t="shared" si="8"/>
        <v>69565000</v>
      </c>
      <c r="J124" s="460"/>
      <c r="K124" s="459"/>
      <c r="L124" s="459"/>
      <c r="M124" s="459"/>
      <c r="N124" s="461"/>
      <c r="O124" s="462"/>
      <c r="P124" s="462"/>
    </row>
    <row r="125" spans="2:16">
      <c r="B125" s="455" t="s">
        <v>575</v>
      </c>
      <c r="C125" s="456">
        <v>44250</v>
      </c>
      <c r="D125" s="457">
        <v>270</v>
      </c>
      <c r="E125" s="458" t="s">
        <v>579</v>
      </c>
      <c r="F125" s="459">
        <f t="shared" si="7"/>
        <v>52173000</v>
      </c>
      <c r="G125" s="459">
        <v>51784615.384615384</v>
      </c>
      <c r="H125" s="459">
        <v>388384.61538461596</v>
      </c>
      <c r="I125" s="459">
        <f t="shared" si="8"/>
        <v>52173000</v>
      </c>
      <c r="J125" s="460"/>
      <c r="K125" s="459"/>
      <c r="L125" s="459"/>
      <c r="M125" s="459"/>
      <c r="N125" s="461"/>
      <c r="O125" s="462"/>
      <c r="P125" s="462"/>
    </row>
    <row r="126" spans="2:16">
      <c r="B126" s="455" t="s">
        <v>582</v>
      </c>
      <c r="C126" s="456"/>
      <c r="D126" s="457"/>
      <c r="E126" s="458" t="s">
        <v>576</v>
      </c>
      <c r="F126" s="459"/>
      <c r="G126" s="459"/>
      <c r="H126" s="459"/>
      <c r="I126" s="459"/>
      <c r="J126" s="456">
        <v>44228</v>
      </c>
      <c r="K126" s="459">
        <v>0</v>
      </c>
      <c r="L126" s="459">
        <v>190625</v>
      </c>
      <c r="M126" s="459">
        <f t="shared" ref="M126:M157" si="9">+K126+L126</f>
        <v>190625</v>
      </c>
      <c r="N126" s="461"/>
      <c r="O126" s="462"/>
      <c r="P126" s="462"/>
    </row>
    <row r="127" spans="2:16">
      <c r="B127" s="455" t="s">
        <v>575</v>
      </c>
      <c r="C127" s="456"/>
      <c r="D127" s="457"/>
      <c r="E127" s="458" t="s">
        <v>576</v>
      </c>
      <c r="F127" s="459"/>
      <c r="G127" s="459"/>
      <c r="H127" s="459"/>
      <c r="I127" s="459"/>
      <c r="J127" s="456">
        <v>44228</v>
      </c>
      <c r="K127" s="459">
        <v>0</v>
      </c>
      <c r="L127" s="459">
        <v>7625000</v>
      </c>
      <c r="M127" s="459">
        <f t="shared" si="9"/>
        <v>7625000</v>
      </c>
      <c r="N127" s="461"/>
      <c r="O127" s="462"/>
      <c r="P127" s="462"/>
    </row>
    <row r="128" spans="2:16">
      <c r="B128" s="455" t="s">
        <v>575</v>
      </c>
      <c r="C128" s="456"/>
      <c r="D128" s="457"/>
      <c r="E128" s="458" t="s">
        <v>576</v>
      </c>
      <c r="F128" s="459"/>
      <c r="G128" s="459"/>
      <c r="H128" s="459"/>
      <c r="I128" s="459"/>
      <c r="J128" s="456">
        <v>44229</v>
      </c>
      <c r="K128" s="459">
        <v>0</v>
      </c>
      <c r="L128" s="459">
        <v>4477500</v>
      </c>
      <c r="M128" s="459">
        <f t="shared" si="9"/>
        <v>4477500</v>
      </c>
      <c r="N128" s="461"/>
      <c r="O128" s="462"/>
      <c r="P128" s="462"/>
    </row>
    <row r="129" spans="2:16">
      <c r="B129" s="455" t="s">
        <v>583</v>
      </c>
      <c r="C129" s="456"/>
      <c r="D129" s="457"/>
      <c r="E129" s="458" t="s">
        <v>576</v>
      </c>
      <c r="F129" s="459"/>
      <c r="G129" s="459"/>
      <c r="H129" s="459"/>
      <c r="I129" s="459"/>
      <c r="J129" s="456">
        <v>44230</v>
      </c>
      <c r="K129" s="459">
        <v>0</v>
      </c>
      <c r="L129" s="459">
        <v>139063</v>
      </c>
      <c r="M129" s="459">
        <f t="shared" si="9"/>
        <v>139063</v>
      </c>
      <c r="N129" s="461"/>
      <c r="O129" s="462"/>
      <c r="P129" s="462"/>
    </row>
    <row r="130" spans="2:16">
      <c r="B130" s="455" t="s">
        <v>577</v>
      </c>
      <c r="C130" s="456"/>
      <c r="D130" s="457"/>
      <c r="E130" s="458" t="s">
        <v>576</v>
      </c>
      <c r="F130" s="459"/>
      <c r="G130" s="459"/>
      <c r="H130" s="459"/>
      <c r="I130" s="459"/>
      <c r="J130" s="456">
        <v>44230</v>
      </c>
      <c r="K130" s="459">
        <v>0</v>
      </c>
      <c r="L130" s="459">
        <v>4102344</v>
      </c>
      <c r="M130" s="459">
        <f t="shared" si="9"/>
        <v>4102344</v>
      </c>
      <c r="N130" s="461"/>
      <c r="O130" s="462"/>
      <c r="P130" s="462"/>
    </row>
    <row r="131" spans="2:16">
      <c r="B131" s="455" t="s">
        <v>575</v>
      </c>
      <c r="C131" s="456"/>
      <c r="D131" s="457"/>
      <c r="E131" s="458" t="s">
        <v>576</v>
      </c>
      <c r="F131" s="459"/>
      <c r="G131" s="459"/>
      <c r="H131" s="459"/>
      <c r="I131" s="459"/>
      <c r="J131" s="456">
        <v>44230</v>
      </c>
      <c r="K131" s="459">
        <v>0</v>
      </c>
      <c r="L131" s="459">
        <v>4102344</v>
      </c>
      <c r="M131" s="459">
        <f t="shared" si="9"/>
        <v>4102344</v>
      </c>
      <c r="N131" s="461"/>
      <c r="O131" s="462"/>
      <c r="P131" s="462"/>
    </row>
    <row r="132" spans="2:16">
      <c r="B132" s="455" t="s">
        <v>586</v>
      </c>
      <c r="C132" s="456"/>
      <c r="D132" s="457"/>
      <c r="E132" s="458" t="s">
        <v>576</v>
      </c>
      <c r="F132" s="459"/>
      <c r="G132" s="459"/>
      <c r="H132" s="459"/>
      <c r="I132" s="459"/>
      <c r="J132" s="456">
        <v>44230</v>
      </c>
      <c r="K132" s="459">
        <v>0</v>
      </c>
      <c r="L132" s="459">
        <v>236406</v>
      </c>
      <c r="M132" s="459">
        <f t="shared" si="9"/>
        <v>236406</v>
      </c>
      <c r="N132" s="461"/>
      <c r="O132" s="462"/>
      <c r="P132" s="462"/>
    </row>
    <row r="133" spans="2:16">
      <c r="B133" s="455" t="s">
        <v>582</v>
      </c>
      <c r="C133" s="456"/>
      <c r="D133" s="457"/>
      <c r="E133" s="458" t="s">
        <v>576</v>
      </c>
      <c r="F133" s="459"/>
      <c r="G133" s="459"/>
      <c r="H133" s="459"/>
      <c r="I133" s="459"/>
      <c r="J133" s="456">
        <v>44230</v>
      </c>
      <c r="K133" s="459">
        <v>0</v>
      </c>
      <c r="L133" s="459">
        <v>21416</v>
      </c>
      <c r="M133" s="459">
        <f t="shared" si="9"/>
        <v>21416</v>
      </c>
      <c r="N133" s="461"/>
      <c r="O133" s="462"/>
      <c r="P133" s="462"/>
    </row>
    <row r="134" spans="2:16">
      <c r="B134" s="455" t="s">
        <v>582</v>
      </c>
      <c r="C134" s="456"/>
      <c r="D134" s="457"/>
      <c r="E134" s="458" t="s">
        <v>576</v>
      </c>
      <c r="F134" s="459"/>
      <c r="G134" s="459"/>
      <c r="H134" s="459"/>
      <c r="I134" s="459"/>
      <c r="J134" s="456">
        <v>44230</v>
      </c>
      <c r="K134" s="459">
        <v>0</v>
      </c>
      <c r="L134" s="459">
        <v>139063</v>
      </c>
      <c r="M134" s="459">
        <f t="shared" si="9"/>
        <v>139063</v>
      </c>
      <c r="N134" s="461"/>
      <c r="O134" s="462"/>
      <c r="P134" s="462"/>
    </row>
    <row r="135" spans="2:16">
      <c r="B135" s="455" t="s">
        <v>584</v>
      </c>
      <c r="C135" s="456"/>
      <c r="D135" s="457"/>
      <c r="E135" s="458" t="s">
        <v>576</v>
      </c>
      <c r="F135" s="459"/>
      <c r="G135" s="459"/>
      <c r="H135" s="459"/>
      <c r="I135" s="459"/>
      <c r="J135" s="456">
        <v>44232</v>
      </c>
      <c r="K135" s="459">
        <v>0</v>
      </c>
      <c r="L135" s="459">
        <v>1952025</v>
      </c>
      <c r="M135" s="459">
        <f t="shared" si="9"/>
        <v>1952025</v>
      </c>
      <c r="N135" s="461"/>
      <c r="O135" s="462"/>
      <c r="P135" s="462"/>
    </row>
    <row r="136" spans="2:16">
      <c r="B136" s="455" t="s">
        <v>575</v>
      </c>
      <c r="C136" s="456"/>
      <c r="D136" s="457"/>
      <c r="E136" s="458" t="s">
        <v>576</v>
      </c>
      <c r="F136" s="459"/>
      <c r="G136" s="459"/>
      <c r="H136" s="459"/>
      <c r="I136" s="459"/>
      <c r="J136" s="456">
        <v>44232</v>
      </c>
      <c r="K136" s="459">
        <v>0</v>
      </c>
      <c r="L136" s="459">
        <v>3961500</v>
      </c>
      <c r="M136" s="459">
        <f t="shared" si="9"/>
        <v>3961500</v>
      </c>
      <c r="N136" s="461"/>
      <c r="O136" s="462"/>
      <c r="P136" s="462"/>
    </row>
    <row r="137" spans="2:16">
      <c r="B137" s="455" t="s">
        <v>585</v>
      </c>
      <c r="C137" s="456"/>
      <c r="D137" s="457"/>
      <c r="E137" s="458" t="s">
        <v>576</v>
      </c>
      <c r="F137" s="459"/>
      <c r="G137" s="459"/>
      <c r="H137" s="459"/>
      <c r="I137" s="459"/>
      <c r="J137" s="456">
        <v>44235</v>
      </c>
      <c r="K137" s="459">
        <v>0</v>
      </c>
      <c r="L137" s="459">
        <v>1887735</v>
      </c>
      <c r="M137" s="459">
        <f t="shared" si="9"/>
        <v>1887735</v>
      </c>
      <c r="N137" s="461"/>
      <c r="O137" s="462"/>
      <c r="P137" s="462"/>
    </row>
    <row r="138" spans="2:16">
      <c r="B138" s="455" t="s">
        <v>577</v>
      </c>
      <c r="C138" s="456"/>
      <c r="D138" s="457"/>
      <c r="E138" s="458" t="s">
        <v>576</v>
      </c>
      <c r="F138" s="459"/>
      <c r="G138" s="459"/>
      <c r="H138" s="459"/>
      <c r="I138" s="459"/>
      <c r="J138" s="456">
        <v>44235</v>
      </c>
      <c r="K138" s="459">
        <v>0</v>
      </c>
      <c r="L138" s="459">
        <v>3167354</v>
      </c>
      <c r="M138" s="459">
        <f t="shared" si="9"/>
        <v>3167354</v>
      </c>
      <c r="N138" s="461"/>
      <c r="O138" s="462"/>
      <c r="P138" s="462"/>
    </row>
    <row r="139" spans="2:16">
      <c r="B139" s="455" t="s">
        <v>575</v>
      </c>
      <c r="C139" s="456"/>
      <c r="D139" s="457"/>
      <c r="E139" s="458" t="s">
        <v>576</v>
      </c>
      <c r="F139" s="459"/>
      <c r="G139" s="459"/>
      <c r="H139" s="459"/>
      <c r="I139" s="459"/>
      <c r="J139" s="456">
        <v>44235</v>
      </c>
      <c r="K139" s="459">
        <v>0</v>
      </c>
      <c r="L139" s="459">
        <v>6000000</v>
      </c>
      <c r="M139" s="459">
        <f t="shared" si="9"/>
        <v>6000000</v>
      </c>
      <c r="N139" s="461"/>
      <c r="O139" s="462"/>
      <c r="P139" s="462"/>
    </row>
    <row r="140" spans="2:16">
      <c r="B140" s="455" t="s">
        <v>582</v>
      </c>
      <c r="C140" s="456"/>
      <c r="D140" s="457"/>
      <c r="E140" s="458" t="s">
        <v>576</v>
      </c>
      <c r="F140" s="459"/>
      <c r="G140" s="459"/>
      <c r="H140" s="459"/>
      <c r="I140" s="459"/>
      <c r="J140" s="456">
        <v>44235</v>
      </c>
      <c r="K140" s="459">
        <v>0</v>
      </c>
      <c r="L140" s="459">
        <v>44375</v>
      </c>
      <c r="M140" s="459">
        <f t="shared" si="9"/>
        <v>44375</v>
      </c>
      <c r="N140" s="461"/>
      <c r="O140" s="462"/>
      <c r="P140" s="462"/>
    </row>
    <row r="141" spans="2:16">
      <c r="B141" s="455" t="s">
        <v>577</v>
      </c>
      <c r="C141" s="456"/>
      <c r="D141" s="457"/>
      <c r="E141" s="458" t="s">
        <v>576</v>
      </c>
      <c r="F141" s="459"/>
      <c r="G141" s="459"/>
      <c r="H141" s="459"/>
      <c r="I141" s="459"/>
      <c r="J141" s="456">
        <v>44235</v>
      </c>
      <c r="K141" s="459">
        <v>0</v>
      </c>
      <c r="L141" s="459">
        <v>1359375</v>
      </c>
      <c r="M141" s="459">
        <f t="shared" si="9"/>
        <v>1359375</v>
      </c>
      <c r="N141" s="461"/>
      <c r="O141" s="462"/>
      <c r="P141" s="462"/>
    </row>
    <row r="142" spans="2:16">
      <c r="B142" s="455" t="s">
        <v>580</v>
      </c>
      <c r="C142" s="456"/>
      <c r="D142" s="457"/>
      <c r="E142" s="458" t="s">
        <v>576</v>
      </c>
      <c r="F142" s="459"/>
      <c r="G142" s="459"/>
      <c r="H142" s="459"/>
      <c r="I142" s="459"/>
      <c r="J142" s="456">
        <v>44235</v>
      </c>
      <c r="K142" s="459">
        <v>0</v>
      </c>
      <c r="L142" s="459">
        <v>1887801</v>
      </c>
      <c r="M142" s="459">
        <f t="shared" si="9"/>
        <v>1887801</v>
      </c>
      <c r="N142" s="461"/>
      <c r="O142" s="462"/>
      <c r="P142" s="462"/>
    </row>
    <row r="143" spans="2:16">
      <c r="B143" s="455" t="s">
        <v>575</v>
      </c>
      <c r="C143" s="456"/>
      <c r="D143" s="457"/>
      <c r="E143" s="458" t="s">
        <v>576</v>
      </c>
      <c r="F143" s="459"/>
      <c r="G143" s="459"/>
      <c r="H143" s="459"/>
      <c r="I143" s="459"/>
      <c r="J143" s="456">
        <v>44235</v>
      </c>
      <c r="K143" s="459">
        <v>0</v>
      </c>
      <c r="L143" s="459">
        <v>2039063</v>
      </c>
      <c r="M143" s="459">
        <f t="shared" si="9"/>
        <v>2039063</v>
      </c>
      <c r="N143" s="461"/>
      <c r="O143" s="462"/>
      <c r="P143" s="462"/>
    </row>
    <row r="144" spans="2:16">
      <c r="B144" s="455" t="s">
        <v>582</v>
      </c>
      <c r="C144" s="456"/>
      <c r="D144" s="457"/>
      <c r="E144" s="458" t="s">
        <v>576</v>
      </c>
      <c r="F144" s="459"/>
      <c r="G144" s="459"/>
      <c r="H144" s="459"/>
      <c r="I144" s="459"/>
      <c r="J144" s="456">
        <v>44235</v>
      </c>
      <c r="K144" s="466">
        <v>2000000</v>
      </c>
      <c r="L144" s="466">
        <v>0</v>
      </c>
      <c r="M144" s="466">
        <f t="shared" si="9"/>
        <v>2000000</v>
      </c>
      <c r="N144" s="461"/>
      <c r="O144" s="462"/>
      <c r="P144" s="462"/>
    </row>
    <row r="145" spans="2:16">
      <c r="B145" s="455" t="s">
        <v>582</v>
      </c>
      <c r="C145" s="456"/>
      <c r="D145" s="457"/>
      <c r="E145" s="458" t="s">
        <v>576</v>
      </c>
      <c r="F145" s="459"/>
      <c r="G145" s="459"/>
      <c r="H145" s="459"/>
      <c r="I145" s="459"/>
      <c r="J145" s="456">
        <v>44235</v>
      </c>
      <c r="K145" s="466">
        <v>100000</v>
      </c>
      <c r="L145" s="466">
        <v>0</v>
      </c>
      <c r="M145" s="466">
        <f t="shared" si="9"/>
        <v>100000</v>
      </c>
      <c r="N145" s="461"/>
      <c r="O145" s="462"/>
      <c r="P145" s="462"/>
    </row>
    <row r="146" spans="2:16">
      <c r="B146" s="455" t="s">
        <v>575</v>
      </c>
      <c r="C146" s="456"/>
      <c r="D146" s="457"/>
      <c r="E146" s="458" t="s">
        <v>576</v>
      </c>
      <c r="F146" s="459"/>
      <c r="G146" s="459"/>
      <c r="H146" s="459"/>
      <c r="I146" s="459"/>
      <c r="J146" s="456">
        <v>44235</v>
      </c>
      <c r="K146" s="466">
        <v>200000000</v>
      </c>
      <c r="L146" s="466">
        <v>0</v>
      </c>
      <c r="M146" s="466">
        <f t="shared" si="9"/>
        <v>200000000</v>
      </c>
      <c r="N146" s="461"/>
      <c r="O146" s="462"/>
      <c r="P146" s="462"/>
    </row>
    <row r="147" spans="2:16">
      <c r="B147" s="455" t="s">
        <v>582</v>
      </c>
      <c r="C147" s="456"/>
      <c r="D147" s="457"/>
      <c r="E147" s="458" t="s">
        <v>576</v>
      </c>
      <c r="F147" s="459"/>
      <c r="G147" s="459"/>
      <c r="H147" s="459"/>
      <c r="I147" s="459"/>
      <c r="J147" s="456">
        <v>44235</v>
      </c>
      <c r="K147" s="459">
        <v>0</v>
      </c>
      <c r="L147" s="459">
        <v>60000</v>
      </c>
      <c r="M147" s="459">
        <f t="shared" si="9"/>
        <v>60000</v>
      </c>
      <c r="N147" s="461"/>
      <c r="O147" s="462"/>
      <c r="P147" s="462"/>
    </row>
    <row r="148" spans="2:16">
      <c r="B148" s="455" t="s">
        <v>582</v>
      </c>
      <c r="C148" s="456"/>
      <c r="D148" s="457"/>
      <c r="E148" s="458" t="s">
        <v>576</v>
      </c>
      <c r="F148" s="459"/>
      <c r="G148" s="459"/>
      <c r="H148" s="459"/>
      <c r="I148" s="459"/>
      <c r="J148" s="456">
        <v>44235</v>
      </c>
      <c r="K148" s="459">
        <v>0</v>
      </c>
      <c r="L148" s="459">
        <v>3000</v>
      </c>
      <c r="M148" s="459">
        <f t="shared" si="9"/>
        <v>3000</v>
      </c>
      <c r="N148" s="461"/>
      <c r="O148" s="462"/>
      <c r="P148" s="462"/>
    </row>
    <row r="149" spans="2:16">
      <c r="B149" s="455" t="s">
        <v>586</v>
      </c>
      <c r="C149" s="456"/>
      <c r="D149" s="457"/>
      <c r="E149" s="458" t="s">
        <v>576</v>
      </c>
      <c r="F149" s="459"/>
      <c r="G149" s="459"/>
      <c r="H149" s="459"/>
      <c r="I149" s="459"/>
      <c r="J149" s="456">
        <v>44235</v>
      </c>
      <c r="K149" s="459">
        <v>0</v>
      </c>
      <c r="L149" s="459">
        <v>110938</v>
      </c>
      <c r="M149" s="459">
        <f t="shared" si="9"/>
        <v>110938</v>
      </c>
      <c r="N149" s="461"/>
      <c r="O149" s="462"/>
      <c r="P149" s="462"/>
    </row>
    <row r="150" spans="2:16">
      <c r="B150" s="455" t="s">
        <v>582</v>
      </c>
      <c r="C150" s="456"/>
      <c r="D150" s="457"/>
      <c r="E150" s="458" t="s">
        <v>576</v>
      </c>
      <c r="F150" s="459"/>
      <c r="G150" s="459"/>
      <c r="H150" s="459"/>
      <c r="I150" s="459"/>
      <c r="J150" s="456">
        <v>44238</v>
      </c>
      <c r="K150" s="459">
        <v>0</v>
      </c>
      <c r="L150" s="459">
        <v>204125</v>
      </c>
      <c r="M150" s="459">
        <f t="shared" si="9"/>
        <v>204125</v>
      </c>
      <c r="N150" s="461"/>
      <c r="O150" s="462"/>
      <c r="P150" s="462"/>
    </row>
    <row r="151" spans="2:16">
      <c r="B151" s="455" t="s">
        <v>575</v>
      </c>
      <c r="C151" s="456"/>
      <c r="D151" s="457"/>
      <c r="E151" s="458" t="s">
        <v>576</v>
      </c>
      <c r="F151" s="459"/>
      <c r="G151" s="459"/>
      <c r="H151" s="459"/>
      <c r="I151" s="459"/>
      <c r="J151" s="456">
        <v>44238</v>
      </c>
      <c r="K151" s="459">
        <v>0</v>
      </c>
      <c r="L151" s="459">
        <v>3881250</v>
      </c>
      <c r="M151" s="459">
        <f t="shared" si="9"/>
        <v>3881250</v>
      </c>
      <c r="N151" s="461"/>
      <c r="O151" s="462"/>
      <c r="P151" s="462"/>
    </row>
    <row r="152" spans="2:16">
      <c r="B152" s="455" t="s">
        <v>587</v>
      </c>
      <c r="C152" s="456"/>
      <c r="D152" s="457"/>
      <c r="E152" s="458" t="s">
        <v>576</v>
      </c>
      <c r="F152" s="459"/>
      <c r="G152" s="459"/>
      <c r="H152" s="459"/>
      <c r="I152" s="459"/>
      <c r="J152" s="456">
        <v>44238</v>
      </c>
      <c r="K152" s="459">
        <v>0</v>
      </c>
      <c r="L152" s="459">
        <v>7188</v>
      </c>
      <c r="M152" s="459">
        <f t="shared" si="9"/>
        <v>7188</v>
      </c>
      <c r="N152" s="461"/>
      <c r="O152" s="462"/>
      <c r="P152" s="462"/>
    </row>
    <row r="153" spans="2:16">
      <c r="B153" s="455" t="s">
        <v>583</v>
      </c>
      <c r="C153" s="456"/>
      <c r="D153" s="457"/>
      <c r="E153" s="458" t="s">
        <v>576</v>
      </c>
      <c r="F153" s="459"/>
      <c r="G153" s="459"/>
      <c r="H153" s="459"/>
      <c r="I153" s="459"/>
      <c r="J153" s="456">
        <v>44238</v>
      </c>
      <c r="K153" s="459">
        <v>0</v>
      </c>
      <c r="L153" s="459">
        <v>143750</v>
      </c>
      <c r="M153" s="459">
        <f t="shared" si="9"/>
        <v>143750</v>
      </c>
      <c r="N153" s="461"/>
      <c r="O153" s="462"/>
      <c r="P153" s="462"/>
    </row>
    <row r="154" spans="2:16">
      <c r="B154" s="455" t="s">
        <v>596</v>
      </c>
      <c r="C154" s="456"/>
      <c r="D154" s="457"/>
      <c r="E154" s="458" t="s">
        <v>576</v>
      </c>
      <c r="F154" s="459"/>
      <c r="G154" s="459"/>
      <c r="H154" s="459"/>
      <c r="I154" s="459"/>
      <c r="J154" s="456">
        <v>44238</v>
      </c>
      <c r="K154" s="459">
        <v>0</v>
      </c>
      <c r="L154" s="459">
        <v>970313</v>
      </c>
      <c r="M154" s="459">
        <f t="shared" si="9"/>
        <v>970313</v>
      </c>
      <c r="N154" s="461"/>
      <c r="O154" s="462"/>
      <c r="P154" s="462"/>
    </row>
    <row r="155" spans="2:16">
      <c r="B155" s="455" t="s">
        <v>577</v>
      </c>
      <c r="C155" s="456"/>
      <c r="D155" s="457"/>
      <c r="E155" s="458" t="s">
        <v>576</v>
      </c>
      <c r="F155" s="459"/>
      <c r="G155" s="459"/>
      <c r="H155" s="459"/>
      <c r="I155" s="459"/>
      <c r="J155" s="456">
        <v>44239</v>
      </c>
      <c r="K155" s="459">
        <v>0</v>
      </c>
      <c r="L155" s="459">
        <v>5138818</v>
      </c>
      <c r="M155" s="459">
        <f t="shared" si="9"/>
        <v>5138818</v>
      </c>
      <c r="N155" s="461"/>
      <c r="O155" s="462"/>
      <c r="P155" s="462"/>
    </row>
    <row r="156" spans="2:16">
      <c r="B156" s="455" t="s">
        <v>583</v>
      </c>
      <c r="C156" s="456"/>
      <c r="D156" s="457"/>
      <c r="E156" s="458" t="s">
        <v>576</v>
      </c>
      <c r="F156" s="459"/>
      <c r="G156" s="459"/>
      <c r="H156" s="459"/>
      <c r="I156" s="459"/>
      <c r="J156" s="456">
        <v>44239</v>
      </c>
      <c r="K156" s="459">
        <v>0</v>
      </c>
      <c r="L156" s="459">
        <v>38554</v>
      </c>
      <c r="M156" s="459">
        <f t="shared" si="9"/>
        <v>38554</v>
      </c>
      <c r="N156" s="461"/>
      <c r="O156" s="462"/>
      <c r="P156" s="462"/>
    </row>
    <row r="157" spans="2:16">
      <c r="B157" s="455" t="s">
        <v>586</v>
      </c>
      <c r="C157" s="456"/>
      <c r="D157" s="457"/>
      <c r="E157" s="458" t="s">
        <v>576</v>
      </c>
      <c r="F157" s="459"/>
      <c r="G157" s="459"/>
      <c r="H157" s="459"/>
      <c r="I157" s="459"/>
      <c r="J157" s="456">
        <v>44239</v>
      </c>
      <c r="K157" s="459">
        <v>0</v>
      </c>
      <c r="L157" s="459">
        <v>38554</v>
      </c>
      <c r="M157" s="459">
        <f t="shared" si="9"/>
        <v>38554</v>
      </c>
      <c r="N157" s="461"/>
      <c r="O157" s="462"/>
      <c r="P157" s="462"/>
    </row>
    <row r="158" spans="2:16">
      <c r="B158" s="455" t="s">
        <v>582</v>
      </c>
      <c r="C158" s="456"/>
      <c r="D158" s="457"/>
      <c r="E158" s="458" t="s">
        <v>576</v>
      </c>
      <c r="F158" s="459"/>
      <c r="G158" s="459"/>
      <c r="H158" s="459"/>
      <c r="I158" s="459"/>
      <c r="J158" s="456">
        <v>44239</v>
      </c>
      <c r="K158" s="459">
        <v>0</v>
      </c>
      <c r="L158" s="459">
        <v>57852</v>
      </c>
      <c r="M158" s="459">
        <f t="shared" ref="M158:M183" si="10">+K158+L158</f>
        <v>57852</v>
      </c>
      <c r="N158" s="461"/>
      <c r="O158" s="462"/>
      <c r="P158" s="462"/>
    </row>
    <row r="159" spans="2:16">
      <c r="B159" s="455" t="s">
        <v>585</v>
      </c>
      <c r="C159" s="456"/>
      <c r="D159" s="457"/>
      <c r="E159" s="458" t="s">
        <v>576</v>
      </c>
      <c r="F159" s="459"/>
      <c r="G159" s="459"/>
      <c r="H159" s="459"/>
      <c r="I159" s="459"/>
      <c r="J159" s="456">
        <v>44239</v>
      </c>
      <c r="K159" s="459">
        <v>0</v>
      </c>
      <c r="L159" s="459">
        <v>1286807</v>
      </c>
      <c r="M159" s="459">
        <f t="shared" si="10"/>
        <v>1286807</v>
      </c>
      <c r="N159" s="461"/>
      <c r="O159" s="462"/>
      <c r="P159" s="462"/>
    </row>
    <row r="160" spans="2:16">
      <c r="B160" s="455" t="s">
        <v>582</v>
      </c>
      <c r="C160" s="456"/>
      <c r="D160" s="457"/>
      <c r="E160" s="458" t="s">
        <v>576</v>
      </c>
      <c r="F160" s="459"/>
      <c r="G160" s="459"/>
      <c r="H160" s="459"/>
      <c r="I160" s="459"/>
      <c r="J160" s="456">
        <v>44239</v>
      </c>
      <c r="K160" s="459">
        <v>0</v>
      </c>
      <c r="L160" s="459">
        <v>404103</v>
      </c>
      <c r="M160" s="459">
        <f t="shared" si="10"/>
        <v>404103</v>
      </c>
      <c r="N160" s="461"/>
      <c r="O160" s="462"/>
      <c r="P160" s="462"/>
    </row>
    <row r="161" spans="2:16">
      <c r="B161" s="455" t="s">
        <v>577</v>
      </c>
      <c r="C161" s="456"/>
      <c r="D161" s="457"/>
      <c r="E161" s="458" t="s">
        <v>576</v>
      </c>
      <c r="F161" s="459"/>
      <c r="G161" s="459"/>
      <c r="H161" s="459"/>
      <c r="I161" s="459"/>
      <c r="J161" s="456">
        <v>44242</v>
      </c>
      <c r="K161" s="459">
        <v>0</v>
      </c>
      <c r="L161" s="459">
        <v>7750000</v>
      </c>
      <c r="M161" s="459">
        <f t="shared" si="10"/>
        <v>7750000</v>
      </c>
      <c r="N161" s="461"/>
      <c r="O161" s="462"/>
      <c r="P161" s="462"/>
    </row>
    <row r="162" spans="2:16">
      <c r="B162" s="455" t="s">
        <v>575</v>
      </c>
      <c r="C162" s="456"/>
      <c r="D162" s="457"/>
      <c r="E162" s="458" t="s">
        <v>576</v>
      </c>
      <c r="F162" s="459"/>
      <c r="G162" s="459"/>
      <c r="H162" s="459"/>
      <c r="I162" s="459"/>
      <c r="J162" s="456">
        <v>44242</v>
      </c>
      <c r="K162" s="459">
        <v>0</v>
      </c>
      <c r="L162" s="459">
        <v>1512329</v>
      </c>
      <c r="M162" s="459">
        <f t="shared" si="10"/>
        <v>1512329</v>
      </c>
      <c r="N162" s="461"/>
      <c r="O162" s="462"/>
      <c r="P162" s="462"/>
    </row>
    <row r="163" spans="2:16">
      <c r="B163" s="455" t="s">
        <v>575</v>
      </c>
      <c r="C163" s="456"/>
      <c r="D163" s="457"/>
      <c r="E163" s="458" t="s">
        <v>576</v>
      </c>
      <c r="F163" s="459"/>
      <c r="G163" s="459"/>
      <c r="H163" s="459"/>
      <c r="I163" s="459"/>
      <c r="J163" s="456">
        <v>44242</v>
      </c>
      <c r="K163" s="459">
        <v>0</v>
      </c>
      <c r="L163" s="459">
        <v>1480822</v>
      </c>
      <c r="M163" s="459">
        <f t="shared" si="10"/>
        <v>1480822</v>
      </c>
      <c r="N163" s="461"/>
      <c r="O163" s="462"/>
      <c r="P163" s="462"/>
    </row>
    <row r="164" spans="2:16">
      <c r="B164" s="455" t="s">
        <v>577</v>
      </c>
      <c r="C164" s="456"/>
      <c r="D164" s="457"/>
      <c r="E164" s="458" t="s">
        <v>576</v>
      </c>
      <c r="F164" s="459"/>
      <c r="G164" s="459"/>
      <c r="H164" s="459"/>
      <c r="I164" s="459"/>
      <c r="J164" s="456">
        <v>44243</v>
      </c>
      <c r="K164" s="459">
        <v>0</v>
      </c>
      <c r="L164" s="459">
        <v>9073973</v>
      </c>
      <c r="M164" s="459">
        <f t="shared" si="10"/>
        <v>9073973</v>
      </c>
      <c r="N164" s="461"/>
      <c r="O164" s="462"/>
      <c r="P164" s="462"/>
    </row>
    <row r="165" spans="2:16">
      <c r="B165" s="455" t="s">
        <v>577</v>
      </c>
      <c r="C165" s="456"/>
      <c r="D165" s="457"/>
      <c r="E165" s="458" t="s">
        <v>576</v>
      </c>
      <c r="F165" s="459"/>
      <c r="G165" s="459"/>
      <c r="H165" s="459"/>
      <c r="I165" s="459"/>
      <c r="J165" s="456">
        <v>44244</v>
      </c>
      <c r="K165" s="459">
        <v>0</v>
      </c>
      <c r="L165" s="459">
        <v>1835258</v>
      </c>
      <c r="M165" s="459">
        <f t="shared" si="10"/>
        <v>1835258</v>
      </c>
      <c r="N165" s="461"/>
      <c r="O165" s="462"/>
      <c r="P165" s="462"/>
    </row>
    <row r="166" spans="2:16">
      <c r="B166" s="455" t="s">
        <v>583</v>
      </c>
      <c r="C166" s="456"/>
      <c r="D166" s="457"/>
      <c r="E166" s="458" t="s">
        <v>576</v>
      </c>
      <c r="F166" s="459"/>
      <c r="G166" s="459"/>
      <c r="H166" s="459"/>
      <c r="I166" s="459"/>
      <c r="J166" s="456">
        <v>44244</v>
      </c>
      <c r="K166" s="459">
        <v>0</v>
      </c>
      <c r="L166" s="459">
        <v>3422</v>
      </c>
      <c r="M166" s="459">
        <f t="shared" si="10"/>
        <v>3422</v>
      </c>
      <c r="N166" s="461"/>
      <c r="O166" s="462"/>
      <c r="P166" s="462"/>
    </row>
    <row r="167" spans="2:16">
      <c r="B167" s="455" t="s">
        <v>580</v>
      </c>
      <c r="C167" s="456"/>
      <c r="D167" s="457"/>
      <c r="E167" s="458" t="s">
        <v>576</v>
      </c>
      <c r="F167" s="459"/>
      <c r="G167" s="459"/>
      <c r="H167" s="459"/>
      <c r="I167" s="459"/>
      <c r="J167" s="456">
        <v>44244</v>
      </c>
      <c r="K167" s="459">
        <v>0</v>
      </c>
      <c r="L167" s="459">
        <v>1835303</v>
      </c>
      <c r="M167" s="459">
        <f t="shared" si="10"/>
        <v>1835303</v>
      </c>
      <c r="N167" s="461"/>
      <c r="O167" s="462"/>
      <c r="P167" s="462"/>
    </row>
    <row r="168" spans="2:16">
      <c r="B168" s="455" t="s">
        <v>585</v>
      </c>
      <c r="C168" s="456"/>
      <c r="D168" s="457"/>
      <c r="E168" s="458" t="s">
        <v>576</v>
      </c>
      <c r="F168" s="459"/>
      <c r="G168" s="459"/>
      <c r="H168" s="459"/>
      <c r="I168" s="459"/>
      <c r="J168" s="456">
        <v>44244</v>
      </c>
      <c r="K168" s="459">
        <v>0</v>
      </c>
      <c r="L168" s="459">
        <v>1835258</v>
      </c>
      <c r="M168" s="459">
        <f t="shared" si="10"/>
        <v>1835258</v>
      </c>
      <c r="N168" s="461"/>
      <c r="O168" s="462"/>
      <c r="P168" s="462"/>
    </row>
    <row r="169" spans="2:16">
      <c r="B169" s="455" t="s">
        <v>575</v>
      </c>
      <c r="C169" s="456"/>
      <c r="D169" s="457"/>
      <c r="E169" s="458" t="s">
        <v>576</v>
      </c>
      <c r="F169" s="459"/>
      <c r="G169" s="459"/>
      <c r="H169" s="459"/>
      <c r="I169" s="459"/>
      <c r="J169" s="456">
        <v>44244</v>
      </c>
      <c r="K169" s="459">
        <v>0</v>
      </c>
      <c r="L169" s="459">
        <v>1613925</v>
      </c>
      <c r="M169" s="459">
        <f t="shared" si="10"/>
        <v>1613925</v>
      </c>
      <c r="N169" s="461"/>
      <c r="O169" s="462"/>
      <c r="P169" s="462"/>
    </row>
    <row r="170" spans="2:16">
      <c r="B170" s="455" t="s">
        <v>582</v>
      </c>
      <c r="C170" s="456"/>
      <c r="D170" s="457"/>
      <c r="E170" s="458" t="s">
        <v>576</v>
      </c>
      <c r="F170" s="459"/>
      <c r="G170" s="459"/>
      <c r="H170" s="459"/>
      <c r="I170" s="459"/>
      <c r="J170" s="456">
        <v>44244</v>
      </c>
      <c r="K170" s="459">
        <v>0</v>
      </c>
      <c r="L170" s="459">
        <v>45625</v>
      </c>
      <c r="M170" s="459">
        <f t="shared" si="10"/>
        <v>45625</v>
      </c>
      <c r="N170" s="461"/>
      <c r="O170" s="462"/>
      <c r="P170" s="462"/>
    </row>
    <row r="171" spans="2:16">
      <c r="B171" s="455" t="s">
        <v>582</v>
      </c>
      <c r="C171" s="456"/>
      <c r="D171" s="457"/>
      <c r="E171" s="458" t="s">
        <v>576</v>
      </c>
      <c r="F171" s="459"/>
      <c r="G171" s="459"/>
      <c r="H171" s="459"/>
      <c r="I171" s="459"/>
      <c r="J171" s="456">
        <v>44245</v>
      </c>
      <c r="K171" s="459">
        <v>0</v>
      </c>
      <c r="L171" s="459">
        <v>13344</v>
      </c>
      <c r="M171" s="459">
        <f t="shared" si="10"/>
        <v>13344</v>
      </c>
      <c r="N171" s="461"/>
      <c r="O171" s="462"/>
      <c r="P171" s="462"/>
    </row>
    <row r="172" spans="2:16">
      <c r="B172" s="455" t="s">
        <v>582</v>
      </c>
      <c r="C172" s="456"/>
      <c r="D172" s="457"/>
      <c r="E172" s="458" t="s">
        <v>576</v>
      </c>
      <c r="F172" s="459"/>
      <c r="G172" s="459"/>
      <c r="H172" s="459"/>
      <c r="I172" s="459"/>
      <c r="J172" s="456">
        <v>44245</v>
      </c>
      <c r="K172" s="459">
        <v>0</v>
      </c>
      <c r="L172" s="459">
        <v>95</v>
      </c>
      <c r="M172" s="459">
        <f t="shared" si="10"/>
        <v>95</v>
      </c>
      <c r="N172" s="461"/>
      <c r="O172" s="462"/>
      <c r="P172" s="462"/>
    </row>
    <row r="173" spans="2:16">
      <c r="B173" s="455" t="s">
        <v>583</v>
      </c>
      <c r="C173" s="456"/>
      <c r="D173" s="457"/>
      <c r="E173" s="458" t="s">
        <v>576</v>
      </c>
      <c r="F173" s="459"/>
      <c r="G173" s="459"/>
      <c r="H173" s="459"/>
      <c r="I173" s="459"/>
      <c r="J173" s="456">
        <v>44245</v>
      </c>
      <c r="K173" s="459">
        <v>0</v>
      </c>
      <c r="L173" s="459">
        <v>381250</v>
      </c>
      <c r="M173" s="459">
        <f t="shared" si="10"/>
        <v>381250</v>
      </c>
      <c r="N173" s="461"/>
      <c r="O173" s="462"/>
      <c r="P173" s="462"/>
    </row>
    <row r="174" spans="2:16">
      <c r="B174" s="455" t="s">
        <v>577</v>
      </c>
      <c r="C174" s="456"/>
      <c r="D174" s="457"/>
      <c r="E174" s="458" t="s">
        <v>576</v>
      </c>
      <c r="F174" s="459"/>
      <c r="G174" s="459"/>
      <c r="H174" s="459"/>
      <c r="I174" s="459"/>
      <c r="J174" s="456">
        <v>44245</v>
      </c>
      <c r="K174" s="459">
        <v>0</v>
      </c>
      <c r="L174" s="459">
        <v>1250977</v>
      </c>
      <c r="M174" s="459">
        <f t="shared" si="10"/>
        <v>1250977</v>
      </c>
      <c r="N174" s="461"/>
      <c r="O174" s="462"/>
      <c r="P174" s="462"/>
    </row>
    <row r="175" spans="2:16">
      <c r="B175" s="455" t="s">
        <v>580</v>
      </c>
      <c r="C175" s="456"/>
      <c r="D175" s="457"/>
      <c r="E175" s="458" t="s">
        <v>576</v>
      </c>
      <c r="F175" s="459"/>
      <c r="G175" s="459"/>
      <c r="H175" s="459"/>
      <c r="I175" s="459"/>
      <c r="J175" s="456">
        <v>44245</v>
      </c>
      <c r="K175" s="459">
        <v>0</v>
      </c>
      <c r="L175" s="459">
        <v>3107133</v>
      </c>
      <c r="M175" s="459">
        <f t="shared" si="10"/>
        <v>3107133</v>
      </c>
      <c r="N175" s="461"/>
      <c r="O175" s="462"/>
      <c r="P175" s="462"/>
    </row>
    <row r="176" spans="2:16">
      <c r="B176" s="455" t="s">
        <v>597</v>
      </c>
      <c r="C176" s="456"/>
      <c r="D176" s="457"/>
      <c r="E176" s="458" t="s">
        <v>576</v>
      </c>
      <c r="F176" s="459"/>
      <c r="G176" s="459"/>
      <c r="H176" s="459"/>
      <c r="I176" s="459"/>
      <c r="J176" s="456">
        <v>44245</v>
      </c>
      <c r="K176" s="459">
        <v>0</v>
      </c>
      <c r="L176" s="459">
        <v>4169922</v>
      </c>
      <c r="M176" s="459">
        <f t="shared" si="10"/>
        <v>4169922</v>
      </c>
      <c r="N176" s="461"/>
      <c r="O176" s="462"/>
      <c r="P176" s="462"/>
    </row>
    <row r="177" spans="2:16">
      <c r="B177" s="455" t="s">
        <v>578</v>
      </c>
      <c r="C177" s="456"/>
      <c r="D177" s="457"/>
      <c r="E177" s="458" t="s">
        <v>576</v>
      </c>
      <c r="F177" s="459"/>
      <c r="G177" s="459"/>
      <c r="H177" s="459"/>
      <c r="I177" s="459"/>
      <c r="J177" s="456">
        <v>44245</v>
      </c>
      <c r="K177" s="459">
        <v>0</v>
      </c>
      <c r="L177" s="459">
        <v>6750000</v>
      </c>
      <c r="M177" s="459">
        <f t="shared" si="10"/>
        <v>6750000</v>
      </c>
      <c r="N177" s="461"/>
      <c r="O177" s="462"/>
      <c r="P177" s="462"/>
    </row>
    <row r="178" spans="2:16">
      <c r="B178" s="455" t="s">
        <v>585</v>
      </c>
      <c r="C178" s="456"/>
      <c r="D178" s="457"/>
      <c r="E178" s="458" t="s">
        <v>576</v>
      </c>
      <c r="F178" s="459"/>
      <c r="G178" s="459"/>
      <c r="H178" s="459"/>
      <c r="I178" s="459"/>
      <c r="J178" s="456">
        <v>44250</v>
      </c>
      <c r="K178" s="459">
        <v>0</v>
      </c>
      <c r="L178" s="459">
        <v>6363353</v>
      </c>
      <c r="M178" s="459">
        <f t="shared" si="10"/>
        <v>6363353</v>
      </c>
      <c r="N178" s="461"/>
      <c r="O178" s="462"/>
      <c r="P178" s="462"/>
    </row>
    <row r="179" spans="2:16">
      <c r="B179" s="455" t="s">
        <v>586</v>
      </c>
      <c r="C179" s="456"/>
      <c r="D179" s="457"/>
      <c r="E179" s="458" t="s">
        <v>576</v>
      </c>
      <c r="F179" s="459"/>
      <c r="G179" s="459"/>
      <c r="H179" s="459"/>
      <c r="I179" s="459"/>
      <c r="J179" s="456">
        <v>44250</v>
      </c>
      <c r="K179" s="459">
        <v>0</v>
      </c>
      <c r="L179" s="459">
        <v>435498</v>
      </c>
      <c r="M179" s="459">
        <f t="shared" si="10"/>
        <v>435498</v>
      </c>
      <c r="N179" s="461"/>
      <c r="O179" s="462"/>
      <c r="P179" s="462"/>
    </row>
    <row r="180" spans="2:16">
      <c r="B180" s="455" t="s">
        <v>580</v>
      </c>
      <c r="C180" s="456"/>
      <c r="D180" s="457"/>
      <c r="E180" s="458" t="s">
        <v>576</v>
      </c>
      <c r="F180" s="459"/>
      <c r="G180" s="459"/>
      <c r="H180" s="459"/>
      <c r="I180" s="459"/>
      <c r="J180" s="456">
        <v>44250</v>
      </c>
      <c r="K180" s="459">
        <v>0</v>
      </c>
      <c r="L180" s="459">
        <v>1390350</v>
      </c>
      <c r="M180" s="459">
        <f t="shared" si="10"/>
        <v>1390350</v>
      </c>
      <c r="N180" s="461"/>
      <c r="O180" s="462"/>
      <c r="P180" s="462"/>
    </row>
    <row r="181" spans="2:16">
      <c r="B181" s="455" t="s">
        <v>575</v>
      </c>
      <c r="C181" s="456"/>
      <c r="D181" s="457"/>
      <c r="E181" s="458" t="s">
        <v>576</v>
      </c>
      <c r="F181" s="459"/>
      <c r="G181" s="459"/>
      <c r="H181" s="459"/>
      <c r="I181" s="459"/>
      <c r="J181" s="456">
        <v>44250</v>
      </c>
      <c r="K181" s="459">
        <v>0</v>
      </c>
      <c r="L181" s="459">
        <v>695175</v>
      </c>
      <c r="M181" s="459">
        <f t="shared" si="10"/>
        <v>695175</v>
      </c>
      <c r="N181" s="461"/>
      <c r="O181" s="462"/>
      <c r="P181" s="462"/>
    </row>
    <row r="182" spans="2:16">
      <c r="B182" s="455" t="s">
        <v>577</v>
      </c>
      <c r="C182" s="456"/>
      <c r="D182" s="457"/>
      <c r="E182" s="458" t="s">
        <v>576</v>
      </c>
      <c r="F182" s="459"/>
      <c r="G182" s="459"/>
      <c r="H182" s="459"/>
      <c r="I182" s="459"/>
      <c r="J182" s="456">
        <v>44250</v>
      </c>
      <c r="K182" s="459">
        <v>0</v>
      </c>
      <c r="L182" s="459">
        <v>1390350</v>
      </c>
      <c r="M182" s="459">
        <f t="shared" si="10"/>
        <v>1390350</v>
      </c>
      <c r="N182" s="461"/>
      <c r="O182" s="462"/>
      <c r="P182" s="462"/>
    </row>
    <row r="183" spans="2:16">
      <c r="B183" s="455" t="s">
        <v>597</v>
      </c>
      <c r="C183" s="456"/>
      <c r="D183" s="457"/>
      <c r="E183" s="458" t="s">
        <v>576</v>
      </c>
      <c r="F183" s="459"/>
      <c r="G183" s="459"/>
      <c r="H183" s="459"/>
      <c r="I183" s="459"/>
      <c r="J183" s="456">
        <v>44253</v>
      </c>
      <c r="K183" s="459">
        <v>0</v>
      </c>
      <c r="L183" s="459">
        <v>2325000</v>
      </c>
      <c r="M183" s="459">
        <f t="shared" si="10"/>
        <v>2325000</v>
      </c>
      <c r="N183" s="461"/>
      <c r="O183" s="462"/>
      <c r="P183" s="462"/>
    </row>
    <row r="184" spans="2:16">
      <c r="B184" s="467" t="s">
        <v>588</v>
      </c>
      <c r="C184" s="468"/>
      <c r="D184" s="469"/>
      <c r="E184" s="470"/>
      <c r="F184" s="459"/>
      <c r="G184" s="471">
        <f>(E693-D693)*1000000</f>
        <v>-32686814.000000935</v>
      </c>
      <c r="H184" s="465"/>
      <c r="I184" s="465"/>
      <c r="J184" s="472"/>
      <c r="K184" s="473"/>
      <c r="L184" s="473"/>
      <c r="M184" s="473"/>
      <c r="N184" s="461"/>
      <c r="O184" s="462"/>
      <c r="P184" s="462"/>
    </row>
    <row r="185" spans="2:16">
      <c r="B185" s="467" t="s">
        <v>589</v>
      </c>
      <c r="C185" s="468"/>
      <c r="D185" s="469"/>
      <c r="E185" s="470" t="s">
        <v>590</v>
      </c>
      <c r="F185" s="459"/>
      <c r="G185" s="471"/>
      <c r="H185" s="465"/>
      <c r="I185" s="465"/>
      <c r="J185" s="472"/>
      <c r="K185" s="473"/>
      <c r="L185" s="473"/>
      <c r="M185" s="473"/>
      <c r="N185" s="461"/>
      <c r="O185" s="462"/>
      <c r="P185" s="462"/>
    </row>
    <row r="186" spans="2:16">
      <c r="B186" s="467" t="s">
        <v>591</v>
      </c>
      <c r="C186" s="468"/>
      <c r="D186" s="469"/>
      <c r="E186" s="470" t="s">
        <v>592</v>
      </c>
      <c r="F186" s="459"/>
      <c r="G186" s="471"/>
      <c r="H186" s="465"/>
      <c r="I186" s="465"/>
      <c r="J186" s="472"/>
      <c r="K186" s="473"/>
      <c r="L186" s="473"/>
      <c r="M186" s="473"/>
      <c r="N186" s="461"/>
      <c r="O186" s="462"/>
      <c r="P186" s="462"/>
    </row>
    <row r="187" spans="2:16" ht="12.5">
      <c r="B187" s="770" t="s">
        <v>593</v>
      </c>
      <c r="C187" s="769"/>
      <c r="D187" s="769"/>
      <c r="E187" s="768"/>
      <c r="F187" s="767">
        <f>SUM(F106:F186)</f>
        <v>1850430000</v>
      </c>
      <c r="G187" s="767">
        <f>SUM(G106:G186)</f>
        <v>1812415755.0733814</v>
      </c>
      <c r="H187" s="767">
        <f>SUM(H106:H186)</f>
        <v>5327430.9266175106</v>
      </c>
      <c r="I187" s="767">
        <f>SUM(I106:I186)</f>
        <v>1850430000</v>
      </c>
      <c r="J187" s="767"/>
      <c r="K187" s="767">
        <f>SUM(K106:K186)</f>
        <v>202100000</v>
      </c>
      <c r="L187" s="767">
        <f>SUM(L106:L186)</f>
        <v>110936603</v>
      </c>
      <c r="M187" s="767">
        <f>SUM(M106:M186)</f>
        <v>313036603</v>
      </c>
      <c r="N187" s="762">
        <f>+G187-K187</f>
        <v>1610315755.0733814</v>
      </c>
      <c r="O187" s="762">
        <f>+(E683-D683)*1000000</f>
        <v>365967474.32432765</v>
      </c>
      <c r="P187" s="762">
        <f>N187-O187</f>
        <v>1244348280.7490537</v>
      </c>
    </row>
    <row r="188" spans="2:16" ht="12.5">
      <c r="B188" s="455" t="s">
        <v>594</v>
      </c>
      <c r="C188" s="479">
        <v>44232</v>
      </c>
      <c r="D188" s="457">
        <v>180</v>
      </c>
      <c r="E188" s="480" t="s">
        <v>579</v>
      </c>
      <c r="F188" s="459">
        <f>G188+H188</f>
        <v>50005000</v>
      </c>
      <c r="G188" s="459">
        <v>49756218.905472644</v>
      </c>
      <c r="H188" s="459">
        <v>248781.09452735633</v>
      </c>
      <c r="I188" s="459">
        <f>+G188+H188</f>
        <v>50005000</v>
      </c>
      <c r="J188" s="489"/>
      <c r="K188" s="490"/>
      <c r="L188" s="490"/>
      <c r="M188" s="490"/>
      <c r="N188" s="481"/>
      <c r="O188" s="462"/>
      <c r="P188" s="482"/>
    </row>
    <row r="189" spans="2:16" ht="12.5">
      <c r="B189" s="455" t="s">
        <v>594</v>
      </c>
      <c r="C189" s="479">
        <v>44239</v>
      </c>
      <c r="D189" s="457">
        <v>210</v>
      </c>
      <c r="E189" s="480" t="s">
        <v>579</v>
      </c>
      <c r="F189" s="459">
        <f>G189+H189</f>
        <v>70000000</v>
      </c>
      <c r="G189" s="459">
        <v>69594034.797017395</v>
      </c>
      <c r="H189" s="459">
        <v>405965.2029826045</v>
      </c>
      <c r="I189" s="459">
        <f>+G189+H189</f>
        <v>70000000</v>
      </c>
      <c r="J189" s="489"/>
      <c r="K189" s="490"/>
      <c r="L189" s="490"/>
      <c r="M189" s="490"/>
      <c r="N189" s="481"/>
      <c r="O189" s="462"/>
      <c r="P189" s="482"/>
    </row>
    <row r="190" spans="2:16" ht="12.5">
      <c r="B190" s="455" t="s">
        <v>594</v>
      </c>
      <c r="C190" s="479">
        <v>44243</v>
      </c>
      <c r="D190" s="457">
        <v>3240</v>
      </c>
      <c r="E190" s="480" t="s">
        <v>576</v>
      </c>
      <c r="F190" s="459">
        <f>G190+H190</f>
        <v>560000000</v>
      </c>
      <c r="G190" s="459">
        <v>560000000</v>
      </c>
      <c r="H190" s="459">
        <v>0</v>
      </c>
      <c r="I190" s="459">
        <f>+G190+H190</f>
        <v>560000000</v>
      </c>
      <c r="J190" s="489"/>
      <c r="K190" s="490"/>
      <c r="L190" s="490"/>
      <c r="M190" s="490"/>
      <c r="N190" s="481"/>
      <c r="O190" s="462"/>
      <c r="P190" s="482"/>
    </row>
    <row r="191" spans="2:16" ht="12.5">
      <c r="B191" s="455" t="s">
        <v>594</v>
      </c>
      <c r="C191" s="479">
        <v>44250</v>
      </c>
      <c r="D191" s="457">
        <v>270</v>
      </c>
      <c r="E191" s="480" t="s">
        <v>579</v>
      </c>
      <c r="F191" s="459">
        <f>G191+H191</f>
        <v>69565000</v>
      </c>
      <c r="G191" s="459">
        <v>69047146.401985109</v>
      </c>
      <c r="H191" s="459">
        <v>517853.59801489115</v>
      </c>
      <c r="I191" s="459">
        <f>+G191+H191</f>
        <v>69565000</v>
      </c>
      <c r="J191" s="489"/>
      <c r="K191" s="490"/>
      <c r="L191" s="490"/>
      <c r="M191" s="490"/>
      <c r="N191" s="481"/>
      <c r="O191" s="462"/>
      <c r="P191" s="482"/>
    </row>
    <row r="192" spans="2:16" ht="12.5">
      <c r="B192" s="455" t="s">
        <v>594</v>
      </c>
      <c r="C192" s="479">
        <v>44253</v>
      </c>
      <c r="D192" s="457">
        <v>2880</v>
      </c>
      <c r="E192" s="480" t="s">
        <v>576</v>
      </c>
      <c r="F192" s="459">
        <f>G192+H192</f>
        <v>400000000</v>
      </c>
      <c r="G192" s="459">
        <v>400000000</v>
      </c>
      <c r="H192" s="459">
        <v>0</v>
      </c>
      <c r="I192" s="459">
        <f>+G192+H192</f>
        <v>400000000</v>
      </c>
      <c r="J192" s="489"/>
      <c r="K192" s="490"/>
      <c r="L192" s="490"/>
      <c r="M192" s="490"/>
      <c r="N192" s="481"/>
      <c r="O192" s="462"/>
      <c r="P192" s="482"/>
    </row>
    <row r="193" spans="2:17" ht="12.5">
      <c r="B193" s="455" t="s">
        <v>594</v>
      </c>
      <c r="C193" s="479"/>
      <c r="D193" s="457"/>
      <c r="E193" s="480" t="s">
        <v>576</v>
      </c>
      <c r="F193" s="459"/>
      <c r="G193" s="459"/>
      <c r="H193" s="459"/>
      <c r="I193" s="459"/>
      <c r="J193" s="456">
        <v>44228</v>
      </c>
      <c r="K193" s="459">
        <v>0</v>
      </c>
      <c r="L193" s="459">
        <v>9843750</v>
      </c>
      <c r="M193" s="484">
        <f t="shared" ref="M193:M206" si="11">+K193+L193</f>
        <v>9843750</v>
      </c>
      <c r="N193" s="481"/>
      <c r="O193" s="462"/>
      <c r="P193" s="482"/>
      <c r="Q193" s="491"/>
    </row>
    <row r="194" spans="2:17" ht="12.5">
      <c r="B194" s="455" t="s">
        <v>594</v>
      </c>
      <c r="C194" s="479"/>
      <c r="D194" s="457"/>
      <c r="E194" s="480" t="s">
        <v>576</v>
      </c>
      <c r="F194" s="459"/>
      <c r="G194" s="459"/>
      <c r="H194" s="459"/>
      <c r="I194" s="459"/>
      <c r="J194" s="456">
        <v>44229</v>
      </c>
      <c r="K194" s="459">
        <v>0</v>
      </c>
      <c r="L194" s="492">
        <v>4477500</v>
      </c>
      <c r="M194" s="484">
        <f t="shared" si="11"/>
        <v>4477500</v>
      </c>
      <c r="N194" s="481"/>
      <c r="O194" s="462"/>
      <c r="P194" s="482"/>
      <c r="Q194" s="491"/>
    </row>
    <row r="195" spans="2:17" ht="12.5">
      <c r="B195" s="455" t="s">
        <v>594</v>
      </c>
      <c r="C195" s="479"/>
      <c r="D195" s="457"/>
      <c r="E195" s="480" t="s">
        <v>576</v>
      </c>
      <c r="F195" s="459"/>
      <c r="G195" s="459"/>
      <c r="H195" s="459"/>
      <c r="I195" s="459"/>
      <c r="J195" s="456">
        <v>44232</v>
      </c>
      <c r="K195" s="459">
        <v>0</v>
      </c>
      <c r="L195" s="492">
        <v>3961475</v>
      </c>
      <c r="M195" s="484">
        <f t="shared" si="11"/>
        <v>3961475</v>
      </c>
      <c r="N195" s="481"/>
      <c r="O195" s="462"/>
      <c r="P195" s="482"/>
      <c r="Q195" s="491"/>
    </row>
    <row r="196" spans="2:17" ht="12.5">
      <c r="B196" s="455" t="s">
        <v>594</v>
      </c>
      <c r="C196" s="479"/>
      <c r="D196" s="457"/>
      <c r="E196" s="480" t="s">
        <v>576</v>
      </c>
      <c r="F196" s="459"/>
      <c r="G196" s="459"/>
      <c r="H196" s="459"/>
      <c r="I196" s="459"/>
      <c r="J196" s="456">
        <v>44235</v>
      </c>
      <c r="K196" s="459">
        <v>0</v>
      </c>
      <c r="L196" s="492">
        <v>12562500</v>
      </c>
      <c r="M196" s="484">
        <f t="shared" si="11"/>
        <v>12562500</v>
      </c>
      <c r="N196" s="481"/>
      <c r="O196" s="462"/>
      <c r="P196" s="482"/>
      <c r="Q196" s="491"/>
    </row>
    <row r="197" spans="2:17" ht="12.5">
      <c r="B197" s="455" t="s">
        <v>594</v>
      </c>
      <c r="C197" s="479"/>
      <c r="D197" s="457"/>
      <c r="E197" s="480" t="s">
        <v>576</v>
      </c>
      <c r="F197" s="459"/>
      <c r="G197" s="459"/>
      <c r="H197" s="459"/>
      <c r="I197" s="459"/>
      <c r="J197" s="456">
        <v>44235</v>
      </c>
      <c r="K197" s="459">
        <v>0</v>
      </c>
      <c r="L197" s="492">
        <v>1887735</v>
      </c>
      <c r="M197" s="484">
        <f t="shared" si="11"/>
        <v>1887735</v>
      </c>
      <c r="N197" s="481"/>
      <c r="O197" s="462"/>
      <c r="P197" s="482"/>
      <c r="Q197" s="491"/>
    </row>
    <row r="198" spans="2:17" ht="12.5">
      <c r="B198" s="455" t="s">
        <v>594</v>
      </c>
      <c r="C198" s="479"/>
      <c r="D198" s="457"/>
      <c r="E198" s="480" t="s">
        <v>576</v>
      </c>
      <c r="F198" s="459"/>
      <c r="G198" s="459"/>
      <c r="H198" s="459"/>
      <c r="I198" s="459"/>
      <c r="J198" s="456">
        <v>44235</v>
      </c>
      <c r="K198" s="459">
        <v>0</v>
      </c>
      <c r="L198" s="492">
        <v>2039063</v>
      </c>
      <c r="M198" s="484">
        <f t="shared" si="11"/>
        <v>2039063</v>
      </c>
      <c r="N198" s="481"/>
      <c r="O198" s="462"/>
      <c r="P198" s="482"/>
      <c r="Q198" s="491"/>
    </row>
    <row r="199" spans="2:17" ht="12.5">
      <c r="B199" s="455" t="s">
        <v>594</v>
      </c>
      <c r="C199" s="479"/>
      <c r="D199" s="457"/>
      <c r="E199" s="480" t="s">
        <v>576</v>
      </c>
      <c r="F199" s="459"/>
      <c r="G199" s="459"/>
      <c r="H199" s="459"/>
      <c r="I199" s="459"/>
      <c r="J199" s="456">
        <v>44236</v>
      </c>
      <c r="K199" s="459">
        <v>0</v>
      </c>
      <c r="L199" s="492">
        <v>5923288</v>
      </c>
      <c r="M199" s="484">
        <f t="shared" si="11"/>
        <v>5923288</v>
      </c>
      <c r="N199" s="481"/>
      <c r="O199" s="462"/>
      <c r="P199" s="482"/>
      <c r="Q199" s="491"/>
    </row>
    <row r="200" spans="2:17" ht="12.5">
      <c r="B200" s="455" t="s">
        <v>594</v>
      </c>
      <c r="C200" s="493"/>
      <c r="D200" s="493"/>
      <c r="E200" s="480" t="s">
        <v>576</v>
      </c>
      <c r="F200" s="489"/>
      <c r="G200" s="489"/>
      <c r="H200" s="489"/>
      <c r="I200" s="489"/>
      <c r="J200" s="456">
        <v>44244</v>
      </c>
      <c r="K200" s="459">
        <v>0</v>
      </c>
      <c r="L200" s="492">
        <v>9079375</v>
      </c>
      <c r="M200" s="484">
        <f t="shared" si="11"/>
        <v>9079375</v>
      </c>
      <c r="N200" s="481"/>
      <c r="O200" s="462"/>
      <c r="P200" s="482"/>
      <c r="Q200" s="491"/>
    </row>
    <row r="201" spans="2:17" ht="12.5">
      <c r="B201" s="455" t="s">
        <v>594</v>
      </c>
      <c r="C201" s="493"/>
      <c r="D201" s="493"/>
      <c r="E201" s="480" t="s">
        <v>576</v>
      </c>
      <c r="F201" s="489"/>
      <c r="G201" s="489"/>
      <c r="H201" s="489"/>
      <c r="I201" s="489"/>
      <c r="J201" s="456">
        <v>44244</v>
      </c>
      <c r="K201" s="459">
        <v>0</v>
      </c>
      <c r="L201" s="492">
        <v>1835258</v>
      </c>
      <c r="M201" s="484">
        <f t="shared" si="11"/>
        <v>1835258</v>
      </c>
      <c r="N201" s="481"/>
      <c r="O201" s="462"/>
      <c r="P201" s="482"/>
      <c r="Q201" s="491"/>
    </row>
    <row r="202" spans="2:17" ht="12.5">
      <c r="B202" s="455" t="s">
        <v>594</v>
      </c>
      <c r="C202" s="493"/>
      <c r="D202" s="493"/>
      <c r="E202" s="480" t="s">
        <v>576</v>
      </c>
      <c r="F202" s="489"/>
      <c r="G202" s="489"/>
      <c r="H202" s="489"/>
      <c r="I202" s="489"/>
      <c r="J202" s="456">
        <v>44245</v>
      </c>
      <c r="K202" s="459">
        <v>0</v>
      </c>
      <c r="L202" s="492">
        <v>4142868</v>
      </c>
      <c r="M202" s="484">
        <f t="shared" si="11"/>
        <v>4142868</v>
      </c>
      <c r="N202" s="481"/>
      <c r="O202" s="462"/>
      <c r="P202" s="482"/>
      <c r="Q202" s="491"/>
    </row>
    <row r="203" spans="2:17" ht="12.5">
      <c r="B203" s="455" t="s">
        <v>594</v>
      </c>
      <c r="C203" s="493"/>
      <c r="D203" s="493"/>
      <c r="E203" s="480" t="s">
        <v>576</v>
      </c>
      <c r="F203" s="489"/>
      <c r="G203" s="489"/>
      <c r="H203" s="489"/>
      <c r="I203" s="489"/>
      <c r="J203" s="456">
        <v>44245</v>
      </c>
      <c r="K203" s="459">
        <v>0</v>
      </c>
      <c r="L203" s="492">
        <v>1250977</v>
      </c>
      <c r="M203" s="484">
        <f t="shared" si="11"/>
        <v>1250977</v>
      </c>
      <c r="N203" s="481"/>
      <c r="O203" s="462"/>
      <c r="P203" s="482"/>
      <c r="Q203" s="491"/>
    </row>
    <row r="204" spans="2:17" ht="12.5">
      <c r="B204" s="455" t="s">
        <v>594</v>
      </c>
      <c r="C204" s="493"/>
      <c r="D204" s="493"/>
      <c r="E204" s="480" t="s">
        <v>576</v>
      </c>
      <c r="F204" s="489"/>
      <c r="G204" s="489"/>
      <c r="H204" s="489"/>
      <c r="I204" s="489"/>
      <c r="J204" s="456">
        <v>44250</v>
      </c>
      <c r="K204" s="459">
        <v>0</v>
      </c>
      <c r="L204" s="492">
        <v>12529688</v>
      </c>
      <c r="M204" s="484">
        <f t="shared" si="11"/>
        <v>12529688</v>
      </c>
      <c r="N204" s="481"/>
      <c r="O204" s="462"/>
      <c r="P204" s="482"/>
      <c r="Q204" s="491"/>
    </row>
    <row r="205" spans="2:17" ht="12.5">
      <c r="B205" s="455" t="s">
        <v>594</v>
      </c>
      <c r="C205" s="493"/>
      <c r="D205" s="493"/>
      <c r="E205" s="480" t="s">
        <v>576</v>
      </c>
      <c r="F205" s="489"/>
      <c r="G205" s="489"/>
      <c r="H205" s="489"/>
      <c r="I205" s="489"/>
      <c r="J205" s="456">
        <v>44250</v>
      </c>
      <c r="K205" s="459">
        <v>0</v>
      </c>
      <c r="L205" s="492">
        <v>834210</v>
      </c>
      <c r="M205" s="484">
        <f t="shared" si="11"/>
        <v>834210</v>
      </c>
      <c r="N205" s="481"/>
      <c r="O205" s="462"/>
      <c r="P205" s="482"/>
      <c r="Q205" s="491"/>
    </row>
    <row r="206" spans="2:17" ht="12.5">
      <c r="B206" s="455" t="s">
        <v>594</v>
      </c>
      <c r="C206" s="493"/>
      <c r="D206" s="493"/>
      <c r="E206" s="480" t="s">
        <v>576</v>
      </c>
      <c r="F206" s="489"/>
      <c r="G206" s="489"/>
      <c r="H206" s="489"/>
      <c r="I206" s="489"/>
      <c r="J206" s="456">
        <v>44253</v>
      </c>
      <c r="K206" s="459">
        <v>0</v>
      </c>
      <c r="L206" s="492">
        <v>5425000</v>
      </c>
      <c r="M206" s="484">
        <f t="shared" si="11"/>
        <v>5425000</v>
      </c>
      <c r="N206" s="481"/>
      <c r="O206" s="462"/>
      <c r="P206" s="482"/>
    </row>
    <row r="207" spans="2:17" ht="12.5">
      <c r="B207" s="766" t="s">
        <v>595</v>
      </c>
      <c r="C207" s="765"/>
      <c r="D207" s="765"/>
      <c r="E207" s="764"/>
      <c r="F207" s="763">
        <f>SUBTOTAL(9,F188:F206)</f>
        <v>1149570000</v>
      </c>
      <c r="G207" s="763">
        <f>SUBTOTAL(9,G188:G206)</f>
        <v>1148397400.1044753</v>
      </c>
      <c r="H207" s="763">
        <f>SUBTOTAL(9,H188:H206)</f>
        <v>1172599.895524852</v>
      </c>
      <c r="I207" s="763">
        <f>SUBTOTAL(9,I188:I206)</f>
        <v>1149570000</v>
      </c>
      <c r="J207" s="763"/>
      <c r="K207" s="763">
        <f>SUBTOTAL(9,K188:K206)</f>
        <v>0</v>
      </c>
      <c r="L207" s="763">
        <f>SUBTOTAL(9,L188:L206)</f>
        <v>75792687</v>
      </c>
      <c r="M207" s="763">
        <f>SUBTOTAL(9,M188:M206)</f>
        <v>75792687</v>
      </c>
      <c r="N207" s="762">
        <f>+G207-K207</f>
        <v>1148397400.1044753</v>
      </c>
      <c r="O207" s="762"/>
      <c r="P207" s="762">
        <f>+N207-O207</f>
        <v>1148397400.1044753</v>
      </c>
    </row>
    <row r="208" spans="2:17">
      <c r="B208" s="455" t="s">
        <v>575</v>
      </c>
      <c r="C208" s="456">
        <v>44257</v>
      </c>
      <c r="D208" s="457">
        <v>720</v>
      </c>
      <c r="E208" s="458" t="s">
        <v>576</v>
      </c>
      <c r="F208" s="459">
        <f t="shared" ref="F208:F228" si="12">SUBTOTAL(9,G208:H208)</f>
        <v>95000000</v>
      </c>
      <c r="G208" s="459">
        <v>95000000</v>
      </c>
      <c r="H208" s="459">
        <v>0</v>
      </c>
      <c r="I208" s="459">
        <f t="shared" ref="I208:I228" si="13">+G208+H208</f>
        <v>95000000</v>
      </c>
      <c r="J208" s="460"/>
      <c r="K208" s="459"/>
      <c r="L208" s="459"/>
      <c r="M208" s="459"/>
      <c r="N208" s="461"/>
      <c r="O208" s="462"/>
      <c r="P208" s="462"/>
    </row>
    <row r="209" spans="2:16">
      <c r="B209" s="455" t="s">
        <v>578</v>
      </c>
      <c r="C209" s="456">
        <v>44257</v>
      </c>
      <c r="D209" s="457">
        <v>720</v>
      </c>
      <c r="E209" s="458" t="s">
        <v>576</v>
      </c>
      <c r="F209" s="459">
        <f t="shared" si="12"/>
        <v>285000000</v>
      </c>
      <c r="G209" s="459">
        <v>285000000</v>
      </c>
      <c r="H209" s="459">
        <v>0</v>
      </c>
      <c r="I209" s="459">
        <f t="shared" si="13"/>
        <v>285000000</v>
      </c>
      <c r="J209" s="460"/>
      <c r="K209" s="459"/>
      <c r="L209" s="459"/>
      <c r="M209" s="459"/>
      <c r="N209" s="461"/>
      <c r="O209" s="462"/>
      <c r="P209" s="462"/>
    </row>
    <row r="210" spans="2:16">
      <c r="B210" s="455" t="s">
        <v>582</v>
      </c>
      <c r="C210" s="456">
        <v>44257</v>
      </c>
      <c r="D210" s="457">
        <v>720</v>
      </c>
      <c r="E210" s="458" t="s">
        <v>576</v>
      </c>
      <c r="F210" s="459">
        <f t="shared" si="12"/>
        <v>11200000</v>
      </c>
      <c r="G210" s="459">
        <v>11200000</v>
      </c>
      <c r="H210" s="459">
        <v>0</v>
      </c>
      <c r="I210" s="459">
        <f t="shared" si="13"/>
        <v>11200000</v>
      </c>
      <c r="J210" s="460"/>
      <c r="K210" s="459"/>
      <c r="L210" s="459"/>
      <c r="M210" s="459"/>
      <c r="N210" s="461"/>
      <c r="O210" s="462"/>
      <c r="P210" s="462"/>
    </row>
    <row r="211" spans="2:16">
      <c r="B211" s="455" t="s">
        <v>587</v>
      </c>
      <c r="C211" s="456">
        <v>44257</v>
      </c>
      <c r="D211" s="457">
        <v>720</v>
      </c>
      <c r="E211" s="458" t="s">
        <v>576</v>
      </c>
      <c r="F211" s="459">
        <f t="shared" si="12"/>
        <v>500000</v>
      </c>
      <c r="G211" s="459">
        <v>500000</v>
      </c>
      <c r="H211" s="459">
        <v>0</v>
      </c>
      <c r="I211" s="459">
        <f t="shared" si="13"/>
        <v>500000</v>
      </c>
      <c r="J211" s="460"/>
      <c r="K211" s="459"/>
      <c r="L211" s="459"/>
      <c r="M211" s="459"/>
      <c r="N211" s="461"/>
      <c r="O211" s="462"/>
      <c r="P211" s="462"/>
    </row>
    <row r="212" spans="2:16">
      <c r="B212" s="455" t="s">
        <v>583</v>
      </c>
      <c r="C212" s="456">
        <v>44257</v>
      </c>
      <c r="D212" s="457">
        <v>720</v>
      </c>
      <c r="E212" s="458" t="s">
        <v>576</v>
      </c>
      <c r="F212" s="459">
        <f t="shared" si="12"/>
        <v>10000000</v>
      </c>
      <c r="G212" s="459">
        <v>10000000</v>
      </c>
      <c r="H212" s="459">
        <v>0</v>
      </c>
      <c r="I212" s="459">
        <f t="shared" si="13"/>
        <v>10000000</v>
      </c>
      <c r="J212" s="460"/>
      <c r="K212" s="459"/>
      <c r="L212" s="459"/>
      <c r="M212" s="459"/>
      <c r="N212" s="461"/>
      <c r="O212" s="462"/>
      <c r="P212" s="462"/>
    </row>
    <row r="213" spans="2:16">
      <c r="B213" s="455" t="s">
        <v>577</v>
      </c>
      <c r="C213" s="456">
        <v>44260</v>
      </c>
      <c r="D213" s="457">
        <v>90</v>
      </c>
      <c r="E213" s="458" t="s">
        <v>579</v>
      </c>
      <c r="F213" s="459">
        <f t="shared" si="12"/>
        <v>60000000</v>
      </c>
      <c r="G213" s="459">
        <v>59850374.06483791</v>
      </c>
      <c r="H213" s="459">
        <v>149625.93516208977</v>
      </c>
      <c r="I213" s="459">
        <f t="shared" si="13"/>
        <v>60000000</v>
      </c>
      <c r="J213" s="460"/>
      <c r="K213" s="459"/>
      <c r="L213" s="459"/>
      <c r="M213" s="459"/>
      <c r="N213" s="461"/>
      <c r="O213" s="462"/>
      <c r="P213" s="462"/>
    </row>
    <row r="214" spans="2:16">
      <c r="B214" s="455" t="s">
        <v>581</v>
      </c>
      <c r="C214" s="456">
        <v>44260</v>
      </c>
      <c r="D214" s="457">
        <v>90</v>
      </c>
      <c r="E214" s="458" t="s">
        <v>579</v>
      </c>
      <c r="F214" s="459">
        <f t="shared" si="12"/>
        <v>60000000</v>
      </c>
      <c r="G214" s="459">
        <v>59850374.06483791</v>
      </c>
      <c r="H214" s="459">
        <v>149625.93516208977</v>
      </c>
      <c r="I214" s="459">
        <f t="shared" si="13"/>
        <v>60000000</v>
      </c>
      <c r="J214" s="460"/>
      <c r="K214" s="459"/>
      <c r="L214" s="459"/>
      <c r="M214" s="459"/>
      <c r="N214" s="461"/>
      <c r="O214" s="462"/>
      <c r="P214" s="462"/>
    </row>
    <row r="215" spans="2:16">
      <c r="B215" s="455" t="s">
        <v>580</v>
      </c>
      <c r="C215" s="456">
        <v>44260</v>
      </c>
      <c r="D215" s="457">
        <v>90</v>
      </c>
      <c r="E215" s="458" t="s">
        <v>579</v>
      </c>
      <c r="F215" s="459">
        <f t="shared" si="12"/>
        <v>60000000</v>
      </c>
      <c r="G215" s="459">
        <v>59850374.06483791</v>
      </c>
      <c r="H215" s="459">
        <v>149625.93516208977</v>
      </c>
      <c r="I215" s="459">
        <f t="shared" si="13"/>
        <v>60000000</v>
      </c>
      <c r="J215" s="460"/>
      <c r="K215" s="459"/>
      <c r="L215" s="459"/>
      <c r="M215" s="459"/>
      <c r="N215" s="461"/>
      <c r="O215" s="462"/>
      <c r="P215" s="462"/>
    </row>
    <row r="216" spans="2:16">
      <c r="B216" s="455" t="s">
        <v>578</v>
      </c>
      <c r="C216" s="456">
        <v>44260</v>
      </c>
      <c r="D216" s="457">
        <v>90</v>
      </c>
      <c r="E216" s="458" t="s">
        <v>579</v>
      </c>
      <c r="F216" s="459">
        <f t="shared" si="12"/>
        <v>60000000</v>
      </c>
      <c r="G216" s="459">
        <v>59850374.06483791</v>
      </c>
      <c r="H216" s="459">
        <v>149625.93516208977</v>
      </c>
      <c r="I216" s="459">
        <f t="shared" si="13"/>
        <v>60000000</v>
      </c>
      <c r="J216" s="460"/>
      <c r="K216" s="459"/>
      <c r="L216" s="459"/>
      <c r="M216" s="459"/>
      <c r="N216" s="461"/>
      <c r="O216" s="462"/>
      <c r="P216" s="462"/>
    </row>
    <row r="217" spans="2:16">
      <c r="B217" s="455" t="s">
        <v>578</v>
      </c>
      <c r="C217" s="456">
        <v>44264</v>
      </c>
      <c r="D217" s="457">
        <v>1440</v>
      </c>
      <c r="E217" s="458" t="s">
        <v>576</v>
      </c>
      <c r="F217" s="459">
        <f t="shared" si="12"/>
        <v>148018000</v>
      </c>
      <c r="G217" s="459">
        <v>148018000</v>
      </c>
      <c r="H217" s="459">
        <v>0</v>
      </c>
      <c r="I217" s="459">
        <f t="shared" si="13"/>
        <v>148018000</v>
      </c>
      <c r="J217" s="460"/>
      <c r="K217" s="459"/>
      <c r="L217" s="459"/>
      <c r="M217" s="459"/>
      <c r="N217" s="461"/>
      <c r="O217" s="462"/>
      <c r="P217" s="462"/>
    </row>
    <row r="218" spans="2:16">
      <c r="B218" s="455" t="s">
        <v>580</v>
      </c>
      <c r="C218" s="456">
        <v>44264</v>
      </c>
      <c r="D218" s="457">
        <v>1440</v>
      </c>
      <c r="E218" s="458" t="s">
        <v>576</v>
      </c>
      <c r="F218" s="459">
        <f t="shared" si="12"/>
        <v>82231000</v>
      </c>
      <c r="G218" s="459">
        <v>82231000</v>
      </c>
      <c r="H218" s="459">
        <v>0</v>
      </c>
      <c r="I218" s="459">
        <f t="shared" si="13"/>
        <v>82231000</v>
      </c>
      <c r="J218" s="460"/>
      <c r="K218" s="459"/>
      <c r="L218" s="459"/>
      <c r="M218" s="459"/>
      <c r="N218" s="461"/>
      <c r="O218" s="462"/>
      <c r="P218" s="462"/>
    </row>
    <row r="219" spans="2:16">
      <c r="B219" s="455" t="s">
        <v>577</v>
      </c>
      <c r="C219" s="456">
        <v>44264</v>
      </c>
      <c r="D219" s="457">
        <v>1440</v>
      </c>
      <c r="E219" s="458" t="s">
        <v>576</v>
      </c>
      <c r="F219" s="459">
        <f t="shared" si="12"/>
        <v>109642000</v>
      </c>
      <c r="G219" s="459">
        <v>109642000</v>
      </c>
      <c r="H219" s="459">
        <v>0</v>
      </c>
      <c r="I219" s="459">
        <f t="shared" si="13"/>
        <v>109642000</v>
      </c>
      <c r="J219" s="460"/>
      <c r="K219" s="459"/>
      <c r="L219" s="459"/>
      <c r="M219" s="459"/>
      <c r="N219" s="461"/>
      <c r="O219" s="462"/>
      <c r="P219" s="462"/>
    </row>
    <row r="220" spans="2:16">
      <c r="B220" s="455" t="s">
        <v>585</v>
      </c>
      <c r="C220" s="456">
        <v>44264</v>
      </c>
      <c r="D220" s="457">
        <v>1440</v>
      </c>
      <c r="E220" s="458" t="s">
        <v>576</v>
      </c>
      <c r="F220" s="459">
        <f t="shared" si="12"/>
        <v>109000</v>
      </c>
      <c r="G220" s="459">
        <v>109000</v>
      </c>
      <c r="H220" s="459">
        <v>0</v>
      </c>
      <c r="I220" s="459">
        <f t="shared" si="13"/>
        <v>109000</v>
      </c>
      <c r="J220" s="460"/>
      <c r="K220" s="459"/>
      <c r="L220" s="459"/>
      <c r="M220" s="459"/>
      <c r="N220" s="461"/>
      <c r="O220" s="462"/>
      <c r="P220" s="462"/>
    </row>
    <row r="221" spans="2:16">
      <c r="B221" s="455" t="s">
        <v>578</v>
      </c>
      <c r="C221" s="456">
        <v>44267</v>
      </c>
      <c r="D221" s="457">
        <v>270</v>
      </c>
      <c r="E221" s="458" t="s">
        <v>579</v>
      </c>
      <c r="F221" s="459">
        <f t="shared" si="12"/>
        <v>87500000</v>
      </c>
      <c r="G221" s="459">
        <v>86848635.235732004</v>
      </c>
      <c r="H221" s="459">
        <v>651364.76426799595</v>
      </c>
      <c r="I221" s="459">
        <f t="shared" si="13"/>
        <v>87500000</v>
      </c>
      <c r="J221" s="460"/>
      <c r="K221" s="459"/>
      <c r="L221" s="459"/>
      <c r="M221" s="459"/>
      <c r="N221" s="461"/>
      <c r="O221" s="462"/>
      <c r="P221" s="462"/>
    </row>
    <row r="222" spans="2:16">
      <c r="B222" s="455" t="s">
        <v>580</v>
      </c>
      <c r="C222" s="456">
        <v>44267</v>
      </c>
      <c r="D222" s="457">
        <v>270</v>
      </c>
      <c r="E222" s="458" t="s">
        <v>579</v>
      </c>
      <c r="F222" s="459">
        <f t="shared" si="12"/>
        <v>87500000</v>
      </c>
      <c r="G222" s="459">
        <v>86848635.235732004</v>
      </c>
      <c r="H222" s="459">
        <v>651364.76426799595</v>
      </c>
      <c r="I222" s="459">
        <f t="shared" si="13"/>
        <v>87500000</v>
      </c>
      <c r="J222" s="460"/>
      <c r="K222" s="459"/>
      <c r="L222" s="459"/>
      <c r="M222" s="459"/>
      <c r="N222" s="461"/>
      <c r="O222" s="462"/>
      <c r="P222" s="462"/>
    </row>
    <row r="223" spans="2:16">
      <c r="B223" s="455" t="s">
        <v>575</v>
      </c>
      <c r="C223" s="456">
        <v>44267</v>
      </c>
      <c r="D223" s="457">
        <v>270</v>
      </c>
      <c r="E223" s="458" t="s">
        <v>579</v>
      </c>
      <c r="F223" s="459">
        <f t="shared" si="12"/>
        <v>87500000</v>
      </c>
      <c r="G223" s="459">
        <v>86848635.235732004</v>
      </c>
      <c r="H223" s="459">
        <v>651364.76426799595</v>
      </c>
      <c r="I223" s="459">
        <f t="shared" si="13"/>
        <v>87500000</v>
      </c>
      <c r="J223" s="460"/>
      <c r="K223" s="459"/>
      <c r="L223" s="459"/>
      <c r="M223" s="459"/>
      <c r="N223" s="461"/>
      <c r="O223" s="462"/>
      <c r="P223" s="462"/>
    </row>
    <row r="224" spans="2:16">
      <c r="B224" s="455" t="s">
        <v>578</v>
      </c>
      <c r="C224" s="456">
        <v>44271</v>
      </c>
      <c r="D224" s="457">
        <v>1800</v>
      </c>
      <c r="E224" s="458" t="s">
        <v>576</v>
      </c>
      <c r="F224" s="459">
        <f t="shared" si="12"/>
        <v>150003000</v>
      </c>
      <c r="G224" s="459">
        <v>150003000</v>
      </c>
      <c r="H224" s="459">
        <v>0</v>
      </c>
      <c r="I224" s="459">
        <f t="shared" si="13"/>
        <v>150003000</v>
      </c>
      <c r="J224" s="460"/>
      <c r="K224" s="459"/>
      <c r="L224" s="459"/>
      <c r="M224" s="459"/>
      <c r="N224" s="461"/>
      <c r="O224" s="462"/>
      <c r="P224" s="462"/>
    </row>
    <row r="225" spans="2:16">
      <c r="B225" s="455" t="s">
        <v>575</v>
      </c>
      <c r="C225" s="456">
        <v>44271</v>
      </c>
      <c r="D225" s="457">
        <v>1800</v>
      </c>
      <c r="E225" s="458" t="s">
        <v>576</v>
      </c>
      <c r="F225" s="459">
        <f t="shared" si="12"/>
        <v>79999000</v>
      </c>
      <c r="G225" s="459">
        <v>79999000</v>
      </c>
      <c r="H225" s="459">
        <v>0</v>
      </c>
      <c r="I225" s="459">
        <f t="shared" si="13"/>
        <v>79999000</v>
      </c>
      <c r="J225" s="460"/>
      <c r="K225" s="459"/>
      <c r="L225" s="459"/>
      <c r="M225" s="459"/>
      <c r="N225" s="461"/>
      <c r="O225" s="462"/>
      <c r="P225" s="462"/>
    </row>
    <row r="226" spans="2:16">
      <c r="B226" s="455" t="s">
        <v>577</v>
      </c>
      <c r="C226" s="456">
        <v>44271</v>
      </c>
      <c r="D226" s="457">
        <v>1800</v>
      </c>
      <c r="E226" s="458" t="s">
        <v>576</v>
      </c>
      <c r="F226" s="459">
        <f t="shared" si="12"/>
        <v>74999000</v>
      </c>
      <c r="G226" s="459">
        <v>74999000</v>
      </c>
      <c r="H226" s="459">
        <v>0</v>
      </c>
      <c r="I226" s="459">
        <f t="shared" si="13"/>
        <v>74999000</v>
      </c>
      <c r="J226" s="460"/>
      <c r="K226" s="459"/>
      <c r="L226" s="459"/>
      <c r="M226" s="459"/>
      <c r="N226" s="461"/>
      <c r="O226" s="462"/>
      <c r="P226" s="462"/>
    </row>
    <row r="227" spans="2:16">
      <c r="B227" s="455" t="s">
        <v>580</v>
      </c>
      <c r="C227" s="456">
        <v>44271</v>
      </c>
      <c r="D227" s="457">
        <v>1800</v>
      </c>
      <c r="E227" s="458" t="s">
        <v>576</v>
      </c>
      <c r="F227" s="459">
        <f t="shared" si="12"/>
        <v>84999000</v>
      </c>
      <c r="G227" s="459">
        <v>84999000</v>
      </c>
      <c r="H227" s="459">
        <v>0</v>
      </c>
      <c r="I227" s="459">
        <f t="shared" si="13"/>
        <v>84999000</v>
      </c>
      <c r="J227" s="460"/>
      <c r="K227" s="459"/>
      <c r="L227" s="459"/>
      <c r="M227" s="459"/>
      <c r="N227" s="461"/>
      <c r="O227" s="462"/>
      <c r="P227" s="462"/>
    </row>
    <row r="228" spans="2:16">
      <c r="B228" s="455" t="s">
        <v>575</v>
      </c>
      <c r="C228" s="456">
        <v>44274</v>
      </c>
      <c r="D228" s="457">
        <v>2520</v>
      </c>
      <c r="E228" s="458" t="s">
        <v>576</v>
      </c>
      <c r="F228" s="459">
        <f t="shared" si="12"/>
        <v>123529000</v>
      </c>
      <c r="G228" s="459">
        <v>123529000</v>
      </c>
      <c r="H228" s="459">
        <v>0</v>
      </c>
      <c r="I228" s="459">
        <f t="shared" si="13"/>
        <v>123529000</v>
      </c>
      <c r="J228" s="460"/>
      <c r="K228" s="459"/>
      <c r="L228" s="459"/>
      <c r="M228" s="459"/>
      <c r="N228" s="461"/>
      <c r="O228" s="462"/>
      <c r="P228" s="462"/>
    </row>
    <row r="229" spans="2:16">
      <c r="B229" s="455" t="s">
        <v>582</v>
      </c>
      <c r="C229" s="460"/>
      <c r="D229" s="460"/>
      <c r="E229" s="458" t="s">
        <v>576</v>
      </c>
      <c r="F229" s="459"/>
      <c r="G229" s="460"/>
      <c r="H229" s="460"/>
      <c r="I229" s="460"/>
      <c r="J229" s="456">
        <v>44258</v>
      </c>
      <c r="K229" s="459">
        <v>0</v>
      </c>
      <c r="L229" s="459">
        <v>63250</v>
      </c>
      <c r="M229" s="459">
        <f t="shared" ref="M229:M260" si="14">+K229+L229</f>
        <v>63250</v>
      </c>
      <c r="N229" s="461"/>
      <c r="O229" s="462"/>
      <c r="P229" s="462"/>
    </row>
    <row r="230" spans="2:16">
      <c r="B230" s="455" t="s">
        <v>577</v>
      </c>
      <c r="C230" s="460"/>
      <c r="D230" s="460"/>
      <c r="E230" s="458" t="s">
        <v>576</v>
      </c>
      <c r="F230" s="459"/>
      <c r="G230" s="460"/>
      <c r="H230" s="460"/>
      <c r="I230" s="460"/>
      <c r="J230" s="456">
        <v>44258</v>
      </c>
      <c r="K230" s="459">
        <v>0</v>
      </c>
      <c r="L230" s="459">
        <v>1179200</v>
      </c>
      <c r="M230" s="459">
        <f t="shared" si="14"/>
        <v>1179200</v>
      </c>
      <c r="N230" s="461"/>
      <c r="O230" s="462"/>
      <c r="P230" s="462"/>
    </row>
    <row r="231" spans="2:16">
      <c r="B231" s="455" t="s">
        <v>582</v>
      </c>
      <c r="C231" s="460"/>
      <c r="D231" s="460"/>
      <c r="E231" s="458" t="s">
        <v>576</v>
      </c>
      <c r="F231" s="459"/>
      <c r="G231" s="460"/>
      <c r="H231" s="460"/>
      <c r="I231" s="460"/>
      <c r="J231" s="456">
        <v>44258</v>
      </c>
      <c r="K231" s="459">
        <v>0</v>
      </c>
      <c r="L231" s="459">
        <v>4375</v>
      </c>
      <c r="M231" s="459">
        <f t="shared" si="14"/>
        <v>4375</v>
      </c>
      <c r="N231" s="461"/>
      <c r="O231" s="462"/>
      <c r="P231" s="462"/>
    </row>
    <row r="232" spans="2:16">
      <c r="B232" s="455" t="s">
        <v>575</v>
      </c>
      <c r="C232" s="460"/>
      <c r="D232" s="460"/>
      <c r="E232" s="458" t="s">
        <v>576</v>
      </c>
      <c r="F232" s="459"/>
      <c r="G232" s="460"/>
      <c r="H232" s="460"/>
      <c r="I232" s="460"/>
      <c r="J232" s="456">
        <v>44258</v>
      </c>
      <c r="K232" s="459">
        <v>0</v>
      </c>
      <c r="L232" s="459">
        <v>845818</v>
      </c>
      <c r="M232" s="459">
        <f t="shared" si="14"/>
        <v>845818</v>
      </c>
      <c r="N232" s="461"/>
      <c r="O232" s="462"/>
      <c r="P232" s="462"/>
    </row>
    <row r="233" spans="2:16">
      <c r="B233" s="455" t="s">
        <v>585</v>
      </c>
      <c r="C233" s="460"/>
      <c r="D233" s="460"/>
      <c r="E233" s="458" t="s">
        <v>576</v>
      </c>
      <c r="F233" s="459"/>
      <c r="G233" s="460"/>
      <c r="H233" s="460"/>
      <c r="I233" s="460"/>
      <c r="J233" s="456">
        <v>44258</v>
      </c>
      <c r="K233" s="459">
        <v>0</v>
      </c>
      <c r="L233" s="459">
        <v>4082750</v>
      </c>
      <c r="M233" s="459">
        <f t="shared" si="14"/>
        <v>4082750</v>
      </c>
      <c r="N233" s="461"/>
      <c r="O233" s="462"/>
      <c r="P233" s="462"/>
    </row>
    <row r="234" spans="2:16">
      <c r="B234" s="455" t="s">
        <v>586</v>
      </c>
      <c r="C234" s="460"/>
      <c r="D234" s="460"/>
      <c r="E234" s="458" t="s">
        <v>576</v>
      </c>
      <c r="F234" s="459"/>
      <c r="G234" s="460"/>
      <c r="H234" s="460"/>
      <c r="I234" s="460"/>
      <c r="J234" s="456">
        <v>44258</v>
      </c>
      <c r="K234" s="459">
        <v>0</v>
      </c>
      <c r="L234" s="459">
        <v>4375</v>
      </c>
      <c r="M234" s="459">
        <f t="shared" si="14"/>
        <v>4375</v>
      </c>
      <c r="N234" s="461"/>
      <c r="O234" s="462"/>
      <c r="P234" s="462"/>
    </row>
    <row r="235" spans="2:16">
      <c r="B235" s="455" t="s">
        <v>577</v>
      </c>
      <c r="C235" s="460"/>
      <c r="D235" s="460"/>
      <c r="E235" s="458" t="s">
        <v>576</v>
      </c>
      <c r="F235" s="459"/>
      <c r="G235" s="460"/>
      <c r="H235" s="460"/>
      <c r="I235" s="460"/>
      <c r="J235" s="456">
        <v>44258</v>
      </c>
      <c r="K235" s="459">
        <v>0</v>
      </c>
      <c r="L235" s="459">
        <v>2686000</v>
      </c>
      <c r="M235" s="459">
        <f t="shared" si="14"/>
        <v>2686000</v>
      </c>
      <c r="N235" s="461"/>
      <c r="O235" s="462"/>
      <c r="P235" s="462"/>
    </row>
    <row r="236" spans="2:16">
      <c r="B236" s="455" t="s">
        <v>583</v>
      </c>
      <c r="C236" s="460"/>
      <c r="D236" s="460"/>
      <c r="E236" s="458" t="s">
        <v>576</v>
      </c>
      <c r="F236" s="459"/>
      <c r="G236" s="460"/>
      <c r="H236" s="460"/>
      <c r="I236" s="460"/>
      <c r="J236" s="456">
        <v>44258</v>
      </c>
      <c r="K236" s="459">
        <v>0</v>
      </c>
      <c r="L236" s="459">
        <v>178125</v>
      </c>
      <c r="M236" s="459">
        <f t="shared" si="14"/>
        <v>178125</v>
      </c>
      <c r="N236" s="461"/>
      <c r="O236" s="462"/>
      <c r="P236" s="462"/>
    </row>
    <row r="237" spans="2:16">
      <c r="B237" s="455" t="s">
        <v>582</v>
      </c>
      <c r="C237" s="460"/>
      <c r="D237" s="460"/>
      <c r="E237" s="458" t="s">
        <v>576</v>
      </c>
      <c r="F237" s="459"/>
      <c r="G237" s="460"/>
      <c r="H237" s="460"/>
      <c r="I237" s="460"/>
      <c r="J237" s="456">
        <v>44258</v>
      </c>
      <c r="K237" s="459">
        <v>0</v>
      </c>
      <c r="L237" s="459">
        <v>195938</v>
      </c>
      <c r="M237" s="459">
        <f t="shared" si="14"/>
        <v>195938</v>
      </c>
      <c r="N237" s="461"/>
      <c r="O237" s="462"/>
      <c r="P237" s="462"/>
    </row>
    <row r="238" spans="2:16">
      <c r="B238" s="455" t="s">
        <v>584</v>
      </c>
      <c r="C238" s="460"/>
      <c r="D238" s="460"/>
      <c r="E238" s="458" t="s">
        <v>576</v>
      </c>
      <c r="F238" s="459"/>
      <c r="G238" s="460"/>
      <c r="H238" s="460"/>
      <c r="I238" s="460"/>
      <c r="J238" s="456">
        <v>44258</v>
      </c>
      <c r="K238" s="459">
        <v>0</v>
      </c>
      <c r="L238" s="459">
        <v>5104165</v>
      </c>
      <c r="M238" s="459">
        <f t="shared" si="14"/>
        <v>5104165</v>
      </c>
      <c r="N238" s="461"/>
      <c r="O238" s="462"/>
      <c r="P238" s="462"/>
    </row>
    <row r="239" spans="2:16">
      <c r="B239" s="455" t="s">
        <v>575</v>
      </c>
      <c r="C239" s="460"/>
      <c r="D239" s="460"/>
      <c r="E239" s="458" t="s">
        <v>576</v>
      </c>
      <c r="F239" s="459"/>
      <c r="G239" s="460"/>
      <c r="H239" s="460"/>
      <c r="I239" s="460"/>
      <c r="J239" s="456">
        <v>44259</v>
      </c>
      <c r="K239" s="459">
        <v>0</v>
      </c>
      <c r="L239" s="459">
        <v>13812500</v>
      </c>
      <c r="M239" s="459">
        <f t="shared" si="14"/>
        <v>13812500</v>
      </c>
      <c r="N239" s="461"/>
      <c r="O239" s="462"/>
      <c r="P239" s="462"/>
    </row>
    <row r="240" spans="2:16">
      <c r="B240" s="455" t="s">
        <v>586</v>
      </c>
      <c r="C240" s="460"/>
      <c r="D240" s="460"/>
      <c r="E240" s="458" t="s">
        <v>576</v>
      </c>
      <c r="F240" s="459"/>
      <c r="G240" s="460"/>
      <c r="H240" s="460"/>
      <c r="I240" s="460"/>
      <c r="J240" s="456">
        <v>44260</v>
      </c>
      <c r="K240" s="459">
        <v>0</v>
      </c>
      <c r="L240" s="459">
        <v>96875</v>
      </c>
      <c r="M240" s="459">
        <f t="shared" si="14"/>
        <v>96875</v>
      </c>
      <c r="N240" s="461"/>
      <c r="O240" s="462"/>
      <c r="P240" s="462"/>
    </row>
    <row r="241" spans="2:16">
      <c r="B241" s="455" t="s">
        <v>580</v>
      </c>
      <c r="C241" s="460"/>
      <c r="D241" s="460"/>
      <c r="E241" s="458" t="s">
        <v>576</v>
      </c>
      <c r="F241" s="459"/>
      <c r="G241" s="460"/>
      <c r="H241" s="460"/>
      <c r="I241" s="460"/>
      <c r="J241" s="456">
        <v>44260</v>
      </c>
      <c r="K241" s="459">
        <v>0</v>
      </c>
      <c r="L241" s="459">
        <v>2297236</v>
      </c>
      <c r="M241" s="459">
        <f t="shared" si="14"/>
        <v>2297236</v>
      </c>
      <c r="N241" s="461"/>
      <c r="O241" s="462"/>
      <c r="P241" s="462"/>
    </row>
    <row r="242" spans="2:16">
      <c r="B242" s="455" t="s">
        <v>575</v>
      </c>
      <c r="C242" s="460"/>
      <c r="D242" s="460"/>
      <c r="E242" s="458" t="s">
        <v>576</v>
      </c>
      <c r="F242" s="459"/>
      <c r="G242" s="460"/>
      <c r="H242" s="460"/>
      <c r="I242" s="460"/>
      <c r="J242" s="456">
        <v>44260</v>
      </c>
      <c r="K242" s="459">
        <v>0</v>
      </c>
      <c r="L242" s="459">
        <v>2297294</v>
      </c>
      <c r="M242" s="459">
        <f t="shared" si="14"/>
        <v>2297294</v>
      </c>
      <c r="N242" s="461"/>
      <c r="O242" s="462"/>
      <c r="P242" s="462"/>
    </row>
    <row r="243" spans="2:16">
      <c r="B243" s="455" t="s">
        <v>597</v>
      </c>
      <c r="C243" s="460"/>
      <c r="D243" s="460"/>
      <c r="E243" s="458" t="s">
        <v>576</v>
      </c>
      <c r="F243" s="459"/>
      <c r="G243" s="460"/>
      <c r="H243" s="460"/>
      <c r="I243" s="460"/>
      <c r="J243" s="456">
        <v>44260</v>
      </c>
      <c r="K243" s="459">
        <v>0</v>
      </c>
      <c r="L243" s="459">
        <v>703235</v>
      </c>
      <c r="M243" s="459">
        <f t="shared" si="14"/>
        <v>703235</v>
      </c>
      <c r="N243" s="461"/>
      <c r="O243" s="462"/>
      <c r="P243" s="462"/>
    </row>
    <row r="244" spans="2:16">
      <c r="B244" s="455" t="s">
        <v>575</v>
      </c>
      <c r="C244" s="460"/>
      <c r="D244" s="460"/>
      <c r="E244" s="458" t="s">
        <v>576</v>
      </c>
      <c r="F244" s="459"/>
      <c r="G244" s="460"/>
      <c r="H244" s="460"/>
      <c r="I244" s="460"/>
      <c r="J244" s="456">
        <v>44263</v>
      </c>
      <c r="K244" s="459">
        <v>0</v>
      </c>
      <c r="L244" s="459">
        <v>1582989</v>
      </c>
      <c r="M244" s="459">
        <f t="shared" si="14"/>
        <v>1582989</v>
      </c>
      <c r="N244" s="461"/>
      <c r="O244" s="462"/>
      <c r="P244" s="462"/>
    </row>
    <row r="245" spans="2:16">
      <c r="B245" s="455" t="s">
        <v>580</v>
      </c>
      <c r="C245" s="460"/>
      <c r="D245" s="460"/>
      <c r="E245" s="458" t="s">
        <v>576</v>
      </c>
      <c r="F245" s="459"/>
      <c r="G245" s="460"/>
      <c r="H245" s="460"/>
      <c r="I245" s="460"/>
      <c r="J245" s="456">
        <v>44263</v>
      </c>
      <c r="K245" s="459">
        <v>0</v>
      </c>
      <c r="L245" s="459">
        <v>2627821</v>
      </c>
      <c r="M245" s="459">
        <f t="shared" si="14"/>
        <v>2627821</v>
      </c>
      <c r="N245" s="461"/>
      <c r="O245" s="462"/>
      <c r="P245" s="462"/>
    </row>
    <row r="246" spans="2:16">
      <c r="B246" s="455" t="s">
        <v>583</v>
      </c>
      <c r="C246" s="460"/>
      <c r="D246" s="460"/>
      <c r="E246" s="458" t="s">
        <v>576</v>
      </c>
      <c r="F246" s="459"/>
      <c r="G246" s="460"/>
      <c r="H246" s="460"/>
      <c r="I246" s="460"/>
      <c r="J246" s="456">
        <v>44263</v>
      </c>
      <c r="K246" s="459">
        <v>0</v>
      </c>
      <c r="L246" s="459">
        <v>4438</v>
      </c>
      <c r="M246" s="459">
        <f t="shared" si="14"/>
        <v>4438</v>
      </c>
      <c r="N246" s="461"/>
      <c r="O246" s="462"/>
      <c r="P246" s="462"/>
    </row>
    <row r="247" spans="2:16">
      <c r="B247" s="455" t="s">
        <v>575</v>
      </c>
      <c r="C247" s="460"/>
      <c r="D247" s="460"/>
      <c r="E247" s="458" t="s">
        <v>576</v>
      </c>
      <c r="F247" s="459"/>
      <c r="G247" s="460"/>
      <c r="H247" s="460"/>
      <c r="I247" s="460"/>
      <c r="J247" s="456">
        <v>44263</v>
      </c>
      <c r="K247" s="459">
        <v>0</v>
      </c>
      <c r="L247" s="459">
        <v>4556152</v>
      </c>
      <c r="M247" s="459">
        <f t="shared" si="14"/>
        <v>4556152</v>
      </c>
      <c r="N247" s="461"/>
      <c r="O247" s="462"/>
      <c r="P247" s="462"/>
    </row>
    <row r="248" spans="2:16">
      <c r="B248" s="455" t="s">
        <v>580</v>
      </c>
      <c r="C248" s="460"/>
      <c r="D248" s="460"/>
      <c r="E248" s="458" t="s">
        <v>576</v>
      </c>
      <c r="F248" s="459"/>
      <c r="G248" s="460"/>
      <c r="H248" s="460"/>
      <c r="I248" s="460"/>
      <c r="J248" s="456">
        <v>44263</v>
      </c>
      <c r="K248" s="459">
        <v>0</v>
      </c>
      <c r="L248" s="459">
        <v>920138</v>
      </c>
      <c r="M248" s="459">
        <f t="shared" si="14"/>
        <v>920138</v>
      </c>
      <c r="N248" s="461"/>
      <c r="O248" s="462"/>
      <c r="P248" s="462"/>
    </row>
    <row r="249" spans="2:16">
      <c r="B249" s="455" t="s">
        <v>580</v>
      </c>
      <c r="C249" s="460"/>
      <c r="D249" s="460"/>
      <c r="E249" s="458" t="s">
        <v>576</v>
      </c>
      <c r="F249" s="459"/>
      <c r="G249" s="460"/>
      <c r="H249" s="460"/>
      <c r="I249" s="460"/>
      <c r="J249" s="456">
        <v>44263</v>
      </c>
      <c r="K249" s="459">
        <v>0</v>
      </c>
      <c r="L249" s="459">
        <v>212313</v>
      </c>
      <c r="M249" s="459">
        <f t="shared" si="14"/>
        <v>212313</v>
      </c>
      <c r="N249" s="461"/>
      <c r="O249" s="462"/>
      <c r="P249" s="462"/>
    </row>
    <row r="250" spans="2:16">
      <c r="B250" s="455" t="s">
        <v>580</v>
      </c>
      <c r="C250" s="460"/>
      <c r="D250" s="460"/>
      <c r="E250" s="458" t="s">
        <v>576</v>
      </c>
      <c r="F250" s="459"/>
      <c r="G250" s="460"/>
      <c r="H250" s="460"/>
      <c r="I250" s="460"/>
      <c r="J250" s="456">
        <v>44263</v>
      </c>
      <c r="K250" s="459">
        <v>0</v>
      </c>
      <c r="L250" s="459">
        <v>4343889</v>
      </c>
      <c r="M250" s="459">
        <f t="shared" si="14"/>
        <v>4343889</v>
      </c>
      <c r="N250" s="461"/>
      <c r="O250" s="462"/>
      <c r="P250" s="462"/>
    </row>
    <row r="251" spans="2:16">
      <c r="B251" s="455" t="s">
        <v>585</v>
      </c>
      <c r="C251" s="460"/>
      <c r="D251" s="460"/>
      <c r="E251" s="458" t="s">
        <v>576</v>
      </c>
      <c r="F251" s="459"/>
      <c r="G251" s="460"/>
      <c r="H251" s="460"/>
      <c r="I251" s="460"/>
      <c r="J251" s="456">
        <v>44263</v>
      </c>
      <c r="K251" s="459">
        <v>0</v>
      </c>
      <c r="L251" s="459">
        <v>1831134</v>
      </c>
      <c r="M251" s="459">
        <f t="shared" si="14"/>
        <v>1831134</v>
      </c>
      <c r="N251" s="461"/>
      <c r="O251" s="462"/>
      <c r="P251" s="462"/>
    </row>
    <row r="252" spans="2:16">
      <c r="B252" s="455" t="s">
        <v>582</v>
      </c>
      <c r="C252" s="460"/>
      <c r="D252" s="460"/>
      <c r="E252" s="458" t="s">
        <v>576</v>
      </c>
      <c r="F252" s="459"/>
      <c r="G252" s="460"/>
      <c r="H252" s="460"/>
      <c r="I252" s="460"/>
      <c r="J252" s="456">
        <v>44263</v>
      </c>
      <c r="K252" s="459">
        <v>0</v>
      </c>
      <c r="L252" s="459">
        <v>4791</v>
      </c>
      <c r="M252" s="459">
        <f t="shared" si="14"/>
        <v>4791</v>
      </c>
      <c r="N252" s="461"/>
      <c r="O252" s="462"/>
      <c r="P252" s="462"/>
    </row>
    <row r="253" spans="2:16">
      <c r="B253" s="455" t="s">
        <v>582</v>
      </c>
      <c r="C253" s="460"/>
      <c r="D253" s="460"/>
      <c r="E253" s="458" t="s">
        <v>576</v>
      </c>
      <c r="F253" s="459"/>
      <c r="G253" s="460"/>
      <c r="H253" s="460"/>
      <c r="I253" s="460"/>
      <c r="J253" s="456">
        <v>44263</v>
      </c>
      <c r="K253" s="459">
        <v>0</v>
      </c>
      <c r="L253" s="459">
        <v>44375</v>
      </c>
      <c r="M253" s="459">
        <f t="shared" si="14"/>
        <v>44375</v>
      </c>
      <c r="N253" s="461"/>
      <c r="O253" s="462"/>
      <c r="P253" s="462"/>
    </row>
    <row r="254" spans="2:16">
      <c r="B254" s="455" t="s">
        <v>584</v>
      </c>
      <c r="C254" s="460"/>
      <c r="D254" s="460"/>
      <c r="E254" s="458" t="s">
        <v>576</v>
      </c>
      <c r="F254" s="459"/>
      <c r="G254" s="460"/>
      <c r="H254" s="460"/>
      <c r="I254" s="460"/>
      <c r="J254" s="456">
        <v>44263</v>
      </c>
      <c r="K254" s="459">
        <v>0</v>
      </c>
      <c r="L254" s="459">
        <v>688584</v>
      </c>
      <c r="M254" s="459">
        <f t="shared" si="14"/>
        <v>688584</v>
      </c>
      <c r="N254" s="461"/>
      <c r="O254" s="462"/>
      <c r="P254" s="462"/>
    </row>
    <row r="255" spans="2:16">
      <c r="B255" s="455" t="s">
        <v>580</v>
      </c>
      <c r="C255" s="460"/>
      <c r="D255" s="460"/>
      <c r="E255" s="458" t="s">
        <v>576</v>
      </c>
      <c r="F255" s="459"/>
      <c r="G255" s="460"/>
      <c r="H255" s="460"/>
      <c r="I255" s="460"/>
      <c r="J255" s="456">
        <v>44263</v>
      </c>
      <c r="K255" s="459">
        <v>0</v>
      </c>
      <c r="L255" s="459">
        <v>6798125</v>
      </c>
      <c r="M255" s="459">
        <f t="shared" si="14"/>
        <v>6798125</v>
      </c>
      <c r="N255" s="461"/>
      <c r="O255" s="462"/>
      <c r="P255" s="462"/>
    </row>
    <row r="256" spans="2:16">
      <c r="B256" s="455" t="s">
        <v>577</v>
      </c>
      <c r="C256" s="460"/>
      <c r="D256" s="460"/>
      <c r="E256" s="458" t="s">
        <v>576</v>
      </c>
      <c r="F256" s="459"/>
      <c r="G256" s="460"/>
      <c r="H256" s="460"/>
      <c r="I256" s="460"/>
      <c r="J256" s="456">
        <v>44263</v>
      </c>
      <c r="K256" s="459">
        <v>0</v>
      </c>
      <c r="L256" s="459">
        <v>4248263</v>
      </c>
      <c r="M256" s="459">
        <f t="shared" si="14"/>
        <v>4248263</v>
      </c>
      <c r="N256" s="461"/>
      <c r="O256" s="462"/>
      <c r="P256" s="462"/>
    </row>
    <row r="257" spans="2:16">
      <c r="B257" s="455" t="s">
        <v>577</v>
      </c>
      <c r="C257" s="460"/>
      <c r="D257" s="460"/>
      <c r="E257" s="458" t="s">
        <v>576</v>
      </c>
      <c r="F257" s="459"/>
      <c r="G257" s="460"/>
      <c r="H257" s="460"/>
      <c r="I257" s="460"/>
      <c r="J257" s="456">
        <v>44265</v>
      </c>
      <c r="K257" s="459">
        <v>0</v>
      </c>
      <c r="L257" s="459">
        <v>1998371</v>
      </c>
      <c r="M257" s="459">
        <f t="shared" si="14"/>
        <v>1998371</v>
      </c>
      <c r="N257" s="461"/>
      <c r="O257" s="462"/>
      <c r="P257" s="462"/>
    </row>
    <row r="258" spans="2:16">
      <c r="B258" s="455" t="s">
        <v>585</v>
      </c>
      <c r="C258" s="460"/>
      <c r="D258" s="460"/>
      <c r="E258" s="458" t="s">
        <v>576</v>
      </c>
      <c r="F258" s="459"/>
      <c r="G258" s="460"/>
      <c r="H258" s="460"/>
      <c r="I258" s="460"/>
      <c r="J258" s="456">
        <v>44265</v>
      </c>
      <c r="K258" s="459">
        <v>0</v>
      </c>
      <c r="L258" s="459">
        <v>300000</v>
      </c>
      <c r="M258" s="459">
        <f t="shared" si="14"/>
        <v>300000</v>
      </c>
      <c r="N258" s="461"/>
      <c r="O258" s="462"/>
      <c r="P258" s="462"/>
    </row>
    <row r="259" spans="2:16">
      <c r="B259" s="455" t="s">
        <v>575</v>
      </c>
      <c r="C259" s="460"/>
      <c r="D259" s="460"/>
      <c r="E259" s="458" t="s">
        <v>576</v>
      </c>
      <c r="F259" s="459"/>
      <c r="G259" s="460"/>
      <c r="H259" s="460"/>
      <c r="I259" s="460"/>
      <c r="J259" s="456">
        <v>44265</v>
      </c>
      <c r="K259" s="459">
        <v>0</v>
      </c>
      <c r="L259" s="459">
        <v>3000000</v>
      </c>
      <c r="M259" s="459">
        <f t="shared" si="14"/>
        <v>3000000</v>
      </c>
      <c r="N259" s="461"/>
      <c r="O259" s="462"/>
      <c r="P259" s="462"/>
    </row>
    <row r="260" spans="2:16">
      <c r="B260" s="455" t="s">
        <v>583</v>
      </c>
      <c r="C260" s="460"/>
      <c r="D260" s="460"/>
      <c r="E260" s="458" t="s">
        <v>576</v>
      </c>
      <c r="F260" s="459"/>
      <c r="G260" s="460"/>
      <c r="H260" s="460"/>
      <c r="I260" s="460"/>
      <c r="J260" s="456">
        <v>44265</v>
      </c>
      <c r="K260" s="459">
        <v>0</v>
      </c>
      <c r="L260" s="459">
        <v>120000</v>
      </c>
      <c r="M260" s="459">
        <f t="shared" si="14"/>
        <v>120000</v>
      </c>
      <c r="N260" s="461"/>
      <c r="O260" s="462"/>
      <c r="P260" s="462"/>
    </row>
    <row r="261" spans="2:16">
      <c r="B261" s="455" t="s">
        <v>575</v>
      </c>
      <c r="C261" s="460"/>
      <c r="D261" s="460"/>
      <c r="E261" s="458" t="s">
        <v>576</v>
      </c>
      <c r="F261" s="459"/>
      <c r="G261" s="460"/>
      <c r="H261" s="460"/>
      <c r="I261" s="460"/>
      <c r="J261" s="456">
        <v>44265</v>
      </c>
      <c r="K261" s="459">
        <v>0</v>
      </c>
      <c r="L261" s="459">
        <v>3812500</v>
      </c>
      <c r="M261" s="459">
        <f t="shared" ref="M261:M292" si="15">+K261+L261</f>
        <v>3812500</v>
      </c>
      <c r="N261" s="461"/>
      <c r="O261" s="462"/>
      <c r="P261" s="462"/>
    </row>
    <row r="262" spans="2:16">
      <c r="B262" s="455" t="s">
        <v>577</v>
      </c>
      <c r="C262" s="460"/>
      <c r="D262" s="460"/>
      <c r="E262" s="458" t="s">
        <v>576</v>
      </c>
      <c r="F262" s="459"/>
      <c r="G262" s="460"/>
      <c r="H262" s="460"/>
      <c r="I262" s="460"/>
      <c r="J262" s="456">
        <v>44266</v>
      </c>
      <c r="K262" s="459">
        <v>0</v>
      </c>
      <c r="L262" s="459">
        <v>1482951</v>
      </c>
      <c r="M262" s="459">
        <f t="shared" si="15"/>
        <v>1482951</v>
      </c>
      <c r="N262" s="461"/>
      <c r="O262" s="462"/>
      <c r="P262" s="462"/>
    </row>
    <row r="263" spans="2:16">
      <c r="B263" s="455" t="s">
        <v>575</v>
      </c>
      <c r="C263" s="460"/>
      <c r="D263" s="460"/>
      <c r="E263" s="458" t="s">
        <v>576</v>
      </c>
      <c r="F263" s="459"/>
      <c r="G263" s="460"/>
      <c r="H263" s="460"/>
      <c r="I263" s="460"/>
      <c r="J263" s="456">
        <v>44266</v>
      </c>
      <c r="K263" s="459">
        <v>0</v>
      </c>
      <c r="L263" s="459">
        <v>8705369</v>
      </c>
      <c r="M263" s="459">
        <f t="shared" si="15"/>
        <v>8705369</v>
      </c>
      <c r="N263" s="461"/>
      <c r="O263" s="462"/>
      <c r="P263" s="462"/>
    </row>
    <row r="264" spans="2:16">
      <c r="B264" s="455" t="s">
        <v>575</v>
      </c>
      <c r="C264" s="460"/>
      <c r="D264" s="460"/>
      <c r="E264" s="458" t="s">
        <v>576</v>
      </c>
      <c r="F264" s="459"/>
      <c r="G264" s="460"/>
      <c r="H264" s="460"/>
      <c r="I264" s="460"/>
      <c r="J264" s="456">
        <v>44266</v>
      </c>
      <c r="K264" s="459">
        <v>0</v>
      </c>
      <c r="L264" s="459">
        <v>2471598</v>
      </c>
      <c r="M264" s="459">
        <f t="shared" si="15"/>
        <v>2471598</v>
      </c>
      <c r="N264" s="461"/>
      <c r="O264" s="462"/>
      <c r="P264" s="462"/>
    </row>
    <row r="265" spans="2:16">
      <c r="B265" s="455" t="s">
        <v>597</v>
      </c>
      <c r="C265" s="460"/>
      <c r="D265" s="460"/>
      <c r="E265" s="458" t="s">
        <v>576</v>
      </c>
      <c r="F265" s="459"/>
      <c r="G265" s="460"/>
      <c r="H265" s="460"/>
      <c r="I265" s="460"/>
      <c r="J265" s="456">
        <v>44266</v>
      </c>
      <c r="K265" s="459">
        <v>0</v>
      </c>
      <c r="L265" s="459">
        <v>3482131</v>
      </c>
      <c r="M265" s="459">
        <f t="shared" si="15"/>
        <v>3482131</v>
      </c>
      <c r="N265" s="461"/>
      <c r="O265" s="462"/>
      <c r="P265" s="462"/>
    </row>
    <row r="266" spans="2:16">
      <c r="B266" s="455" t="s">
        <v>575</v>
      </c>
      <c r="C266" s="460"/>
      <c r="D266" s="460"/>
      <c r="E266" s="458" t="s">
        <v>576</v>
      </c>
      <c r="F266" s="459"/>
      <c r="G266" s="460"/>
      <c r="H266" s="460"/>
      <c r="I266" s="460"/>
      <c r="J266" s="456">
        <v>44267</v>
      </c>
      <c r="K266" s="459">
        <v>0</v>
      </c>
      <c r="L266" s="459">
        <v>6458346</v>
      </c>
      <c r="M266" s="459">
        <f t="shared" si="15"/>
        <v>6458346</v>
      </c>
      <c r="N266" s="461"/>
      <c r="O266" s="462"/>
      <c r="P266" s="462"/>
    </row>
    <row r="267" spans="2:16">
      <c r="B267" s="455" t="s">
        <v>580</v>
      </c>
      <c r="C267" s="460"/>
      <c r="D267" s="460"/>
      <c r="E267" s="458" t="s">
        <v>576</v>
      </c>
      <c r="F267" s="459"/>
      <c r="G267" s="460"/>
      <c r="H267" s="460"/>
      <c r="I267" s="460"/>
      <c r="J267" s="456">
        <v>44267</v>
      </c>
      <c r="K267" s="459">
        <v>0</v>
      </c>
      <c r="L267" s="459">
        <v>645827</v>
      </c>
      <c r="M267" s="459">
        <f t="shared" si="15"/>
        <v>645827</v>
      </c>
      <c r="N267" s="461"/>
      <c r="O267" s="462"/>
      <c r="P267" s="462"/>
    </row>
    <row r="268" spans="2:16">
      <c r="B268" s="455" t="s">
        <v>577</v>
      </c>
      <c r="C268" s="460"/>
      <c r="D268" s="460"/>
      <c r="E268" s="458" t="s">
        <v>576</v>
      </c>
      <c r="F268" s="459"/>
      <c r="G268" s="460"/>
      <c r="H268" s="460"/>
      <c r="I268" s="460"/>
      <c r="J268" s="456">
        <v>44267</v>
      </c>
      <c r="K268" s="459">
        <v>0</v>
      </c>
      <c r="L268" s="459">
        <v>2583327</v>
      </c>
      <c r="M268" s="459">
        <f t="shared" si="15"/>
        <v>2583327</v>
      </c>
      <c r="N268" s="461"/>
      <c r="O268" s="462"/>
      <c r="P268" s="462"/>
    </row>
    <row r="269" spans="2:16">
      <c r="B269" s="455" t="s">
        <v>585</v>
      </c>
      <c r="C269" s="460"/>
      <c r="D269" s="460"/>
      <c r="E269" s="458" t="s">
        <v>576</v>
      </c>
      <c r="F269" s="459"/>
      <c r="G269" s="460"/>
      <c r="H269" s="460"/>
      <c r="I269" s="460"/>
      <c r="J269" s="456">
        <v>44270</v>
      </c>
      <c r="K269" s="459">
        <v>0</v>
      </c>
      <c r="L269" s="459">
        <v>2198803</v>
      </c>
      <c r="M269" s="459">
        <f t="shared" si="15"/>
        <v>2198803</v>
      </c>
      <c r="N269" s="461"/>
      <c r="O269" s="462"/>
      <c r="P269" s="462"/>
    </row>
    <row r="270" spans="2:16">
      <c r="B270" s="455" t="s">
        <v>580</v>
      </c>
      <c r="C270" s="460"/>
      <c r="D270" s="460"/>
      <c r="E270" s="458" t="s">
        <v>576</v>
      </c>
      <c r="F270" s="459"/>
      <c r="G270" s="460"/>
      <c r="H270" s="460"/>
      <c r="I270" s="460"/>
      <c r="J270" s="456">
        <v>44270</v>
      </c>
      <c r="K270" s="459">
        <v>0</v>
      </c>
      <c r="L270" s="459">
        <v>3544508</v>
      </c>
      <c r="M270" s="459">
        <f t="shared" si="15"/>
        <v>3544508</v>
      </c>
      <c r="N270" s="461"/>
      <c r="O270" s="462"/>
      <c r="P270" s="462"/>
    </row>
    <row r="271" spans="2:16">
      <c r="B271" s="455" t="s">
        <v>577</v>
      </c>
      <c r="C271" s="460"/>
      <c r="D271" s="460"/>
      <c r="E271" s="458" t="s">
        <v>576</v>
      </c>
      <c r="F271" s="459"/>
      <c r="G271" s="460"/>
      <c r="H271" s="460"/>
      <c r="I271" s="460"/>
      <c r="J271" s="456">
        <v>44270</v>
      </c>
      <c r="K271" s="459">
        <v>0</v>
      </c>
      <c r="L271" s="459">
        <v>4433040</v>
      </c>
      <c r="M271" s="459">
        <f t="shared" si="15"/>
        <v>4433040</v>
      </c>
      <c r="N271" s="461"/>
      <c r="O271" s="462"/>
      <c r="P271" s="462"/>
    </row>
    <row r="272" spans="2:16">
      <c r="B272" s="455" t="s">
        <v>577</v>
      </c>
      <c r="C272" s="460"/>
      <c r="D272" s="460"/>
      <c r="E272" s="458" t="s">
        <v>576</v>
      </c>
      <c r="F272" s="459"/>
      <c r="G272" s="460"/>
      <c r="H272" s="460"/>
      <c r="I272" s="460"/>
      <c r="J272" s="456">
        <v>44270</v>
      </c>
      <c r="K272" s="459">
        <v>0</v>
      </c>
      <c r="L272" s="459">
        <v>3546428</v>
      </c>
      <c r="M272" s="459">
        <f t="shared" si="15"/>
        <v>3546428</v>
      </c>
      <c r="N272" s="461"/>
      <c r="O272" s="462"/>
      <c r="P272" s="462"/>
    </row>
    <row r="273" spans="2:16">
      <c r="B273" s="455" t="s">
        <v>587</v>
      </c>
      <c r="C273" s="460"/>
      <c r="D273" s="460"/>
      <c r="E273" s="458" t="s">
        <v>576</v>
      </c>
      <c r="F273" s="459"/>
      <c r="G273" s="460"/>
      <c r="H273" s="460"/>
      <c r="I273" s="460"/>
      <c r="J273" s="456">
        <v>44270</v>
      </c>
      <c r="K273" s="459">
        <v>0</v>
      </c>
      <c r="L273" s="459">
        <v>1725</v>
      </c>
      <c r="M273" s="459">
        <f t="shared" si="15"/>
        <v>1725</v>
      </c>
      <c r="N273" s="461"/>
      <c r="O273" s="462"/>
      <c r="P273" s="462"/>
    </row>
    <row r="274" spans="2:16">
      <c r="B274" s="455" t="s">
        <v>585</v>
      </c>
      <c r="C274" s="460"/>
      <c r="D274" s="460"/>
      <c r="E274" s="458" t="s">
        <v>576</v>
      </c>
      <c r="F274" s="459"/>
      <c r="G274" s="460"/>
      <c r="H274" s="460"/>
      <c r="I274" s="460"/>
      <c r="J274" s="456">
        <v>44270</v>
      </c>
      <c r="K274" s="459">
        <v>0</v>
      </c>
      <c r="L274" s="459">
        <v>7196875</v>
      </c>
      <c r="M274" s="459">
        <f t="shared" si="15"/>
        <v>7196875</v>
      </c>
      <c r="N274" s="461"/>
      <c r="O274" s="462"/>
      <c r="P274" s="462"/>
    </row>
    <row r="275" spans="2:16">
      <c r="B275" s="455" t="s">
        <v>582</v>
      </c>
      <c r="C275" s="460"/>
      <c r="D275" s="460"/>
      <c r="E275" s="458" t="s">
        <v>576</v>
      </c>
      <c r="F275" s="459"/>
      <c r="G275" s="460"/>
      <c r="H275" s="460"/>
      <c r="I275" s="460"/>
      <c r="J275" s="456">
        <v>44270</v>
      </c>
      <c r="K275" s="459">
        <v>0</v>
      </c>
      <c r="L275" s="459">
        <v>5875</v>
      </c>
      <c r="M275" s="459">
        <f t="shared" si="15"/>
        <v>5875</v>
      </c>
      <c r="N275" s="461"/>
      <c r="O275" s="462"/>
      <c r="P275" s="462"/>
    </row>
    <row r="276" spans="2:16">
      <c r="B276" s="455" t="s">
        <v>580</v>
      </c>
      <c r="C276" s="460"/>
      <c r="D276" s="460"/>
      <c r="E276" s="458" t="s">
        <v>576</v>
      </c>
      <c r="F276" s="459"/>
      <c r="G276" s="460"/>
      <c r="H276" s="460"/>
      <c r="I276" s="460"/>
      <c r="J276" s="456">
        <v>44270</v>
      </c>
      <c r="K276" s="459">
        <v>0</v>
      </c>
      <c r="L276" s="459">
        <v>2642110</v>
      </c>
      <c r="M276" s="459">
        <f t="shared" si="15"/>
        <v>2642110</v>
      </c>
      <c r="N276" s="461"/>
      <c r="O276" s="462"/>
      <c r="P276" s="462"/>
    </row>
    <row r="277" spans="2:16">
      <c r="B277" s="455" t="s">
        <v>586</v>
      </c>
      <c r="C277" s="460"/>
      <c r="D277" s="460"/>
      <c r="E277" s="458" t="s">
        <v>576</v>
      </c>
      <c r="F277" s="459"/>
      <c r="G277" s="460"/>
      <c r="H277" s="460"/>
      <c r="I277" s="460"/>
      <c r="J277" s="456">
        <v>44270</v>
      </c>
      <c r="K277" s="459">
        <v>0</v>
      </c>
      <c r="L277" s="459">
        <v>4881</v>
      </c>
      <c r="M277" s="459">
        <f t="shared" si="15"/>
        <v>4881</v>
      </c>
      <c r="N277" s="461"/>
      <c r="O277" s="462"/>
      <c r="P277" s="462"/>
    </row>
    <row r="278" spans="2:16">
      <c r="B278" s="455" t="s">
        <v>580</v>
      </c>
      <c r="C278" s="460"/>
      <c r="D278" s="460"/>
      <c r="E278" s="458" t="s">
        <v>576</v>
      </c>
      <c r="F278" s="459"/>
      <c r="G278" s="460"/>
      <c r="H278" s="460"/>
      <c r="I278" s="460"/>
      <c r="J278" s="456">
        <v>44270</v>
      </c>
      <c r="K278" s="459">
        <v>0</v>
      </c>
      <c r="L278" s="459">
        <v>3421875</v>
      </c>
      <c r="M278" s="459">
        <f t="shared" si="15"/>
        <v>3421875</v>
      </c>
      <c r="N278" s="461"/>
      <c r="O278" s="462"/>
      <c r="P278" s="462"/>
    </row>
    <row r="279" spans="2:16">
      <c r="B279" s="455" t="s">
        <v>586</v>
      </c>
      <c r="C279" s="460"/>
      <c r="D279" s="460"/>
      <c r="E279" s="458" t="s">
        <v>576</v>
      </c>
      <c r="F279" s="459"/>
      <c r="G279" s="460"/>
      <c r="H279" s="460"/>
      <c r="I279" s="460"/>
      <c r="J279" s="456">
        <v>44270</v>
      </c>
      <c r="K279" s="459">
        <v>0</v>
      </c>
      <c r="L279" s="459">
        <v>414647</v>
      </c>
      <c r="M279" s="459">
        <f t="shared" si="15"/>
        <v>414647</v>
      </c>
      <c r="N279" s="461"/>
      <c r="O279" s="462"/>
      <c r="P279" s="462"/>
    </row>
    <row r="280" spans="2:16">
      <c r="B280" s="455" t="s">
        <v>583</v>
      </c>
      <c r="C280" s="460"/>
      <c r="D280" s="460"/>
      <c r="E280" s="458" t="s">
        <v>576</v>
      </c>
      <c r="F280" s="459"/>
      <c r="G280" s="460"/>
      <c r="H280" s="460"/>
      <c r="I280" s="460"/>
      <c r="J280" s="456">
        <v>44270</v>
      </c>
      <c r="K280" s="459">
        <v>0</v>
      </c>
      <c r="L280" s="459">
        <v>242578</v>
      </c>
      <c r="M280" s="459">
        <f t="shared" si="15"/>
        <v>242578</v>
      </c>
      <c r="N280" s="461"/>
      <c r="O280" s="462"/>
      <c r="P280" s="462"/>
    </row>
    <row r="281" spans="2:16">
      <c r="B281" s="455" t="s">
        <v>582</v>
      </c>
      <c r="C281" s="460"/>
      <c r="D281" s="460"/>
      <c r="E281" s="458" t="s">
        <v>576</v>
      </c>
      <c r="F281" s="459"/>
      <c r="G281" s="460"/>
      <c r="H281" s="460"/>
      <c r="I281" s="460"/>
      <c r="J281" s="456">
        <v>44270</v>
      </c>
      <c r="K281" s="459">
        <v>0</v>
      </c>
      <c r="L281" s="459">
        <v>857813</v>
      </c>
      <c r="M281" s="459">
        <f t="shared" si="15"/>
        <v>857813</v>
      </c>
      <c r="N281" s="461"/>
      <c r="O281" s="462"/>
      <c r="P281" s="462"/>
    </row>
    <row r="282" spans="2:16">
      <c r="B282" s="455" t="s">
        <v>575</v>
      </c>
      <c r="C282" s="460"/>
      <c r="D282" s="460"/>
      <c r="E282" s="458" t="s">
        <v>576</v>
      </c>
      <c r="F282" s="459"/>
      <c r="G282" s="460"/>
      <c r="H282" s="460"/>
      <c r="I282" s="460"/>
      <c r="J282" s="456">
        <v>44270</v>
      </c>
      <c r="K282" s="459">
        <v>0</v>
      </c>
      <c r="L282" s="459">
        <v>3574219</v>
      </c>
      <c r="M282" s="459">
        <f t="shared" si="15"/>
        <v>3574219</v>
      </c>
      <c r="N282" s="461"/>
      <c r="O282" s="462"/>
      <c r="P282" s="462"/>
    </row>
    <row r="283" spans="2:16">
      <c r="B283" s="455" t="s">
        <v>582</v>
      </c>
      <c r="C283" s="460"/>
      <c r="D283" s="460"/>
      <c r="E283" s="458" t="s">
        <v>576</v>
      </c>
      <c r="F283" s="459"/>
      <c r="G283" s="460"/>
      <c r="H283" s="460"/>
      <c r="I283" s="460"/>
      <c r="J283" s="456">
        <v>44274</v>
      </c>
      <c r="K283" s="459">
        <v>0</v>
      </c>
      <c r="L283" s="459">
        <v>219906</v>
      </c>
      <c r="M283" s="459">
        <f t="shared" si="15"/>
        <v>219906</v>
      </c>
      <c r="N283" s="461"/>
      <c r="O283" s="462"/>
      <c r="P283" s="462"/>
    </row>
    <row r="284" spans="2:16">
      <c r="B284" s="455" t="s">
        <v>575</v>
      </c>
      <c r="C284" s="460"/>
      <c r="D284" s="460"/>
      <c r="E284" s="458" t="s">
        <v>576</v>
      </c>
      <c r="F284" s="459"/>
      <c r="G284" s="460"/>
      <c r="H284" s="460"/>
      <c r="I284" s="460"/>
      <c r="J284" s="456">
        <v>44274</v>
      </c>
      <c r="K284" s="459">
        <v>0</v>
      </c>
      <c r="L284" s="459">
        <v>3591156</v>
      </c>
      <c r="M284" s="459">
        <f t="shared" si="15"/>
        <v>3591156</v>
      </c>
      <c r="N284" s="461"/>
      <c r="O284" s="462"/>
      <c r="P284" s="462"/>
    </row>
    <row r="285" spans="2:16">
      <c r="B285" s="455" t="s">
        <v>582</v>
      </c>
      <c r="C285" s="460"/>
      <c r="D285" s="460"/>
      <c r="E285" s="458" t="s">
        <v>576</v>
      </c>
      <c r="F285" s="459"/>
      <c r="G285" s="460"/>
      <c r="H285" s="460"/>
      <c r="I285" s="460"/>
      <c r="J285" s="456">
        <v>44277</v>
      </c>
      <c r="K285" s="459">
        <v>0</v>
      </c>
      <c r="L285" s="459">
        <v>129609</v>
      </c>
      <c r="M285" s="459">
        <f t="shared" si="15"/>
        <v>129609</v>
      </c>
      <c r="N285" s="461"/>
      <c r="O285" s="462"/>
      <c r="P285" s="462"/>
    </row>
    <row r="286" spans="2:16">
      <c r="B286" s="455" t="s">
        <v>582</v>
      </c>
      <c r="C286" s="460"/>
      <c r="D286" s="460"/>
      <c r="E286" s="458" t="s">
        <v>576</v>
      </c>
      <c r="F286" s="459"/>
      <c r="G286" s="460"/>
      <c r="H286" s="460"/>
      <c r="I286" s="460"/>
      <c r="J286" s="456">
        <v>44277</v>
      </c>
      <c r="K286" s="459">
        <v>0</v>
      </c>
      <c r="L286" s="459">
        <v>74063</v>
      </c>
      <c r="M286" s="459">
        <f t="shared" si="15"/>
        <v>74063</v>
      </c>
      <c r="N286" s="461"/>
      <c r="O286" s="462"/>
      <c r="P286" s="462"/>
    </row>
    <row r="287" spans="2:16">
      <c r="B287" s="455" t="s">
        <v>585</v>
      </c>
      <c r="C287" s="460"/>
      <c r="D287" s="460"/>
      <c r="E287" s="458" t="s">
        <v>576</v>
      </c>
      <c r="F287" s="459"/>
      <c r="G287" s="460"/>
      <c r="H287" s="460"/>
      <c r="I287" s="460"/>
      <c r="J287" s="456">
        <v>44277</v>
      </c>
      <c r="K287" s="459">
        <v>0</v>
      </c>
      <c r="L287" s="459">
        <v>5928876</v>
      </c>
      <c r="M287" s="459">
        <f t="shared" si="15"/>
        <v>5928876</v>
      </c>
      <c r="N287" s="461"/>
      <c r="O287" s="462"/>
      <c r="P287" s="462"/>
    </row>
    <row r="288" spans="2:16">
      <c r="B288" s="455" t="s">
        <v>580</v>
      </c>
      <c r="C288" s="460"/>
      <c r="D288" s="460"/>
      <c r="E288" s="458" t="s">
        <v>576</v>
      </c>
      <c r="F288" s="459"/>
      <c r="G288" s="460"/>
      <c r="H288" s="460"/>
      <c r="I288" s="460"/>
      <c r="J288" s="456">
        <v>44277</v>
      </c>
      <c r="K288" s="459">
        <v>0</v>
      </c>
      <c r="L288" s="459">
        <v>1663518</v>
      </c>
      <c r="M288" s="459">
        <f t="shared" si="15"/>
        <v>1663518</v>
      </c>
      <c r="N288" s="461"/>
      <c r="O288" s="462"/>
      <c r="P288" s="462"/>
    </row>
    <row r="289" spans="2:16">
      <c r="B289" s="455" t="s">
        <v>586</v>
      </c>
      <c r="C289" s="460"/>
      <c r="D289" s="460"/>
      <c r="E289" s="458" t="s">
        <v>576</v>
      </c>
      <c r="F289" s="459"/>
      <c r="G289" s="460"/>
      <c r="H289" s="460"/>
      <c r="I289" s="460"/>
      <c r="J289" s="456">
        <v>44277</v>
      </c>
      <c r="K289" s="459">
        <v>0</v>
      </c>
      <c r="L289" s="459">
        <v>123438</v>
      </c>
      <c r="M289" s="459">
        <f t="shared" si="15"/>
        <v>123438</v>
      </c>
      <c r="N289" s="461"/>
      <c r="O289" s="462"/>
      <c r="P289" s="462"/>
    </row>
    <row r="290" spans="2:16">
      <c r="B290" s="455" t="s">
        <v>587</v>
      </c>
      <c r="C290" s="460"/>
      <c r="D290" s="460"/>
      <c r="E290" s="458" t="s">
        <v>576</v>
      </c>
      <c r="F290" s="459"/>
      <c r="G290" s="460"/>
      <c r="H290" s="460"/>
      <c r="I290" s="460"/>
      <c r="J290" s="456">
        <v>44277</v>
      </c>
      <c r="K290" s="459">
        <v>0</v>
      </c>
      <c r="L290" s="459">
        <v>1234</v>
      </c>
      <c r="M290" s="459">
        <f t="shared" si="15"/>
        <v>1234</v>
      </c>
      <c r="N290" s="461"/>
      <c r="O290" s="462"/>
      <c r="P290" s="462"/>
    </row>
    <row r="291" spans="2:16">
      <c r="B291" s="455" t="s">
        <v>584</v>
      </c>
      <c r="C291" s="460"/>
      <c r="D291" s="460"/>
      <c r="E291" s="458" t="s">
        <v>576</v>
      </c>
      <c r="F291" s="459"/>
      <c r="G291" s="460"/>
      <c r="H291" s="460"/>
      <c r="I291" s="460"/>
      <c r="J291" s="456">
        <v>44279</v>
      </c>
      <c r="K291" s="459">
        <v>0</v>
      </c>
      <c r="L291" s="459">
        <v>478295</v>
      </c>
      <c r="M291" s="459">
        <f t="shared" si="15"/>
        <v>478295</v>
      </c>
      <c r="N291" s="461"/>
      <c r="O291" s="462"/>
      <c r="P291" s="462"/>
    </row>
    <row r="292" spans="2:16">
      <c r="B292" s="455" t="s">
        <v>577</v>
      </c>
      <c r="C292" s="460"/>
      <c r="D292" s="460"/>
      <c r="E292" s="458" t="s">
        <v>576</v>
      </c>
      <c r="F292" s="459"/>
      <c r="G292" s="460"/>
      <c r="H292" s="460"/>
      <c r="I292" s="460"/>
      <c r="J292" s="456">
        <v>44279</v>
      </c>
      <c r="K292" s="459">
        <v>0</v>
      </c>
      <c r="L292" s="459">
        <v>3467708</v>
      </c>
      <c r="M292" s="459">
        <f t="shared" si="15"/>
        <v>3467708</v>
      </c>
      <c r="N292" s="461"/>
      <c r="O292" s="462"/>
      <c r="P292" s="462"/>
    </row>
    <row r="293" spans="2:16">
      <c r="B293" s="455" t="s">
        <v>575</v>
      </c>
      <c r="C293" s="460"/>
      <c r="D293" s="460"/>
      <c r="E293" s="458" t="s">
        <v>576</v>
      </c>
      <c r="F293" s="459"/>
      <c r="G293" s="460"/>
      <c r="H293" s="460"/>
      <c r="I293" s="460"/>
      <c r="J293" s="456">
        <v>44279</v>
      </c>
      <c r="K293" s="459">
        <v>0</v>
      </c>
      <c r="L293" s="459">
        <v>5071</v>
      </c>
      <c r="M293" s="459">
        <f t="shared" ref="M293:M302" si="16">+K293+L293</f>
        <v>5071</v>
      </c>
      <c r="N293" s="461"/>
      <c r="O293" s="462"/>
      <c r="P293" s="462"/>
    </row>
    <row r="294" spans="2:16">
      <c r="B294" s="455" t="s">
        <v>585</v>
      </c>
      <c r="C294" s="460"/>
      <c r="D294" s="460"/>
      <c r="E294" s="458" t="s">
        <v>576</v>
      </c>
      <c r="F294" s="459"/>
      <c r="G294" s="460"/>
      <c r="H294" s="460"/>
      <c r="I294" s="460"/>
      <c r="J294" s="456">
        <v>44279</v>
      </c>
      <c r="K294" s="459">
        <v>0</v>
      </c>
      <c r="L294" s="459">
        <v>1195723</v>
      </c>
      <c r="M294" s="459">
        <f t="shared" si="16"/>
        <v>1195723</v>
      </c>
      <c r="N294" s="461"/>
      <c r="O294" s="462"/>
      <c r="P294" s="462"/>
    </row>
    <row r="295" spans="2:16">
      <c r="B295" s="455" t="s">
        <v>577</v>
      </c>
      <c r="C295" s="460"/>
      <c r="D295" s="460"/>
      <c r="E295" s="458" t="s">
        <v>576</v>
      </c>
      <c r="F295" s="459"/>
      <c r="G295" s="460"/>
      <c r="H295" s="460"/>
      <c r="I295" s="460"/>
      <c r="J295" s="456">
        <v>44279</v>
      </c>
      <c r="K295" s="459">
        <v>0</v>
      </c>
      <c r="L295" s="459">
        <v>2539964</v>
      </c>
      <c r="M295" s="459">
        <f t="shared" si="16"/>
        <v>2539964</v>
      </c>
      <c r="N295" s="461"/>
      <c r="O295" s="462"/>
      <c r="P295" s="462"/>
    </row>
    <row r="296" spans="2:16">
      <c r="B296" s="455" t="s">
        <v>582</v>
      </c>
      <c r="C296" s="460"/>
      <c r="D296" s="460"/>
      <c r="E296" s="458" t="s">
        <v>576</v>
      </c>
      <c r="F296" s="459"/>
      <c r="G296" s="460"/>
      <c r="H296" s="460"/>
      <c r="I296" s="460"/>
      <c r="J296" s="456">
        <v>44279</v>
      </c>
      <c r="K296" s="459">
        <v>0</v>
      </c>
      <c r="L296" s="459">
        <v>296875</v>
      </c>
      <c r="M296" s="459">
        <f t="shared" si="16"/>
        <v>296875</v>
      </c>
      <c r="N296" s="461"/>
      <c r="O296" s="462"/>
      <c r="P296" s="462"/>
    </row>
    <row r="297" spans="2:16">
      <c r="B297" s="455" t="s">
        <v>575</v>
      </c>
      <c r="C297" s="460"/>
      <c r="D297" s="460"/>
      <c r="E297" s="458" t="s">
        <v>576</v>
      </c>
      <c r="F297" s="459"/>
      <c r="G297" s="460"/>
      <c r="H297" s="460"/>
      <c r="I297" s="460"/>
      <c r="J297" s="456">
        <v>44284</v>
      </c>
      <c r="K297" s="459">
        <v>0</v>
      </c>
      <c r="L297" s="459">
        <v>2777121</v>
      </c>
      <c r="M297" s="459">
        <f t="shared" si="16"/>
        <v>2777121</v>
      </c>
      <c r="N297" s="461"/>
      <c r="O297" s="462"/>
      <c r="P297" s="462"/>
    </row>
    <row r="298" spans="2:16">
      <c r="B298" s="455" t="s">
        <v>585</v>
      </c>
      <c r="C298" s="460"/>
      <c r="D298" s="460"/>
      <c r="E298" s="458" t="s">
        <v>576</v>
      </c>
      <c r="F298" s="459"/>
      <c r="G298" s="460"/>
      <c r="H298" s="460"/>
      <c r="I298" s="460"/>
      <c r="J298" s="456">
        <v>44284</v>
      </c>
      <c r="K298" s="459">
        <v>0</v>
      </c>
      <c r="L298" s="459">
        <v>1500000</v>
      </c>
      <c r="M298" s="459">
        <f t="shared" si="16"/>
        <v>1500000</v>
      </c>
      <c r="N298" s="461"/>
      <c r="O298" s="462"/>
      <c r="P298" s="462"/>
    </row>
    <row r="299" spans="2:16">
      <c r="B299" s="455" t="s">
        <v>575</v>
      </c>
      <c r="C299" s="460"/>
      <c r="D299" s="460"/>
      <c r="E299" s="458" t="s">
        <v>576</v>
      </c>
      <c r="F299" s="459"/>
      <c r="G299" s="460"/>
      <c r="H299" s="460"/>
      <c r="I299" s="460"/>
      <c r="J299" s="456">
        <v>44284</v>
      </c>
      <c r="K299" s="459">
        <v>100000000</v>
      </c>
      <c r="L299" s="459">
        <v>0</v>
      </c>
      <c r="M299" s="459">
        <f t="shared" si="16"/>
        <v>100000000</v>
      </c>
      <c r="N299" s="461"/>
      <c r="O299" s="462"/>
      <c r="P299" s="462"/>
    </row>
    <row r="300" spans="2:16">
      <c r="B300" s="455" t="s">
        <v>585</v>
      </c>
      <c r="C300" s="460"/>
      <c r="D300" s="460"/>
      <c r="E300" s="458" t="s">
        <v>576</v>
      </c>
      <c r="F300" s="459"/>
      <c r="G300" s="460"/>
      <c r="H300" s="460"/>
      <c r="I300" s="460"/>
      <c r="J300" s="456">
        <v>44284</v>
      </c>
      <c r="K300" s="459">
        <v>50000000</v>
      </c>
      <c r="L300" s="459">
        <v>0</v>
      </c>
      <c r="M300" s="459">
        <f t="shared" si="16"/>
        <v>50000000</v>
      </c>
      <c r="N300" s="461"/>
      <c r="O300" s="462"/>
      <c r="P300" s="462"/>
    </row>
    <row r="301" spans="2:16">
      <c r="B301" s="455" t="s">
        <v>575</v>
      </c>
      <c r="C301" s="460"/>
      <c r="D301" s="460"/>
      <c r="E301" s="458" t="s">
        <v>576</v>
      </c>
      <c r="F301" s="459"/>
      <c r="G301" s="460"/>
      <c r="H301" s="460"/>
      <c r="I301" s="460"/>
      <c r="J301" s="456">
        <v>44284</v>
      </c>
      <c r="K301" s="459">
        <v>0</v>
      </c>
      <c r="L301" s="459">
        <v>3000000</v>
      </c>
      <c r="M301" s="459">
        <f t="shared" si="16"/>
        <v>3000000</v>
      </c>
      <c r="N301" s="461"/>
      <c r="O301" s="462"/>
      <c r="P301" s="462"/>
    </row>
    <row r="302" spans="2:16">
      <c r="B302" s="455" t="s">
        <v>577</v>
      </c>
      <c r="C302" s="460"/>
      <c r="D302" s="460"/>
      <c r="E302" s="458" t="s">
        <v>576</v>
      </c>
      <c r="F302" s="459"/>
      <c r="G302" s="460"/>
      <c r="H302" s="460"/>
      <c r="I302" s="460"/>
      <c r="J302" s="456">
        <v>44284</v>
      </c>
      <c r="K302" s="459">
        <v>0</v>
      </c>
      <c r="L302" s="459">
        <v>7956726</v>
      </c>
      <c r="M302" s="459">
        <f t="shared" si="16"/>
        <v>7956726</v>
      </c>
      <c r="N302" s="461"/>
      <c r="O302" s="462"/>
      <c r="P302" s="462"/>
    </row>
    <row r="303" spans="2:16">
      <c r="B303" s="467" t="s">
        <v>588</v>
      </c>
      <c r="C303" s="468"/>
      <c r="D303" s="469"/>
      <c r="E303" s="470"/>
      <c r="F303" s="459"/>
      <c r="G303" s="471">
        <f>(F693-E693)*1000000</f>
        <v>-7490362.9999994338</v>
      </c>
      <c r="H303" s="465"/>
      <c r="I303" s="465"/>
      <c r="J303" s="472"/>
      <c r="K303" s="473"/>
      <c r="L303" s="473"/>
      <c r="M303" s="473"/>
      <c r="N303" s="461"/>
      <c r="O303" s="462"/>
      <c r="P303" s="462"/>
    </row>
    <row r="304" spans="2:16">
      <c r="B304" s="467" t="s">
        <v>589</v>
      </c>
      <c r="C304" s="468"/>
      <c r="D304" s="469"/>
      <c r="E304" s="470" t="s">
        <v>590</v>
      </c>
      <c r="F304" s="459">
        <f>SUBTOTAL(9,G304:H304)</f>
        <v>0</v>
      </c>
      <c r="G304" s="471"/>
      <c r="H304" s="465"/>
      <c r="I304" s="465"/>
      <c r="J304" s="472"/>
      <c r="K304" s="473"/>
      <c r="L304" s="473"/>
      <c r="M304" s="473"/>
      <c r="N304" s="461"/>
      <c r="O304" s="462"/>
      <c r="P304" s="462"/>
    </row>
    <row r="305" spans="2:16">
      <c r="B305" s="467" t="s">
        <v>591</v>
      </c>
      <c r="C305" s="468"/>
      <c r="D305" s="469"/>
      <c r="E305" s="470" t="s">
        <v>592</v>
      </c>
      <c r="F305" s="459">
        <f>SUBTOTAL(9,G305:H305)</f>
        <v>0</v>
      </c>
      <c r="G305" s="471"/>
      <c r="H305" s="465"/>
      <c r="I305" s="465"/>
      <c r="J305" s="472"/>
      <c r="K305" s="473"/>
      <c r="L305" s="473"/>
      <c r="M305" s="473"/>
      <c r="N305" s="461"/>
      <c r="O305" s="462"/>
      <c r="P305" s="462"/>
    </row>
    <row r="306" spans="2:16" ht="12.5">
      <c r="B306" s="770" t="s">
        <v>593</v>
      </c>
      <c r="C306" s="769"/>
      <c r="D306" s="769"/>
      <c r="E306" s="768"/>
      <c r="F306" s="767">
        <f>SUM(F208:F305)</f>
        <v>1757729000</v>
      </c>
      <c r="G306" s="767">
        <f>SUM(G208:G305)</f>
        <v>1747686038.9665482</v>
      </c>
      <c r="H306" s="767">
        <f>SUM(H208:H305)</f>
        <v>2552598.0334523469</v>
      </c>
      <c r="I306" s="767">
        <f>SUM(I208:I305)</f>
        <v>1757729000</v>
      </c>
      <c r="J306" s="767"/>
      <c r="K306" s="767">
        <f>SUM(K208:K305)</f>
        <v>150000000</v>
      </c>
      <c r="L306" s="767">
        <f>SUM(L208:L305)</f>
        <v>163509228</v>
      </c>
      <c r="M306" s="767">
        <f>SUM(M208:M305)</f>
        <v>313509228</v>
      </c>
      <c r="N306" s="762">
        <f>+G306-K306</f>
        <v>1597686038.9665482</v>
      </c>
      <c r="O306" s="762">
        <f>+(F683-E683)*1000000</f>
        <v>649501382.07121289</v>
      </c>
      <c r="P306" s="762">
        <f>N306-O306</f>
        <v>948184656.89533532</v>
      </c>
    </row>
    <row r="307" spans="2:16" ht="12.5">
      <c r="B307" s="455" t="s">
        <v>594</v>
      </c>
      <c r="C307" s="479">
        <v>44260</v>
      </c>
      <c r="D307" s="457">
        <v>90</v>
      </c>
      <c r="E307" s="480" t="s">
        <v>579</v>
      </c>
      <c r="F307" s="459">
        <f>SUBTOTAL(9,G307:H307)</f>
        <v>60000000</v>
      </c>
      <c r="G307" s="459">
        <v>59850374.06483791</v>
      </c>
      <c r="H307" s="459">
        <v>149625.93516208977</v>
      </c>
      <c r="I307" s="459">
        <f>+G307+H307</f>
        <v>60000000</v>
      </c>
      <c r="J307" s="489"/>
      <c r="K307" s="490"/>
      <c r="L307" s="490"/>
      <c r="M307" s="490"/>
      <c r="N307" s="481"/>
      <c r="O307" s="462"/>
      <c r="P307" s="482"/>
    </row>
    <row r="308" spans="2:16" ht="12.5">
      <c r="B308" s="455" t="s">
        <v>594</v>
      </c>
      <c r="C308" s="479">
        <v>44267</v>
      </c>
      <c r="D308" s="457">
        <v>270</v>
      </c>
      <c r="E308" s="480" t="s">
        <v>579</v>
      </c>
      <c r="F308" s="459">
        <f>SUBTOTAL(9,G308:H308)</f>
        <v>87500000</v>
      </c>
      <c r="G308" s="459">
        <v>86848635.235732004</v>
      </c>
      <c r="H308" s="459">
        <v>651364.76426799595</v>
      </c>
      <c r="I308" s="459">
        <f>+G308+H308</f>
        <v>87500000</v>
      </c>
      <c r="J308" s="489"/>
      <c r="K308" s="490"/>
      <c r="L308" s="490"/>
      <c r="M308" s="490"/>
      <c r="N308" s="481"/>
      <c r="O308" s="462"/>
      <c r="P308" s="482"/>
    </row>
    <row r="309" spans="2:16" ht="12.5">
      <c r="B309" s="455" t="s">
        <v>594</v>
      </c>
      <c r="C309" s="479">
        <v>44274</v>
      </c>
      <c r="D309" s="457">
        <v>2520</v>
      </c>
      <c r="E309" s="480" t="s">
        <v>576</v>
      </c>
      <c r="F309" s="459">
        <f>SUBTOTAL(9,G309:H309)</f>
        <v>576471000</v>
      </c>
      <c r="G309" s="459">
        <v>576471000</v>
      </c>
      <c r="H309" s="459">
        <v>0</v>
      </c>
      <c r="I309" s="459">
        <f>+G309+H309</f>
        <v>576471000</v>
      </c>
      <c r="J309" s="489"/>
      <c r="K309" s="490"/>
      <c r="L309" s="490"/>
      <c r="M309" s="490"/>
      <c r="N309" s="481"/>
      <c r="O309" s="462"/>
      <c r="P309" s="482"/>
    </row>
    <row r="310" spans="2:16" ht="12.5">
      <c r="B310" s="455" t="s">
        <v>594</v>
      </c>
      <c r="C310" s="479">
        <v>44285</v>
      </c>
      <c r="D310" s="457">
        <v>2880</v>
      </c>
      <c r="E310" s="480" t="s">
        <v>576</v>
      </c>
      <c r="F310" s="459">
        <f>SUBTOTAL(9,G310:H310)</f>
        <v>200000000</v>
      </c>
      <c r="G310" s="459">
        <v>200000000</v>
      </c>
      <c r="H310" s="459">
        <v>0</v>
      </c>
      <c r="I310" s="459">
        <f>+G310+H310</f>
        <v>200000000</v>
      </c>
      <c r="J310" s="489"/>
      <c r="K310" s="490"/>
      <c r="L310" s="490"/>
      <c r="M310" s="490"/>
      <c r="N310" s="481"/>
      <c r="O310" s="462"/>
      <c r="P310" s="482"/>
    </row>
    <row r="311" spans="2:16" ht="12.5">
      <c r="B311" s="455" t="s">
        <v>594</v>
      </c>
      <c r="C311" s="493"/>
      <c r="D311" s="493"/>
      <c r="E311" s="480" t="s">
        <v>576</v>
      </c>
      <c r="F311" s="489"/>
      <c r="G311" s="489"/>
      <c r="H311" s="489"/>
      <c r="I311" s="489"/>
      <c r="J311" s="456">
        <v>44258</v>
      </c>
      <c r="K311" s="459">
        <v>0</v>
      </c>
      <c r="L311" s="459">
        <v>10718750</v>
      </c>
      <c r="M311" s="484">
        <f t="shared" ref="M311:M332" si="17">+K311+L311</f>
        <v>10718750</v>
      </c>
      <c r="N311" s="481"/>
      <c r="O311" s="462"/>
      <c r="P311" s="482"/>
    </row>
    <row r="312" spans="2:16" ht="12.5">
      <c r="B312" s="455" t="s">
        <v>594</v>
      </c>
      <c r="C312" s="493"/>
      <c r="D312" s="493"/>
      <c r="E312" s="480" t="s">
        <v>576</v>
      </c>
      <c r="F312" s="489"/>
      <c r="G312" s="489"/>
      <c r="H312" s="489"/>
      <c r="I312" s="489"/>
      <c r="J312" s="456">
        <v>44258</v>
      </c>
      <c r="K312" s="459">
        <v>0</v>
      </c>
      <c r="L312" s="459">
        <v>845818</v>
      </c>
      <c r="M312" s="484">
        <f t="shared" si="17"/>
        <v>845818</v>
      </c>
      <c r="N312" s="481"/>
      <c r="O312" s="462"/>
      <c r="P312" s="482"/>
    </row>
    <row r="313" spans="2:16" ht="12.5">
      <c r="B313" s="455" t="s">
        <v>594</v>
      </c>
      <c r="C313" s="493"/>
      <c r="D313" s="493"/>
      <c r="E313" s="480" t="s">
        <v>576</v>
      </c>
      <c r="F313" s="489"/>
      <c r="G313" s="489"/>
      <c r="H313" s="489"/>
      <c r="I313" s="489"/>
      <c r="J313" s="456">
        <v>44260</v>
      </c>
      <c r="K313" s="459">
        <v>0</v>
      </c>
      <c r="L313" s="459">
        <v>2297236</v>
      </c>
      <c r="M313" s="484">
        <f t="shared" si="17"/>
        <v>2297236</v>
      </c>
      <c r="N313" s="481"/>
      <c r="O313" s="462"/>
      <c r="P313" s="482"/>
    </row>
    <row r="314" spans="2:16" ht="12.5">
      <c r="B314" s="455" t="s">
        <v>594</v>
      </c>
      <c r="C314" s="493"/>
      <c r="D314" s="493"/>
      <c r="E314" s="480" t="s">
        <v>576</v>
      </c>
      <c r="F314" s="489"/>
      <c r="G314" s="489"/>
      <c r="H314" s="489"/>
      <c r="I314" s="489"/>
      <c r="J314" s="456">
        <v>44263</v>
      </c>
      <c r="K314" s="459">
        <v>0</v>
      </c>
      <c r="L314" s="459">
        <v>1831090</v>
      </c>
      <c r="M314" s="484">
        <f t="shared" si="17"/>
        <v>1831090</v>
      </c>
      <c r="N314" s="481"/>
      <c r="O314" s="462"/>
      <c r="P314" s="482"/>
    </row>
    <row r="315" spans="2:16" ht="12.5">
      <c r="B315" s="455" t="s">
        <v>594</v>
      </c>
      <c r="C315" s="493"/>
      <c r="D315" s="493"/>
      <c r="E315" s="480" t="s">
        <v>576</v>
      </c>
      <c r="F315" s="489"/>
      <c r="G315" s="489"/>
      <c r="H315" s="489"/>
      <c r="I315" s="489"/>
      <c r="J315" s="456">
        <v>44263</v>
      </c>
      <c r="K315" s="459">
        <v>0</v>
      </c>
      <c r="L315" s="459">
        <v>6838565</v>
      </c>
      <c r="M315" s="484">
        <f t="shared" si="17"/>
        <v>6838565</v>
      </c>
      <c r="N315" s="481"/>
      <c r="O315" s="462"/>
      <c r="P315" s="482"/>
    </row>
    <row r="316" spans="2:16" ht="12.5">
      <c r="B316" s="455" t="s">
        <v>594</v>
      </c>
      <c r="C316" s="493"/>
      <c r="D316" s="493"/>
      <c r="E316" s="480" t="s">
        <v>576</v>
      </c>
      <c r="F316" s="489"/>
      <c r="G316" s="489"/>
      <c r="H316" s="489"/>
      <c r="I316" s="489"/>
      <c r="J316" s="456">
        <v>44265</v>
      </c>
      <c r="K316" s="459">
        <v>0</v>
      </c>
      <c r="L316" s="459">
        <v>4416524</v>
      </c>
      <c r="M316" s="484">
        <f t="shared" si="17"/>
        <v>4416524</v>
      </c>
      <c r="N316" s="481"/>
      <c r="O316" s="462"/>
      <c r="P316" s="482"/>
    </row>
    <row r="317" spans="2:16" ht="12.5">
      <c r="B317" s="455" t="s">
        <v>594</v>
      </c>
      <c r="C317" s="493"/>
      <c r="D317" s="493"/>
      <c r="E317" s="480" t="s">
        <v>576</v>
      </c>
      <c r="F317" s="489"/>
      <c r="G317" s="489"/>
      <c r="H317" s="489"/>
      <c r="I317" s="489"/>
      <c r="J317" s="456">
        <v>44265</v>
      </c>
      <c r="K317" s="459">
        <v>0</v>
      </c>
      <c r="L317" s="459">
        <v>5795379</v>
      </c>
      <c r="M317" s="484">
        <f t="shared" si="17"/>
        <v>5795379</v>
      </c>
      <c r="N317" s="481"/>
      <c r="O317" s="462"/>
      <c r="P317" s="482"/>
    </row>
    <row r="318" spans="2:16" ht="12.5">
      <c r="B318" s="455" t="s">
        <v>594</v>
      </c>
      <c r="C318" s="493"/>
      <c r="D318" s="493"/>
      <c r="E318" s="480" t="s">
        <v>576</v>
      </c>
      <c r="F318" s="489"/>
      <c r="G318" s="489"/>
      <c r="H318" s="489"/>
      <c r="I318" s="489"/>
      <c r="J318" s="456">
        <v>44265</v>
      </c>
      <c r="K318" s="459">
        <v>0</v>
      </c>
      <c r="L318" s="459">
        <v>3812500</v>
      </c>
      <c r="M318" s="484">
        <f t="shared" si="17"/>
        <v>3812500</v>
      </c>
      <c r="N318" s="481"/>
      <c r="O318" s="462"/>
      <c r="P318" s="482"/>
    </row>
    <row r="319" spans="2:16" ht="12.5">
      <c r="B319" s="455" t="s">
        <v>594</v>
      </c>
      <c r="C319" s="493"/>
      <c r="D319" s="493"/>
      <c r="E319" s="480" t="s">
        <v>576</v>
      </c>
      <c r="F319" s="489"/>
      <c r="G319" s="489"/>
      <c r="H319" s="489"/>
      <c r="I319" s="489"/>
      <c r="J319" s="456">
        <v>44266</v>
      </c>
      <c r="K319" s="459">
        <v>0</v>
      </c>
      <c r="L319" s="459">
        <v>5107951</v>
      </c>
      <c r="M319" s="484">
        <f t="shared" si="17"/>
        <v>5107951</v>
      </c>
      <c r="N319" s="481"/>
      <c r="O319" s="462"/>
      <c r="P319" s="482"/>
    </row>
    <row r="320" spans="2:16" ht="12.5">
      <c r="B320" s="455" t="s">
        <v>594</v>
      </c>
      <c r="C320" s="493"/>
      <c r="D320" s="493"/>
      <c r="E320" s="480" t="s">
        <v>576</v>
      </c>
      <c r="F320" s="489"/>
      <c r="G320" s="489"/>
      <c r="H320" s="489"/>
      <c r="I320" s="489"/>
      <c r="J320" s="456">
        <v>44270</v>
      </c>
      <c r="K320" s="459">
        <v>0</v>
      </c>
      <c r="L320" s="459">
        <v>6805492</v>
      </c>
      <c r="M320" s="484">
        <f t="shared" si="17"/>
        <v>6805492</v>
      </c>
      <c r="N320" s="481"/>
      <c r="O320" s="462"/>
      <c r="P320" s="482"/>
    </row>
    <row r="321" spans="2:16" ht="12.5">
      <c r="B321" s="455" t="s">
        <v>594</v>
      </c>
      <c r="C321" s="493"/>
      <c r="D321" s="493"/>
      <c r="E321" s="480" t="s">
        <v>576</v>
      </c>
      <c r="F321" s="489"/>
      <c r="G321" s="489"/>
      <c r="H321" s="489"/>
      <c r="I321" s="489"/>
      <c r="J321" s="456">
        <v>44270</v>
      </c>
      <c r="K321" s="459">
        <v>0</v>
      </c>
      <c r="L321" s="459">
        <v>3574219</v>
      </c>
      <c r="M321" s="484">
        <f t="shared" si="17"/>
        <v>3574219</v>
      </c>
      <c r="N321" s="481"/>
      <c r="O321" s="462"/>
      <c r="P321" s="482"/>
    </row>
    <row r="322" spans="2:16" ht="12.5">
      <c r="B322" s="455" t="s">
        <v>594</v>
      </c>
      <c r="C322" s="493"/>
      <c r="D322" s="493"/>
      <c r="E322" s="480" t="s">
        <v>576</v>
      </c>
      <c r="F322" s="489"/>
      <c r="G322" s="489"/>
      <c r="H322" s="489"/>
      <c r="I322" s="489"/>
      <c r="J322" s="456">
        <v>44270</v>
      </c>
      <c r="K322" s="459">
        <v>0</v>
      </c>
      <c r="L322" s="459">
        <v>2198781</v>
      </c>
      <c r="M322" s="484">
        <f t="shared" si="17"/>
        <v>2198781</v>
      </c>
      <c r="N322" s="481"/>
      <c r="O322" s="462"/>
      <c r="P322" s="482"/>
    </row>
    <row r="323" spans="2:16" ht="12.5">
      <c r="B323" s="455" t="s">
        <v>594</v>
      </c>
      <c r="C323" s="493"/>
      <c r="D323" s="493"/>
      <c r="E323" s="480" t="s">
        <v>576</v>
      </c>
      <c r="F323" s="489"/>
      <c r="G323" s="489"/>
      <c r="H323" s="489"/>
      <c r="I323" s="489"/>
      <c r="J323" s="456">
        <v>44270</v>
      </c>
      <c r="K323" s="459">
        <v>0</v>
      </c>
      <c r="L323" s="459">
        <v>2642088</v>
      </c>
      <c r="M323" s="484">
        <f t="shared" si="17"/>
        <v>2642088</v>
      </c>
      <c r="N323" s="481"/>
      <c r="O323" s="462"/>
      <c r="P323" s="482"/>
    </row>
    <row r="324" spans="2:16" ht="12.5">
      <c r="B324" s="455" t="s">
        <v>594</v>
      </c>
      <c r="C324" s="493"/>
      <c r="D324" s="493"/>
      <c r="E324" s="480" t="s">
        <v>576</v>
      </c>
      <c r="F324" s="489"/>
      <c r="G324" s="489"/>
      <c r="H324" s="489"/>
      <c r="I324" s="489"/>
      <c r="J324" s="456">
        <v>44270</v>
      </c>
      <c r="K324" s="459">
        <v>0</v>
      </c>
      <c r="L324" s="459">
        <v>3421875</v>
      </c>
      <c r="M324" s="484">
        <f t="shared" si="17"/>
        <v>3421875</v>
      </c>
      <c r="N324" s="481"/>
      <c r="O324" s="462"/>
      <c r="P324" s="482"/>
    </row>
    <row r="325" spans="2:16" ht="12.5">
      <c r="B325" s="455" t="s">
        <v>594</v>
      </c>
      <c r="C325" s="493"/>
      <c r="D325" s="493"/>
      <c r="E325" s="480" t="s">
        <v>576</v>
      </c>
      <c r="F325" s="489"/>
      <c r="G325" s="489"/>
      <c r="H325" s="489"/>
      <c r="I325" s="489"/>
      <c r="J325" s="456">
        <v>44270</v>
      </c>
      <c r="K325" s="459">
        <v>0</v>
      </c>
      <c r="L325" s="459">
        <v>7196875</v>
      </c>
      <c r="M325" s="484">
        <f t="shared" si="17"/>
        <v>7196875</v>
      </c>
      <c r="N325" s="481"/>
      <c r="O325" s="462"/>
      <c r="P325" s="482"/>
    </row>
    <row r="326" spans="2:16" ht="12.5">
      <c r="B326" s="455" t="s">
        <v>594</v>
      </c>
      <c r="C326" s="493"/>
      <c r="D326" s="493"/>
      <c r="E326" s="480" t="s">
        <v>576</v>
      </c>
      <c r="F326" s="489"/>
      <c r="G326" s="489"/>
      <c r="H326" s="489"/>
      <c r="I326" s="489"/>
      <c r="J326" s="456">
        <v>44274</v>
      </c>
      <c r="K326" s="459">
        <v>0</v>
      </c>
      <c r="L326" s="459">
        <v>5805719</v>
      </c>
      <c r="M326" s="484">
        <f t="shared" si="17"/>
        <v>5805719</v>
      </c>
      <c r="N326" s="481"/>
      <c r="O326" s="462"/>
      <c r="P326" s="482"/>
    </row>
    <row r="327" spans="2:16" ht="12.5">
      <c r="B327" s="455" t="s">
        <v>594</v>
      </c>
      <c r="C327" s="493"/>
      <c r="D327" s="493"/>
      <c r="E327" s="480" t="s">
        <v>576</v>
      </c>
      <c r="F327" s="489"/>
      <c r="G327" s="489"/>
      <c r="H327" s="489"/>
      <c r="I327" s="489"/>
      <c r="J327" s="456">
        <v>44277</v>
      </c>
      <c r="K327" s="459">
        <v>0</v>
      </c>
      <c r="L327" s="459">
        <v>4627919</v>
      </c>
      <c r="M327" s="484">
        <f t="shared" si="17"/>
        <v>4627919</v>
      </c>
      <c r="N327" s="481"/>
      <c r="O327" s="462"/>
      <c r="P327" s="482"/>
    </row>
    <row r="328" spans="2:16" ht="12.5">
      <c r="B328" s="455" t="s">
        <v>594</v>
      </c>
      <c r="C328" s="493"/>
      <c r="D328" s="493"/>
      <c r="E328" s="480" t="s">
        <v>576</v>
      </c>
      <c r="F328" s="489"/>
      <c r="G328" s="489"/>
      <c r="H328" s="489"/>
      <c r="I328" s="489"/>
      <c r="J328" s="456">
        <v>44279</v>
      </c>
      <c r="K328" s="459">
        <v>0</v>
      </c>
      <c r="L328" s="459">
        <v>3467648</v>
      </c>
      <c r="M328" s="484">
        <f t="shared" si="17"/>
        <v>3467648</v>
      </c>
      <c r="N328" s="481"/>
      <c r="O328" s="462"/>
      <c r="P328" s="482"/>
    </row>
    <row r="329" spans="2:16" ht="12.5">
      <c r="B329" s="455" t="s">
        <v>594</v>
      </c>
      <c r="C329" s="493"/>
      <c r="D329" s="493"/>
      <c r="E329" s="480" t="s">
        <v>576</v>
      </c>
      <c r="F329" s="489"/>
      <c r="G329" s="489"/>
      <c r="H329" s="489"/>
      <c r="I329" s="489"/>
      <c r="J329" s="456">
        <v>44279</v>
      </c>
      <c r="K329" s="459">
        <v>0</v>
      </c>
      <c r="L329" s="459">
        <v>5079966</v>
      </c>
      <c r="M329" s="484">
        <f t="shared" si="17"/>
        <v>5079966</v>
      </c>
      <c r="N329" s="481"/>
      <c r="O329" s="462"/>
      <c r="P329" s="482"/>
    </row>
    <row r="330" spans="2:16" ht="12.5">
      <c r="B330" s="455" t="s">
        <v>594</v>
      </c>
      <c r="C330" s="493"/>
      <c r="D330" s="493"/>
      <c r="E330" s="480" t="s">
        <v>576</v>
      </c>
      <c r="F330" s="489"/>
      <c r="G330" s="489"/>
      <c r="H330" s="489"/>
      <c r="I330" s="489"/>
      <c r="J330" s="456">
        <v>44284</v>
      </c>
      <c r="K330" s="459">
        <v>0</v>
      </c>
      <c r="L330" s="459">
        <v>3688028</v>
      </c>
      <c r="M330" s="484">
        <f t="shared" si="17"/>
        <v>3688028</v>
      </c>
      <c r="N330" s="481"/>
      <c r="O330" s="462"/>
      <c r="P330" s="482"/>
    </row>
    <row r="331" spans="2:16" ht="12.5">
      <c r="B331" s="455" t="s">
        <v>594</v>
      </c>
      <c r="C331" s="493"/>
      <c r="D331" s="493"/>
      <c r="E331" s="480" t="s">
        <v>576</v>
      </c>
      <c r="F331" s="489"/>
      <c r="G331" s="489"/>
      <c r="H331" s="489"/>
      <c r="I331" s="489"/>
      <c r="J331" s="456">
        <v>44285</v>
      </c>
      <c r="K331" s="459">
        <v>0</v>
      </c>
      <c r="L331" s="459">
        <v>8554110</v>
      </c>
      <c r="M331" s="484">
        <f t="shared" si="17"/>
        <v>8554110</v>
      </c>
      <c r="N331" s="481"/>
      <c r="O331" s="462"/>
      <c r="P331" s="482"/>
    </row>
    <row r="332" spans="2:16" ht="12.5">
      <c r="B332" s="455" t="s">
        <v>594</v>
      </c>
      <c r="C332" s="493"/>
      <c r="D332" s="493"/>
      <c r="E332" s="480" t="s">
        <v>576</v>
      </c>
      <c r="F332" s="489"/>
      <c r="G332" s="489"/>
      <c r="H332" s="489"/>
      <c r="I332" s="489"/>
      <c r="J332" s="456">
        <v>44285</v>
      </c>
      <c r="K332" s="459">
        <v>300000000</v>
      </c>
      <c r="L332" s="459">
        <v>0</v>
      </c>
      <c r="M332" s="484">
        <f t="shared" si="17"/>
        <v>300000000</v>
      </c>
      <c r="N332" s="481"/>
      <c r="O332" s="462"/>
      <c r="P332" s="482"/>
    </row>
    <row r="333" spans="2:16" ht="12.5">
      <c r="B333" s="766" t="s">
        <v>595</v>
      </c>
      <c r="C333" s="765"/>
      <c r="D333" s="765"/>
      <c r="E333" s="764"/>
      <c r="F333" s="763">
        <f>SUM(F307:F332)</f>
        <v>923971000</v>
      </c>
      <c r="G333" s="763">
        <f>SUM(G307:G332)</f>
        <v>923170009.30056989</v>
      </c>
      <c r="H333" s="763">
        <f>SUM(H307:H332)</f>
        <v>800990.69943008572</v>
      </c>
      <c r="I333" s="763">
        <f>SUM(I307:I332)</f>
        <v>923971000</v>
      </c>
      <c r="J333" s="763"/>
      <c r="K333" s="763">
        <f>SUM(K307:K332)</f>
        <v>300000000</v>
      </c>
      <c r="L333" s="763">
        <f>SUM(L307:L332)</f>
        <v>98726533</v>
      </c>
      <c r="M333" s="763">
        <f>SUM(M307:M332)</f>
        <v>398726533</v>
      </c>
      <c r="N333" s="762">
        <f>+G333-K333</f>
        <v>623170009.30056989</v>
      </c>
      <c r="O333" s="762"/>
      <c r="P333" s="762">
        <f>+N333-O333</f>
        <v>623170009.30056989</v>
      </c>
    </row>
    <row r="334" spans="2:16">
      <c r="B334" s="455" t="s">
        <v>575</v>
      </c>
      <c r="C334" s="456">
        <v>44288</v>
      </c>
      <c r="D334" s="457">
        <v>2160</v>
      </c>
      <c r="E334" s="458" t="s">
        <v>576</v>
      </c>
      <c r="F334" s="459">
        <f t="shared" ref="F334:F340" si="18">SUBTOTAL(9,G334:H334)</f>
        <v>80000000</v>
      </c>
      <c r="G334" s="459">
        <v>80000000</v>
      </c>
      <c r="H334" s="459">
        <v>0</v>
      </c>
      <c r="I334" s="459">
        <f t="shared" ref="I334:I340" si="19">+G334+H334</f>
        <v>80000000</v>
      </c>
      <c r="J334" s="460"/>
      <c r="K334" s="460"/>
      <c r="L334" s="460"/>
      <c r="M334" s="459"/>
      <c r="N334" s="461"/>
      <c r="O334" s="462"/>
      <c r="P334" s="462"/>
    </row>
    <row r="335" spans="2:16">
      <c r="B335" s="455" t="s">
        <v>575</v>
      </c>
      <c r="C335" s="456">
        <v>44294</v>
      </c>
      <c r="D335" s="457">
        <v>2520</v>
      </c>
      <c r="E335" s="458" t="s">
        <v>576</v>
      </c>
      <c r="F335" s="459">
        <f t="shared" si="18"/>
        <v>100000000</v>
      </c>
      <c r="G335" s="459">
        <v>100000000</v>
      </c>
      <c r="H335" s="459">
        <v>0</v>
      </c>
      <c r="I335" s="459">
        <f t="shared" si="19"/>
        <v>100000000</v>
      </c>
      <c r="J335" s="460"/>
      <c r="K335" s="460"/>
      <c r="L335" s="460"/>
      <c r="M335" s="459"/>
      <c r="N335" s="461"/>
      <c r="O335" s="462"/>
      <c r="P335" s="462"/>
    </row>
    <row r="336" spans="2:16">
      <c r="B336" s="455" t="s">
        <v>582</v>
      </c>
      <c r="C336" s="456">
        <v>44294</v>
      </c>
      <c r="D336" s="457">
        <v>2520</v>
      </c>
      <c r="E336" s="458" t="s">
        <v>576</v>
      </c>
      <c r="F336" s="459">
        <f t="shared" si="18"/>
        <v>45000000</v>
      </c>
      <c r="G336" s="459">
        <v>45000000</v>
      </c>
      <c r="H336" s="459">
        <v>0</v>
      </c>
      <c r="I336" s="459">
        <f t="shared" si="19"/>
        <v>45000000</v>
      </c>
      <c r="J336" s="460"/>
      <c r="K336" s="460"/>
      <c r="L336" s="460"/>
      <c r="M336" s="459"/>
      <c r="N336" s="461"/>
      <c r="O336" s="462"/>
      <c r="P336" s="462"/>
    </row>
    <row r="337" spans="2:16">
      <c r="B337" s="455" t="s">
        <v>585</v>
      </c>
      <c r="C337" s="456">
        <v>44309</v>
      </c>
      <c r="D337" s="457">
        <v>1440</v>
      </c>
      <c r="E337" s="458" t="s">
        <v>576</v>
      </c>
      <c r="F337" s="459">
        <f t="shared" si="18"/>
        <v>150000000</v>
      </c>
      <c r="G337" s="459">
        <v>150000000</v>
      </c>
      <c r="H337" s="459">
        <v>0</v>
      </c>
      <c r="I337" s="459">
        <f t="shared" si="19"/>
        <v>150000000</v>
      </c>
      <c r="J337" s="460"/>
      <c r="K337" s="460"/>
      <c r="L337" s="460"/>
      <c r="M337" s="459"/>
      <c r="N337" s="461"/>
      <c r="O337" s="462"/>
      <c r="P337" s="462"/>
    </row>
    <row r="338" spans="2:16">
      <c r="B338" s="455" t="s">
        <v>578</v>
      </c>
      <c r="C338" s="456">
        <v>44309</v>
      </c>
      <c r="D338" s="457">
        <v>1440</v>
      </c>
      <c r="E338" s="458" t="s">
        <v>576</v>
      </c>
      <c r="F338" s="459">
        <f t="shared" si="18"/>
        <v>400000000</v>
      </c>
      <c r="G338" s="459">
        <v>400000000</v>
      </c>
      <c r="H338" s="459">
        <v>0</v>
      </c>
      <c r="I338" s="459">
        <f t="shared" si="19"/>
        <v>400000000</v>
      </c>
      <c r="J338" s="460"/>
      <c r="K338" s="460"/>
      <c r="L338" s="460"/>
      <c r="M338" s="459"/>
      <c r="N338" s="461"/>
      <c r="O338" s="462"/>
      <c r="P338" s="462"/>
    </row>
    <row r="339" spans="2:16">
      <c r="B339" s="455" t="s">
        <v>596</v>
      </c>
      <c r="C339" s="456">
        <v>44309</v>
      </c>
      <c r="D339" s="457">
        <v>1440</v>
      </c>
      <c r="E339" s="458" t="s">
        <v>576</v>
      </c>
      <c r="F339" s="459">
        <f t="shared" si="18"/>
        <v>250000000</v>
      </c>
      <c r="G339" s="459">
        <v>250000000</v>
      </c>
      <c r="H339" s="459">
        <v>0</v>
      </c>
      <c r="I339" s="459">
        <f t="shared" si="19"/>
        <v>250000000</v>
      </c>
      <c r="J339" s="460"/>
      <c r="K339" s="460"/>
      <c r="L339" s="460"/>
      <c r="M339" s="459"/>
      <c r="N339" s="461"/>
      <c r="O339" s="462"/>
      <c r="P339" s="462"/>
    </row>
    <row r="340" spans="2:16">
      <c r="B340" s="455" t="s">
        <v>583</v>
      </c>
      <c r="C340" s="456">
        <v>44309</v>
      </c>
      <c r="D340" s="457">
        <v>1440</v>
      </c>
      <c r="E340" s="458" t="s">
        <v>576</v>
      </c>
      <c r="F340" s="459">
        <f t="shared" si="18"/>
        <v>10000000</v>
      </c>
      <c r="G340" s="459">
        <v>10000000</v>
      </c>
      <c r="H340" s="459">
        <v>0</v>
      </c>
      <c r="I340" s="459">
        <f t="shared" si="19"/>
        <v>10000000</v>
      </c>
      <c r="J340" s="460"/>
      <c r="K340" s="460"/>
      <c r="L340" s="460"/>
      <c r="M340" s="459"/>
      <c r="N340" s="461"/>
      <c r="O340" s="462"/>
      <c r="P340" s="462"/>
    </row>
    <row r="341" spans="2:16">
      <c r="B341" s="455" t="s">
        <v>575</v>
      </c>
      <c r="C341" s="456"/>
      <c r="D341" s="457"/>
      <c r="E341" s="458" t="s">
        <v>576</v>
      </c>
      <c r="F341" s="459"/>
      <c r="G341" s="459"/>
      <c r="H341" s="459"/>
      <c r="I341" s="459"/>
      <c r="J341" s="456">
        <v>44291</v>
      </c>
      <c r="K341" s="459">
        <v>0</v>
      </c>
      <c r="L341" s="459">
        <v>4049980</v>
      </c>
      <c r="M341" s="459">
        <f t="shared" ref="M341:M372" si="20">+K341+L341</f>
        <v>4049980</v>
      </c>
      <c r="N341" s="461"/>
      <c r="O341" s="462"/>
      <c r="P341" s="462"/>
    </row>
    <row r="342" spans="2:16">
      <c r="B342" s="455" t="s">
        <v>582</v>
      </c>
      <c r="C342" s="456"/>
      <c r="D342" s="457"/>
      <c r="E342" s="458" t="s">
        <v>576</v>
      </c>
      <c r="F342" s="459"/>
      <c r="G342" s="459"/>
      <c r="H342" s="459"/>
      <c r="I342" s="459"/>
      <c r="J342" s="456">
        <v>44291</v>
      </c>
      <c r="K342" s="459">
        <v>0</v>
      </c>
      <c r="L342" s="459">
        <v>962500</v>
      </c>
      <c r="M342" s="459">
        <f t="shared" si="20"/>
        <v>962500</v>
      </c>
      <c r="N342" s="461"/>
      <c r="O342" s="462"/>
      <c r="P342" s="462"/>
    </row>
    <row r="343" spans="2:16">
      <c r="B343" s="455" t="s">
        <v>582</v>
      </c>
      <c r="C343" s="456"/>
      <c r="D343" s="457"/>
      <c r="E343" s="458" t="s">
        <v>576</v>
      </c>
      <c r="F343" s="459"/>
      <c r="G343" s="459"/>
      <c r="H343" s="459"/>
      <c r="I343" s="459"/>
      <c r="J343" s="456">
        <v>44291</v>
      </c>
      <c r="K343" s="459">
        <v>0</v>
      </c>
      <c r="L343" s="459">
        <v>155000</v>
      </c>
      <c r="M343" s="459">
        <f t="shared" si="20"/>
        <v>155000</v>
      </c>
      <c r="N343" s="461"/>
      <c r="O343" s="462"/>
      <c r="P343" s="462"/>
    </row>
    <row r="344" spans="2:16">
      <c r="B344" s="455" t="s">
        <v>586</v>
      </c>
      <c r="C344" s="456"/>
      <c r="D344" s="457"/>
      <c r="E344" s="458" t="s">
        <v>576</v>
      </c>
      <c r="F344" s="459"/>
      <c r="G344" s="459"/>
      <c r="H344" s="459"/>
      <c r="I344" s="459"/>
      <c r="J344" s="456">
        <v>44291</v>
      </c>
      <c r="K344" s="459">
        <v>0</v>
      </c>
      <c r="L344" s="459">
        <v>212300</v>
      </c>
      <c r="M344" s="459">
        <f t="shared" si="20"/>
        <v>212300</v>
      </c>
      <c r="N344" s="461"/>
      <c r="O344" s="462"/>
      <c r="P344" s="462"/>
    </row>
    <row r="345" spans="2:16">
      <c r="B345" s="455" t="s">
        <v>585</v>
      </c>
      <c r="C345" s="456"/>
      <c r="D345" s="457"/>
      <c r="E345" s="458" t="s">
        <v>576</v>
      </c>
      <c r="F345" s="459"/>
      <c r="G345" s="459"/>
      <c r="H345" s="459"/>
      <c r="I345" s="459"/>
      <c r="J345" s="456">
        <v>44291</v>
      </c>
      <c r="K345" s="459">
        <v>0</v>
      </c>
      <c r="L345" s="459">
        <v>3249228</v>
      </c>
      <c r="M345" s="459">
        <f t="shared" si="20"/>
        <v>3249228</v>
      </c>
      <c r="N345" s="461"/>
      <c r="O345" s="462"/>
      <c r="P345" s="462"/>
    </row>
    <row r="346" spans="2:16">
      <c r="B346" s="455" t="s">
        <v>597</v>
      </c>
      <c r="C346" s="456"/>
      <c r="D346" s="457"/>
      <c r="E346" s="458" t="s">
        <v>576</v>
      </c>
      <c r="F346" s="459"/>
      <c r="G346" s="459"/>
      <c r="H346" s="459"/>
      <c r="I346" s="459"/>
      <c r="J346" s="456">
        <v>44291</v>
      </c>
      <c r="K346" s="459">
        <v>0</v>
      </c>
      <c r="L346" s="459">
        <v>166660</v>
      </c>
      <c r="M346" s="459">
        <f t="shared" si="20"/>
        <v>166660</v>
      </c>
      <c r="N346" s="461"/>
      <c r="O346" s="462"/>
      <c r="P346" s="462"/>
    </row>
    <row r="347" spans="2:16">
      <c r="B347" s="455" t="s">
        <v>582</v>
      </c>
      <c r="C347" s="456"/>
      <c r="D347" s="457"/>
      <c r="E347" s="458" t="s">
        <v>576</v>
      </c>
      <c r="F347" s="459"/>
      <c r="G347" s="459"/>
      <c r="H347" s="459"/>
      <c r="I347" s="459"/>
      <c r="J347" s="456">
        <v>44291</v>
      </c>
      <c r="K347" s="459">
        <v>0</v>
      </c>
      <c r="L347" s="459">
        <v>30000</v>
      </c>
      <c r="M347" s="459">
        <f t="shared" si="20"/>
        <v>30000</v>
      </c>
      <c r="N347" s="461"/>
      <c r="O347" s="462"/>
      <c r="P347" s="462"/>
    </row>
    <row r="348" spans="2:16">
      <c r="B348" s="455" t="s">
        <v>575</v>
      </c>
      <c r="C348" s="456"/>
      <c r="D348" s="457"/>
      <c r="E348" s="458" t="s">
        <v>576</v>
      </c>
      <c r="F348" s="459"/>
      <c r="G348" s="459"/>
      <c r="H348" s="459"/>
      <c r="I348" s="459"/>
      <c r="J348" s="456">
        <v>44291</v>
      </c>
      <c r="K348" s="459">
        <v>0</v>
      </c>
      <c r="L348" s="459">
        <v>2042222</v>
      </c>
      <c r="M348" s="459">
        <f t="shared" si="20"/>
        <v>2042222</v>
      </c>
      <c r="N348" s="461"/>
      <c r="O348" s="462"/>
      <c r="P348" s="462"/>
    </row>
    <row r="349" spans="2:16">
      <c r="B349" s="455" t="s">
        <v>581</v>
      </c>
      <c r="C349" s="456"/>
      <c r="D349" s="457"/>
      <c r="E349" s="458" t="s">
        <v>576</v>
      </c>
      <c r="F349" s="459"/>
      <c r="G349" s="459"/>
      <c r="H349" s="459"/>
      <c r="I349" s="459"/>
      <c r="J349" s="456">
        <v>44291</v>
      </c>
      <c r="K349" s="459">
        <v>0</v>
      </c>
      <c r="L349" s="459">
        <v>1531671</v>
      </c>
      <c r="M349" s="459">
        <f t="shared" si="20"/>
        <v>1531671</v>
      </c>
      <c r="N349" s="461"/>
      <c r="O349" s="462"/>
      <c r="P349" s="462"/>
    </row>
    <row r="350" spans="2:16">
      <c r="B350" s="455" t="s">
        <v>578</v>
      </c>
      <c r="C350" s="456"/>
      <c r="D350" s="457"/>
      <c r="E350" s="458" t="s">
        <v>576</v>
      </c>
      <c r="F350" s="459"/>
      <c r="G350" s="459"/>
      <c r="H350" s="459"/>
      <c r="I350" s="459"/>
      <c r="J350" s="456">
        <v>44291</v>
      </c>
      <c r="K350" s="459">
        <v>0</v>
      </c>
      <c r="L350" s="459">
        <v>2663272</v>
      </c>
      <c r="M350" s="459">
        <f t="shared" si="20"/>
        <v>2663272</v>
      </c>
      <c r="N350" s="461"/>
      <c r="O350" s="462"/>
      <c r="P350" s="462"/>
    </row>
    <row r="351" spans="2:16">
      <c r="B351" s="455" t="s">
        <v>598</v>
      </c>
      <c r="C351" s="456"/>
      <c r="D351" s="457"/>
      <c r="E351" s="458" t="s">
        <v>576</v>
      </c>
      <c r="F351" s="459"/>
      <c r="G351" s="459"/>
      <c r="H351" s="459"/>
      <c r="I351" s="459"/>
      <c r="J351" s="456">
        <v>44291</v>
      </c>
      <c r="K351" s="459">
        <v>0</v>
      </c>
      <c r="L351" s="459">
        <v>548438</v>
      </c>
      <c r="M351" s="459">
        <f t="shared" si="20"/>
        <v>548438</v>
      </c>
      <c r="N351" s="461"/>
      <c r="O351" s="462"/>
      <c r="P351" s="462"/>
    </row>
    <row r="352" spans="2:16">
      <c r="B352" s="455" t="s">
        <v>581</v>
      </c>
      <c r="C352" s="456"/>
      <c r="D352" s="457"/>
      <c r="E352" s="458" t="s">
        <v>576</v>
      </c>
      <c r="F352" s="459"/>
      <c r="G352" s="459"/>
      <c r="H352" s="459"/>
      <c r="I352" s="459"/>
      <c r="J352" s="456">
        <v>44291</v>
      </c>
      <c r="K352" s="459">
        <v>0</v>
      </c>
      <c r="L352" s="459">
        <v>6750000</v>
      </c>
      <c r="M352" s="459">
        <f t="shared" si="20"/>
        <v>6750000</v>
      </c>
      <c r="N352" s="461"/>
      <c r="O352" s="462"/>
      <c r="P352" s="462"/>
    </row>
    <row r="353" spans="2:16">
      <c r="B353" s="455" t="s">
        <v>582</v>
      </c>
      <c r="C353" s="456"/>
      <c r="D353" s="457"/>
      <c r="E353" s="458" t="s">
        <v>576</v>
      </c>
      <c r="F353" s="459"/>
      <c r="G353" s="459"/>
      <c r="H353" s="459"/>
      <c r="I353" s="459"/>
      <c r="J353" s="456">
        <v>44292</v>
      </c>
      <c r="K353" s="459">
        <v>0</v>
      </c>
      <c r="L353" s="459">
        <v>356934</v>
      </c>
      <c r="M353" s="459">
        <f t="shared" si="20"/>
        <v>356934</v>
      </c>
      <c r="N353" s="461"/>
      <c r="O353" s="462"/>
      <c r="P353" s="462"/>
    </row>
    <row r="354" spans="2:16">
      <c r="B354" s="455" t="s">
        <v>577</v>
      </c>
      <c r="C354" s="456"/>
      <c r="D354" s="457"/>
      <c r="E354" s="458" t="s">
        <v>576</v>
      </c>
      <c r="F354" s="459"/>
      <c r="G354" s="459"/>
      <c r="H354" s="459"/>
      <c r="I354" s="459"/>
      <c r="J354" s="456">
        <v>44292</v>
      </c>
      <c r="K354" s="459">
        <v>0</v>
      </c>
      <c r="L354" s="459">
        <v>9371994</v>
      </c>
      <c r="M354" s="459">
        <f t="shared" si="20"/>
        <v>9371994</v>
      </c>
      <c r="N354" s="461"/>
      <c r="O354" s="462"/>
      <c r="P354" s="462"/>
    </row>
    <row r="355" spans="2:16">
      <c r="B355" s="455" t="s">
        <v>585</v>
      </c>
      <c r="C355" s="456"/>
      <c r="D355" s="457"/>
      <c r="E355" s="458" t="s">
        <v>576</v>
      </c>
      <c r="F355" s="459"/>
      <c r="G355" s="459"/>
      <c r="H355" s="459"/>
      <c r="I355" s="459"/>
      <c r="J355" s="456">
        <v>44292</v>
      </c>
      <c r="K355" s="459">
        <v>0</v>
      </c>
      <c r="L355" s="459">
        <v>1252431</v>
      </c>
      <c r="M355" s="459">
        <f t="shared" si="20"/>
        <v>1252431</v>
      </c>
      <c r="N355" s="461"/>
      <c r="O355" s="462"/>
      <c r="P355" s="462"/>
    </row>
    <row r="356" spans="2:16">
      <c r="B356" s="455" t="s">
        <v>585</v>
      </c>
      <c r="C356" s="456"/>
      <c r="D356" s="457"/>
      <c r="E356" s="458" t="s">
        <v>576</v>
      </c>
      <c r="F356" s="459"/>
      <c r="G356" s="459"/>
      <c r="H356" s="459"/>
      <c r="I356" s="459"/>
      <c r="J356" s="456">
        <v>44293</v>
      </c>
      <c r="K356" s="459">
        <v>0</v>
      </c>
      <c r="L356" s="459">
        <v>3265625</v>
      </c>
      <c r="M356" s="459">
        <f t="shared" si="20"/>
        <v>3265625</v>
      </c>
      <c r="N356" s="461"/>
      <c r="O356" s="462"/>
      <c r="P356" s="462"/>
    </row>
    <row r="357" spans="2:16">
      <c r="B357" s="455" t="s">
        <v>582</v>
      </c>
      <c r="C357" s="456"/>
      <c r="D357" s="457"/>
      <c r="E357" s="458" t="s">
        <v>576</v>
      </c>
      <c r="F357" s="459"/>
      <c r="G357" s="459"/>
      <c r="H357" s="459"/>
      <c r="I357" s="459"/>
      <c r="J357" s="456">
        <v>44293</v>
      </c>
      <c r="K357" s="459">
        <v>0</v>
      </c>
      <c r="L357" s="459">
        <v>296875</v>
      </c>
      <c r="M357" s="459">
        <f t="shared" si="20"/>
        <v>296875</v>
      </c>
      <c r="N357" s="461"/>
      <c r="O357" s="462"/>
      <c r="P357" s="462"/>
    </row>
    <row r="358" spans="2:16">
      <c r="B358" s="455" t="s">
        <v>585</v>
      </c>
      <c r="C358" s="456"/>
      <c r="D358" s="457"/>
      <c r="E358" s="458" t="s">
        <v>576</v>
      </c>
      <c r="F358" s="459"/>
      <c r="G358" s="459"/>
      <c r="H358" s="459"/>
      <c r="I358" s="459"/>
      <c r="J358" s="456">
        <v>44293</v>
      </c>
      <c r="K358" s="459">
        <v>0</v>
      </c>
      <c r="L358" s="459">
        <v>3062500</v>
      </c>
      <c r="M358" s="459">
        <f t="shared" si="20"/>
        <v>3062500</v>
      </c>
      <c r="N358" s="461"/>
      <c r="O358" s="462"/>
      <c r="P358" s="462"/>
    </row>
    <row r="359" spans="2:16">
      <c r="B359" s="455" t="s">
        <v>582</v>
      </c>
      <c r="C359" s="456"/>
      <c r="D359" s="457"/>
      <c r="E359" s="458" t="s">
        <v>576</v>
      </c>
      <c r="F359" s="459"/>
      <c r="G359" s="459"/>
      <c r="H359" s="459"/>
      <c r="I359" s="459"/>
      <c r="J359" s="456">
        <v>44293</v>
      </c>
      <c r="K359" s="459">
        <v>0</v>
      </c>
      <c r="L359" s="459">
        <v>192846</v>
      </c>
      <c r="M359" s="459">
        <f t="shared" si="20"/>
        <v>192846</v>
      </c>
      <c r="N359" s="461"/>
      <c r="O359" s="462"/>
      <c r="P359" s="462"/>
    </row>
    <row r="360" spans="2:16">
      <c r="B360" s="455" t="s">
        <v>583</v>
      </c>
      <c r="C360" s="456"/>
      <c r="D360" s="457"/>
      <c r="E360" s="458" t="s">
        <v>576</v>
      </c>
      <c r="F360" s="459"/>
      <c r="G360" s="459"/>
      <c r="H360" s="459"/>
      <c r="I360" s="459"/>
      <c r="J360" s="456">
        <v>44293</v>
      </c>
      <c r="K360" s="459">
        <v>0</v>
      </c>
      <c r="L360" s="459">
        <v>113404</v>
      </c>
      <c r="M360" s="459">
        <f t="shared" si="20"/>
        <v>113404</v>
      </c>
      <c r="N360" s="461"/>
      <c r="O360" s="462"/>
      <c r="P360" s="462"/>
    </row>
    <row r="361" spans="2:16">
      <c r="B361" s="455" t="s">
        <v>575</v>
      </c>
      <c r="C361" s="456"/>
      <c r="D361" s="457"/>
      <c r="E361" s="458" t="s">
        <v>576</v>
      </c>
      <c r="F361" s="459"/>
      <c r="G361" s="459"/>
      <c r="H361" s="459"/>
      <c r="I361" s="459"/>
      <c r="J361" s="456">
        <v>44293</v>
      </c>
      <c r="K361" s="459">
        <v>0</v>
      </c>
      <c r="L361" s="459">
        <v>6125000</v>
      </c>
      <c r="M361" s="459">
        <f t="shared" si="20"/>
        <v>6125000</v>
      </c>
      <c r="N361" s="461"/>
      <c r="O361" s="462"/>
      <c r="P361" s="462"/>
    </row>
    <row r="362" spans="2:16">
      <c r="B362" s="455" t="s">
        <v>581</v>
      </c>
      <c r="C362" s="456"/>
      <c r="D362" s="457"/>
      <c r="E362" s="458" t="s">
        <v>576</v>
      </c>
      <c r="F362" s="459"/>
      <c r="G362" s="459"/>
      <c r="H362" s="459"/>
      <c r="I362" s="459"/>
      <c r="J362" s="456">
        <v>44293</v>
      </c>
      <c r="K362" s="459">
        <v>0</v>
      </c>
      <c r="L362" s="459">
        <v>3265625</v>
      </c>
      <c r="M362" s="459">
        <f t="shared" si="20"/>
        <v>3265625</v>
      </c>
      <c r="N362" s="461"/>
      <c r="O362" s="462"/>
      <c r="P362" s="462"/>
    </row>
    <row r="363" spans="2:16">
      <c r="B363" s="455" t="s">
        <v>577</v>
      </c>
      <c r="C363" s="456"/>
      <c r="D363" s="457"/>
      <c r="E363" s="458" t="s">
        <v>576</v>
      </c>
      <c r="F363" s="459"/>
      <c r="G363" s="459"/>
      <c r="H363" s="459"/>
      <c r="I363" s="459"/>
      <c r="J363" s="456">
        <v>44293</v>
      </c>
      <c r="K363" s="459">
        <v>0</v>
      </c>
      <c r="L363" s="459">
        <v>3265625</v>
      </c>
      <c r="M363" s="459">
        <f t="shared" si="20"/>
        <v>3265625</v>
      </c>
      <c r="N363" s="461"/>
      <c r="O363" s="462"/>
      <c r="P363" s="462"/>
    </row>
    <row r="364" spans="2:16">
      <c r="B364" s="455" t="s">
        <v>581</v>
      </c>
      <c r="C364" s="456"/>
      <c r="D364" s="457"/>
      <c r="E364" s="458" t="s">
        <v>576</v>
      </c>
      <c r="F364" s="459"/>
      <c r="G364" s="459"/>
      <c r="H364" s="459"/>
      <c r="I364" s="459"/>
      <c r="J364" s="456">
        <v>44294</v>
      </c>
      <c r="K364" s="459">
        <v>0</v>
      </c>
      <c r="L364" s="459">
        <v>2875000</v>
      </c>
      <c r="M364" s="459">
        <f t="shared" si="20"/>
        <v>2875000</v>
      </c>
      <c r="N364" s="461"/>
      <c r="O364" s="462"/>
      <c r="P364" s="462"/>
    </row>
    <row r="365" spans="2:16">
      <c r="B365" s="455" t="s">
        <v>575</v>
      </c>
      <c r="C365" s="456"/>
      <c r="D365" s="457"/>
      <c r="E365" s="458" t="s">
        <v>576</v>
      </c>
      <c r="F365" s="459"/>
      <c r="G365" s="459"/>
      <c r="H365" s="459"/>
      <c r="I365" s="459"/>
      <c r="J365" s="456">
        <v>44295</v>
      </c>
      <c r="K365" s="459">
        <v>0</v>
      </c>
      <c r="L365" s="459">
        <v>11687500</v>
      </c>
      <c r="M365" s="459">
        <f t="shared" si="20"/>
        <v>11687500</v>
      </c>
      <c r="N365" s="461"/>
      <c r="O365" s="462"/>
      <c r="P365" s="462"/>
    </row>
    <row r="366" spans="2:16">
      <c r="B366" s="455" t="s">
        <v>583</v>
      </c>
      <c r="C366" s="456"/>
      <c r="D366" s="457"/>
      <c r="E366" s="458" t="s">
        <v>576</v>
      </c>
      <c r="F366" s="459"/>
      <c r="G366" s="459"/>
      <c r="H366" s="459"/>
      <c r="I366" s="459"/>
      <c r="J366" s="456">
        <v>44298</v>
      </c>
      <c r="K366" s="459">
        <v>0</v>
      </c>
      <c r="L366" s="459">
        <v>5391</v>
      </c>
      <c r="M366" s="459">
        <f t="shared" si="20"/>
        <v>5391</v>
      </c>
      <c r="N366" s="461"/>
      <c r="O366" s="462"/>
      <c r="P366" s="462"/>
    </row>
    <row r="367" spans="2:16">
      <c r="B367" s="455" t="s">
        <v>582</v>
      </c>
      <c r="C367" s="456"/>
      <c r="D367" s="457"/>
      <c r="E367" s="458" t="s">
        <v>576</v>
      </c>
      <c r="F367" s="459"/>
      <c r="G367" s="459"/>
      <c r="H367" s="459"/>
      <c r="I367" s="459"/>
      <c r="J367" s="456">
        <v>44298</v>
      </c>
      <c r="K367" s="459">
        <v>0</v>
      </c>
      <c r="L367" s="459">
        <v>12938</v>
      </c>
      <c r="M367" s="459">
        <f t="shared" si="20"/>
        <v>12938</v>
      </c>
      <c r="N367" s="461"/>
      <c r="O367" s="462"/>
      <c r="P367" s="462"/>
    </row>
    <row r="368" spans="2:16">
      <c r="B368" s="455" t="s">
        <v>575</v>
      </c>
      <c r="C368" s="456"/>
      <c r="D368" s="457"/>
      <c r="E368" s="458" t="s">
        <v>576</v>
      </c>
      <c r="F368" s="459"/>
      <c r="G368" s="459"/>
      <c r="H368" s="459"/>
      <c r="I368" s="459"/>
      <c r="J368" s="456">
        <v>44298</v>
      </c>
      <c r="K368" s="459">
        <v>0</v>
      </c>
      <c r="L368" s="459">
        <v>4494940</v>
      </c>
      <c r="M368" s="459">
        <f t="shared" si="20"/>
        <v>4494940</v>
      </c>
      <c r="N368" s="461"/>
      <c r="O368" s="462"/>
      <c r="P368" s="462"/>
    </row>
    <row r="369" spans="2:16">
      <c r="B369" s="455" t="s">
        <v>575</v>
      </c>
      <c r="C369" s="456"/>
      <c r="D369" s="457"/>
      <c r="E369" s="458" t="s">
        <v>576</v>
      </c>
      <c r="F369" s="459"/>
      <c r="G369" s="459"/>
      <c r="H369" s="459"/>
      <c r="I369" s="459"/>
      <c r="J369" s="456">
        <v>44299</v>
      </c>
      <c r="K369" s="459">
        <v>0</v>
      </c>
      <c r="L369" s="459">
        <v>3692954</v>
      </c>
      <c r="M369" s="459">
        <f t="shared" si="20"/>
        <v>3692954</v>
      </c>
      <c r="N369" s="461"/>
      <c r="O369" s="462"/>
      <c r="P369" s="462"/>
    </row>
    <row r="370" spans="2:16">
      <c r="B370" s="455" t="s">
        <v>582</v>
      </c>
      <c r="C370" s="456"/>
      <c r="D370" s="457"/>
      <c r="E370" s="458" t="s">
        <v>576</v>
      </c>
      <c r="F370" s="459"/>
      <c r="G370" s="459"/>
      <c r="H370" s="459"/>
      <c r="I370" s="459"/>
      <c r="J370" s="456">
        <v>44299</v>
      </c>
      <c r="K370" s="459">
        <v>0</v>
      </c>
      <c r="L370" s="459">
        <v>88750</v>
      </c>
      <c r="M370" s="459">
        <f t="shared" si="20"/>
        <v>88750</v>
      </c>
      <c r="N370" s="461"/>
      <c r="O370" s="462"/>
      <c r="P370" s="462"/>
    </row>
    <row r="371" spans="2:16">
      <c r="B371" s="455" t="s">
        <v>581</v>
      </c>
      <c r="C371" s="456"/>
      <c r="D371" s="457"/>
      <c r="E371" s="458" t="s">
        <v>576</v>
      </c>
      <c r="F371" s="459"/>
      <c r="G371" s="459"/>
      <c r="H371" s="459"/>
      <c r="I371" s="459"/>
      <c r="J371" s="456">
        <v>44300</v>
      </c>
      <c r="K371" s="459">
        <v>0</v>
      </c>
      <c r="L371" s="459">
        <v>1806234</v>
      </c>
      <c r="M371" s="459">
        <f t="shared" si="20"/>
        <v>1806234</v>
      </c>
      <c r="N371" s="461"/>
      <c r="O371" s="462"/>
      <c r="P371" s="462"/>
    </row>
    <row r="372" spans="2:16">
      <c r="B372" s="455" t="s">
        <v>581</v>
      </c>
      <c r="C372" s="456"/>
      <c r="D372" s="457"/>
      <c r="E372" s="458" t="s">
        <v>576</v>
      </c>
      <c r="F372" s="459"/>
      <c r="G372" s="459"/>
      <c r="H372" s="459"/>
      <c r="I372" s="459"/>
      <c r="J372" s="456">
        <v>44300</v>
      </c>
      <c r="K372" s="459">
        <v>0</v>
      </c>
      <c r="L372" s="459">
        <v>1727940</v>
      </c>
      <c r="M372" s="459">
        <f t="shared" si="20"/>
        <v>1727940</v>
      </c>
      <c r="N372" s="461"/>
      <c r="O372" s="462"/>
      <c r="P372" s="462"/>
    </row>
    <row r="373" spans="2:16">
      <c r="B373" s="455" t="s">
        <v>578</v>
      </c>
      <c r="C373" s="456"/>
      <c r="D373" s="457"/>
      <c r="E373" s="458" t="s">
        <v>576</v>
      </c>
      <c r="F373" s="459"/>
      <c r="G373" s="459"/>
      <c r="H373" s="459"/>
      <c r="I373" s="459"/>
      <c r="J373" s="456">
        <v>44300</v>
      </c>
      <c r="K373" s="459">
        <v>0</v>
      </c>
      <c r="L373" s="459">
        <v>10626980</v>
      </c>
      <c r="M373" s="459">
        <f t="shared" ref="M373:M404" si="21">+K373+L373</f>
        <v>10626980</v>
      </c>
      <c r="N373" s="461"/>
      <c r="O373" s="462"/>
      <c r="P373" s="462"/>
    </row>
    <row r="374" spans="2:16">
      <c r="B374" s="455" t="s">
        <v>575</v>
      </c>
      <c r="C374" s="456"/>
      <c r="D374" s="457"/>
      <c r="E374" s="458" t="s">
        <v>576</v>
      </c>
      <c r="F374" s="459"/>
      <c r="G374" s="459"/>
      <c r="H374" s="459"/>
      <c r="I374" s="459"/>
      <c r="J374" s="456">
        <v>44300</v>
      </c>
      <c r="K374" s="459">
        <v>0</v>
      </c>
      <c r="L374" s="459">
        <v>4319843</v>
      </c>
      <c r="M374" s="459">
        <f t="shared" si="21"/>
        <v>4319843</v>
      </c>
      <c r="N374" s="461"/>
      <c r="O374" s="462"/>
      <c r="P374" s="462"/>
    </row>
    <row r="375" spans="2:16">
      <c r="B375" s="455" t="s">
        <v>577</v>
      </c>
      <c r="C375" s="456"/>
      <c r="D375" s="457"/>
      <c r="E375" s="458" t="s">
        <v>576</v>
      </c>
      <c r="F375" s="459"/>
      <c r="G375" s="459"/>
      <c r="H375" s="459"/>
      <c r="I375" s="459"/>
      <c r="J375" s="456">
        <v>44300</v>
      </c>
      <c r="K375" s="459">
        <v>0</v>
      </c>
      <c r="L375" s="459">
        <v>386913</v>
      </c>
      <c r="M375" s="459">
        <f t="shared" si="21"/>
        <v>386913</v>
      </c>
      <c r="N375" s="461"/>
      <c r="O375" s="462"/>
      <c r="P375" s="462"/>
    </row>
    <row r="376" spans="2:16">
      <c r="B376" s="455" t="s">
        <v>575</v>
      </c>
      <c r="C376" s="456"/>
      <c r="D376" s="457"/>
      <c r="E376" s="458" t="s">
        <v>576</v>
      </c>
      <c r="F376" s="459"/>
      <c r="G376" s="459"/>
      <c r="H376" s="459"/>
      <c r="I376" s="459"/>
      <c r="J376" s="456">
        <v>44300</v>
      </c>
      <c r="K376" s="459">
        <v>0</v>
      </c>
      <c r="L376" s="459">
        <v>2656225</v>
      </c>
      <c r="M376" s="459">
        <f t="shared" si="21"/>
        <v>2656225</v>
      </c>
      <c r="N376" s="461"/>
      <c r="O376" s="462"/>
      <c r="P376" s="462"/>
    </row>
    <row r="377" spans="2:16">
      <c r="B377" s="455" t="s">
        <v>582</v>
      </c>
      <c r="C377" s="456"/>
      <c r="D377" s="457"/>
      <c r="E377" s="458" t="s">
        <v>576</v>
      </c>
      <c r="F377" s="459"/>
      <c r="G377" s="459"/>
      <c r="H377" s="459"/>
      <c r="I377" s="459"/>
      <c r="J377" s="456">
        <v>44300</v>
      </c>
      <c r="K377" s="459">
        <v>0</v>
      </c>
      <c r="L377" s="459">
        <v>290625</v>
      </c>
      <c r="M377" s="459">
        <f t="shared" si="21"/>
        <v>290625</v>
      </c>
      <c r="N377" s="461"/>
      <c r="O377" s="462"/>
      <c r="P377" s="462"/>
    </row>
    <row r="378" spans="2:16">
      <c r="B378" s="455" t="s">
        <v>582</v>
      </c>
      <c r="C378" s="456"/>
      <c r="D378" s="457"/>
      <c r="E378" s="458" t="s">
        <v>576</v>
      </c>
      <c r="F378" s="459"/>
      <c r="G378" s="459"/>
      <c r="H378" s="459"/>
      <c r="I378" s="459"/>
      <c r="J378" s="456">
        <v>44301</v>
      </c>
      <c r="K378" s="459">
        <v>0</v>
      </c>
      <c r="L378" s="459">
        <v>135938</v>
      </c>
      <c r="M378" s="459">
        <f t="shared" si="21"/>
        <v>135938</v>
      </c>
      <c r="N378" s="461"/>
      <c r="O378" s="462"/>
      <c r="P378" s="462"/>
    </row>
    <row r="379" spans="2:16">
      <c r="B379" s="455" t="s">
        <v>586</v>
      </c>
      <c r="C379" s="456"/>
      <c r="D379" s="457"/>
      <c r="E379" s="458" t="s">
        <v>576</v>
      </c>
      <c r="F379" s="459"/>
      <c r="G379" s="459"/>
      <c r="H379" s="459"/>
      <c r="I379" s="459"/>
      <c r="J379" s="456">
        <v>44301</v>
      </c>
      <c r="K379" s="459">
        <v>0</v>
      </c>
      <c r="L379" s="459">
        <v>122344</v>
      </c>
      <c r="M379" s="459">
        <f t="shared" si="21"/>
        <v>122344</v>
      </c>
      <c r="N379" s="461"/>
      <c r="O379" s="462"/>
      <c r="P379" s="462"/>
    </row>
    <row r="380" spans="2:16">
      <c r="B380" s="455" t="s">
        <v>575</v>
      </c>
      <c r="C380" s="456"/>
      <c r="D380" s="457"/>
      <c r="E380" s="458" t="s">
        <v>576</v>
      </c>
      <c r="F380" s="459"/>
      <c r="G380" s="459"/>
      <c r="H380" s="459"/>
      <c r="I380" s="459"/>
      <c r="J380" s="456">
        <v>44301</v>
      </c>
      <c r="K380" s="459">
        <v>0</v>
      </c>
      <c r="L380" s="459">
        <v>3964862</v>
      </c>
      <c r="M380" s="459">
        <f t="shared" si="21"/>
        <v>3964862</v>
      </c>
      <c r="N380" s="461"/>
      <c r="O380" s="462"/>
      <c r="P380" s="462"/>
    </row>
    <row r="381" spans="2:16">
      <c r="B381" s="455" t="s">
        <v>577</v>
      </c>
      <c r="C381" s="456"/>
      <c r="D381" s="457"/>
      <c r="E381" s="458" t="s">
        <v>576</v>
      </c>
      <c r="F381" s="459"/>
      <c r="G381" s="459"/>
      <c r="H381" s="459"/>
      <c r="I381" s="459"/>
      <c r="J381" s="456">
        <v>44301</v>
      </c>
      <c r="K381" s="459">
        <v>0</v>
      </c>
      <c r="L381" s="459">
        <v>9492951</v>
      </c>
      <c r="M381" s="459">
        <f t="shared" si="21"/>
        <v>9492951</v>
      </c>
      <c r="N381" s="461"/>
      <c r="O381" s="462"/>
      <c r="P381" s="462"/>
    </row>
    <row r="382" spans="2:16">
      <c r="B382" s="455" t="s">
        <v>583</v>
      </c>
      <c r="C382" s="456"/>
      <c r="D382" s="457"/>
      <c r="E382" s="458" t="s">
        <v>576</v>
      </c>
      <c r="F382" s="459"/>
      <c r="G382" s="459"/>
      <c r="H382" s="459"/>
      <c r="I382" s="459"/>
      <c r="J382" s="456">
        <v>44302</v>
      </c>
      <c r="K382" s="459">
        <v>0</v>
      </c>
      <c r="L382" s="459">
        <v>3931</v>
      </c>
      <c r="M382" s="459">
        <f t="shared" si="21"/>
        <v>3931</v>
      </c>
      <c r="N382" s="461"/>
      <c r="O382" s="462"/>
      <c r="P382" s="462"/>
    </row>
    <row r="383" spans="2:16">
      <c r="B383" s="455" t="s">
        <v>582</v>
      </c>
      <c r="C383" s="456"/>
      <c r="D383" s="457"/>
      <c r="E383" s="458" t="s">
        <v>576</v>
      </c>
      <c r="F383" s="459"/>
      <c r="G383" s="459"/>
      <c r="H383" s="459"/>
      <c r="I383" s="459"/>
      <c r="J383" s="456">
        <v>44302</v>
      </c>
      <c r="K383" s="459">
        <v>0</v>
      </c>
      <c r="L383" s="459">
        <v>115625</v>
      </c>
      <c r="M383" s="459">
        <f t="shared" si="21"/>
        <v>115625</v>
      </c>
      <c r="N383" s="461"/>
      <c r="O383" s="462"/>
      <c r="P383" s="462"/>
    </row>
    <row r="384" spans="2:16">
      <c r="B384" s="455" t="s">
        <v>575</v>
      </c>
      <c r="C384" s="456"/>
      <c r="D384" s="457"/>
      <c r="E384" s="458" t="s">
        <v>576</v>
      </c>
      <c r="F384" s="459"/>
      <c r="G384" s="459"/>
      <c r="H384" s="459"/>
      <c r="I384" s="459"/>
      <c r="J384" s="456">
        <v>44302</v>
      </c>
      <c r="K384" s="459">
        <v>0</v>
      </c>
      <c r="L384" s="459">
        <v>6300000</v>
      </c>
      <c r="M384" s="459">
        <f t="shared" si="21"/>
        <v>6300000</v>
      </c>
      <c r="N384" s="461"/>
      <c r="O384" s="462"/>
      <c r="P384" s="462"/>
    </row>
    <row r="385" spans="2:16">
      <c r="B385" s="455" t="s">
        <v>597</v>
      </c>
      <c r="C385" s="456"/>
      <c r="D385" s="457"/>
      <c r="E385" s="458" t="s">
        <v>576</v>
      </c>
      <c r="F385" s="459"/>
      <c r="G385" s="459"/>
      <c r="H385" s="459"/>
      <c r="I385" s="459"/>
      <c r="J385" s="456">
        <v>44302</v>
      </c>
      <c r="K385" s="459">
        <v>0</v>
      </c>
      <c r="L385" s="459">
        <v>1575000</v>
      </c>
      <c r="M385" s="459">
        <f t="shared" si="21"/>
        <v>1575000</v>
      </c>
      <c r="N385" s="461"/>
      <c r="O385" s="462"/>
      <c r="P385" s="462"/>
    </row>
    <row r="386" spans="2:16">
      <c r="B386" s="455" t="s">
        <v>596</v>
      </c>
      <c r="C386" s="456"/>
      <c r="D386" s="457"/>
      <c r="E386" s="458" t="s">
        <v>576</v>
      </c>
      <c r="F386" s="459"/>
      <c r="G386" s="459"/>
      <c r="H386" s="459"/>
      <c r="I386" s="459"/>
      <c r="J386" s="456">
        <v>44302</v>
      </c>
      <c r="K386" s="459">
        <v>0</v>
      </c>
      <c r="L386" s="459">
        <v>11563</v>
      </c>
      <c r="M386" s="459">
        <f t="shared" si="21"/>
        <v>11563</v>
      </c>
      <c r="N386" s="461"/>
      <c r="O386" s="462"/>
      <c r="P386" s="462"/>
    </row>
    <row r="387" spans="2:16">
      <c r="B387" s="455" t="s">
        <v>575</v>
      </c>
      <c r="C387" s="456"/>
      <c r="D387" s="457"/>
      <c r="E387" s="458" t="s">
        <v>576</v>
      </c>
      <c r="F387" s="459"/>
      <c r="G387" s="459"/>
      <c r="H387" s="459"/>
      <c r="I387" s="459"/>
      <c r="J387" s="456">
        <v>44302</v>
      </c>
      <c r="K387" s="459">
        <v>0</v>
      </c>
      <c r="L387" s="459">
        <v>3875000</v>
      </c>
      <c r="M387" s="459">
        <f t="shared" si="21"/>
        <v>3875000</v>
      </c>
      <c r="N387" s="461"/>
      <c r="O387" s="462"/>
      <c r="P387" s="462"/>
    </row>
    <row r="388" spans="2:16">
      <c r="B388" s="455" t="s">
        <v>582</v>
      </c>
      <c r="C388" s="456"/>
      <c r="D388" s="457"/>
      <c r="E388" s="458" t="s">
        <v>576</v>
      </c>
      <c r="F388" s="459"/>
      <c r="G388" s="459"/>
      <c r="H388" s="459"/>
      <c r="I388" s="459"/>
      <c r="J388" s="456">
        <v>44305</v>
      </c>
      <c r="K388" s="459">
        <v>0</v>
      </c>
      <c r="L388" s="459">
        <v>155000</v>
      </c>
      <c r="M388" s="459">
        <f t="shared" si="21"/>
        <v>155000</v>
      </c>
      <c r="N388" s="461"/>
      <c r="O388" s="462"/>
      <c r="P388" s="462"/>
    </row>
    <row r="389" spans="2:16">
      <c r="B389" s="455" t="s">
        <v>577</v>
      </c>
      <c r="C389" s="456"/>
      <c r="D389" s="457"/>
      <c r="E389" s="458" t="s">
        <v>576</v>
      </c>
      <c r="F389" s="459"/>
      <c r="G389" s="459"/>
      <c r="H389" s="459"/>
      <c r="I389" s="459"/>
      <c r="J389" s="456">
        <v>44305</v>
      </c>
      <c r="K389" s="459">
        <v>0</v>
      </c>
      <c r="L389" s="459">
        <v>6230849</v>
      </c>
      <c r="M389" s="459">
        <f t="shared" si="21"/>
        <v>6230849</v>
      </c>
      <c r="N389" s="461"/>
      <c r="O389" s="462"/>
      <c r="P389" s="462"/>
    </row>
    <row r="390" spans="2:16">
      <c r="B390" s="455" t="s">
        <v>599</v>
      </c>
      <c r="C390" s="456"/>
      <c r="D390" s="457"/>
      <c r="E390" s="458" t="s">
        <v>576</v>
      </c>
      <c r="F390" s="459"/>
      <c r="G390" s="459"/>
      <c r="H390" s="459"/>
      <c r="I390" s="459"/>
      <c r="J390" s="456">
        <v>44305</v>
      </c>
      <c r="K390" s="459">
        <v>0</v>
      </c>
      <c r="L390" s="459">
        <v>48825</v>
      </c>
      <c r="M390" s="459">
        <f t="shared" si="21"/>
        <v>48825</v>
      </c>
      <c r="N390" s="461"/>
      <c r="O390" s="462"/>
      <c r="P390" s="462"/>
    </row>
    <row r="391" spans="2:16">
      <c r="B391" s="455" t="s">
        <v>575</v>
      </c>
      <c r="C391" s="456"/>
      <c r="D391" s="457"/>
      <c r="E391" s="458" t="s">
        <v>576</v>
      </c>
      <c r="F391" s="459"/>
      <c r="G391" s="459"/>
      <c r="H391" s="459"/>
      <c r="I391" s="459"/>
      <c r="J391" s="456">
        <v>44305</v>
      </c>
      <c r="K391" s="459">
        <v>0</v>
      </c>
      <c r="L391" s="459">
        <v>946845</v>
      </c>
      <c r="M391" s="459">
        <f t="shared" si="21"/>
        <v>946845</v>
      </c>
      <c r="N391" s="461"/>
      <c r="O391" s="462"/>
      <c r="P391" s="462"/>
    </row>
    <row r="392" spans="2:16">
      <c r="B392" s="455" t="s">
        <v>575</v>
      </c>
      <c r="C392" s="456"/>
      <c r="D392" s="457"/>
      <c r="E392" s="458" t="s">
        <v>576</v>
      </c>
      <c r="F392" s="459"/>
      <c r="G392" s="459"/>
      <c r="H392" s="459"/>
      <c r="I392" s="459"/>
      <c r="J392" s="456">
        <v>44305</v>
      </c>
      <c r="K392" s="459">
        <v>0</v>
      </c>
      <c r="L392" s="459">
        <v>6059028</v>
      </c>
      <c r="M392" s="459">
        <f t="shared" si="21"/>
        <v>6059028</v>
      </c>
      <c r="N392" s="461"/>
      <c r="O392" s="462"/>
      <c r="P392" s="462"/>
    </row>
    <row r="393" spans="2:16">
      <c r="B393" s="455" t="s">
        <v>586</v>
      </c>
      <c r="C393" s="456"/>
      <c r="D393" s="457"/>
      <c r="E393" s="458" t="s">
        <v>576</v>
      </c>
      <c r="F393" s="459"/>
      <c r="G393" s="459"/>
      <c r="H393" s="459"/>
      <c r="I393" s="459"/>
      <c r="J393" s="456">
        <v>44305</v>
      </c>
      <c r="K393" s="459">
        <v>0</v>
      </c>
      <c r="L393" s="459">
        <v>9688</v>
      </c>
      <c r="M393" s="459">
        <f t="shared" si="21"/>
        <v>9688</v>
      </c>
      <c r="N393" s="461"/>
      <c r="O393" s="462"/>
      <c r="P393" s="462"/>
    </row>
    <row r="394" spans="2:16">
      <c r="B394" s="455" t="s">
        <v>577</v>
      </c>
      <c r="C394" s="456"/>
      <c r="D394" s="457"/>
      <c r="E394" s="458" t="s">
        <v>576</v>
      </c>
      <c r="F394" s="459"/>
      <c r="G394" s="459"/>
      <c r="H394" s="459"/>
      <c r="I394" s="459"/>
      <c r="J394" s="456">
        <v>44305</v>
      </c>
      <c r="K394" s="459">
        <v>0</v>
      </c>
      <c r="L394" s="459">
        <v>4811355</v>
      </c>
      <c r="M394" s="459">
        <f t="shared" si="21"/>
        <v>4811355</v>
      </c>
      <c r="N394" s="461"/>
      <c r="O394" s="462"/>
      <c r="P394" s="462"/>
    </row>
    <row r="395" spans="2:16">
      <c r="B395" s="455" t="s">
        <v>581</v>
      </c>
      <c r="C395" s="456"/>
      <c r="D395" s="457"/>
      <c r="E395" s="458" t="s">
        <v>576</v>
      </c>
      <c r="F395" s="459"/>
      <c r="G395" s="459"/>
      <c r="H395" s="459"/>
      <c r="I395" s="459"/>
      <c r="J395" s="456">
        <v>44306</v>
      </c>
      <c r="K395" s="459">
        <v>0</v>
      </c>
      <c r="L395" s="459">
        <v>962637</v>
      </c>
      <c r="M395" s="459">
        <f t="shared" si="21"/>
        <v>962637</v>
      </c>
      <c r="N395" s="461"/>
      <c r="O395" s="462"/>
      <c r="P395" s="462"/>
    </row>
    <row r="396" spans="2:16">
      <c r="B396" s="455" t="s">
        <v>577</v>
      </c>
      <c r="C396" s="456"/>
      <c r="D396" s="457"/>
      <c r="E396" s="458" t="s">
        <v>576</v>
      </c>
      <c r="F396" s="459"/>
      <c r="G396" s="459"/>
      <c r="H396" s="459"/>
      <c r="I396" s="459"/>
      <c r="J396" s="456">
        <v>44306</v>
      </c>
      <c r="K396" s="459">
        <v>0</v>
      </c>
      <c r="L396" s="459">
        <v>2689734</v>
      </c>
      <c r="M396" s="459">
        <f t="shared" si="21"/>
        <v>2689734</v>
      </c>
      <c r="N396" s="461"/>
      <c r="O396" s="462"/>
      <c r="P396" s="462"/>
    </row>
    <row r="397" spans="2:16">
      <c r="B397" s="455" t="s">
        <v>577</v>
      </c>
      <c r="C397" s="456"/>
      <c r="D397" s="457"/>
      <c r="E397" s="458" t="s">
        <v>576</v>
      </c>
      <c r="F397" s="459"/>
      <c r="G397" s="459"/>
      <c r="H397" s="459"/>
      <c r="I397" s="459"/>
      <c r="J397" s="456">
        <v>44306</v>
      </c>
      <c r="K397" s="459">
        <v>0</v>
      </c>
      <c r="L397" s="459">
        <v>8975342</v>
      </c>
      <c r="M397" s="459">
        <f t="shared" si="21"/>
        <v>8975342</v>
      </c>
      <c r="N397" s="461"/>
      <c r="O397" s="462"/>
      <c r="P397" s="462"/>
    </row>
    <row r="398" spans="2:16">
      <c r="B398" s="455" t="s">
        <v>582</v>
      </c>
      <c r="C398" s="456"/>
      <c r="D398" s="457"/>
      <c r="E398" s="458" t="s">
        <v>576</v>
      </c>
      <c r="F398" s="459"/>
      <c r="G398" s="459"/>
      <c r="H398" s="459"/>
      <c r="I398" s="459"/>
      <c r="J398" s="456">
        <v>44306</v>
      </c>
      <c r="K398" s="459">
        <v>0</v>
      </c>
      <c r="L398" s="459">
        <v>290625</v>
      </c>
      <c r="M398" s="459">
        <f t="shared" si="21"/>
        <v>290625</v>
      </c>
      <c r="N398" s="461"/>
      <c r="O398" s="462"/>
      <c r="P398" s="462"/>
    </row>
    <row r="399" spans="2:16">
      <c r="B399" s="455" t="s">
        <v>575</v>
      </c>
      <c r="C399" s="456"/>
      <c r="D399" s="457"/>
      <c r="E399" s="458" t="s">
        <v>576</v>
      </c>
      <c r="F399" s="459"/>
      <c r="G399" s="459"/>
      <c r="H399" s="459"/>
      <c r="I399" s="459"/>
      <c r="J399" s="456">
        <v>44306</v>
      </c>
      <c r="K399" s="459">
        <v>0</v>
      </c>
      <c r="L399" s="459">
        <v>1415634</v>
      </c>
      <c r="M399" s="459">
        <f t="shared" si="21"/>
        <v>1415634</v>
      </c>
      <c r="N399" s="461"/>
      <c r="O399" s="462"/>
      <c r="P399" s="462"/>
    </row>
    <row r="400" spans="2:16">
      <c r="B400" s="455" t="s">
        <v>577</v>
      </c>
      <c r="C400" s="456"/>
      <c r="D400" s="457"/>
      <c r="E400" s="458" t="s">
        <v>576</v>
      </c>
      <c r="F400" s="459"/>
      <c r="G400" s="459"/>
      <c r="H400" s="459"/>
      <c r="I400" s="459"/>
      <c r="J400" s="456">
        <v>44306</v>
      </c>
      <c r="K400" s="466">
        <v>300000000</v>
      </c>
      <c r="L400" s="466">
        <v>0</v>
      </c>
      <c r="M400" s="466">
        <f t="shared" si="21"/>
        <v>300000000</v>
      </c>
      <c r="N400" s="461"/>
      <c r="O400" s="462"/>
      <c r="P400" s="462"/>
    </row>
    <row r="401" spans="2:16">
      <c r="B401" s="455" t="s">
        <v>583</v>
      </c>
      <c r="C401" s="456"/>
      <c r="D401" s="457"/>
      <c r="E401" s="458" t="s">
        <v>576</v>
      </c>
      <c r="F401" s="459"/>
      <c r="G401" s="459"/>
      <c r="H401" s="459"/>
      <c r="I401" s="459"/>
      <c r="J401" s="456">
        <v>44308</v>
      </c>
      <c r="K401" s="459">
        <v>0</v>
      </c>
      <c r="L401" s="459">
        <v>40781</v>
      </c>
      <c r="M401" s="459">
        <f t="shared" si="21"/>
        <v>40781</v>
      </c>
      <c r="N401" s="461"/>
      <c r="O401" s="462"/>
      <c r="P401" s="462"/>
    </row>
    <row r="402" spans="2:16">
      <c r="B402" s="455" t="s">
        <v>581</v>
      </c>
      <c r="C402" s="456"/>
      <c r="D402" s="457"/>
      <c r="E402" s="458" t="s">
        <v>576</v>
      </c>
      <c r="F402" s="459"/>
      <c r="G402" s="459"/>
      <c r="H402" s="459"/>
      <c r="I402" s="459"/>
      <c r="J402" s="456">
        <v>44308</v>
      </c>
      <c r="K402" s="459">
        <v>0</v>
      </c>
      <c r="L402" s="459">
        <v>7968750</v>
      </c>
      <c r="M402" s="459">
        <f t="shared" si="21"/>
        <v>7968750</v>
      </c>
      <c r="N402" s="461"/>
      <c r="O402" s="462"/>
      <c r="P402" s="462"/>
    </row>
    <row r="403" spans="2:16">
      <c r="B403" s="455" t="s">
        <v>581</v>
      </c>
      <c r="C403" s="456"/>
      <c r="D403" s="457"/>
      <c r="E403" s="458" t="s">
        <v>576</v>
      </c>
      <c r="F403" s="459"/>
      <c r="G403" s="459"/>
      <c r="H403" s="459"/>
      <c r="I403" s="459"/>
      <c r="J403" s="456">
        <v>44308</v>
      </c>
      <c r="K403" s="459">
        <v>0</v>
      </c>
      <c r="L403" s="459">
        <v>2242942</v>
      </c>
      <c r="M403" s="459">
        <f t="shared" si="21"/>
        <v>2242942</v>
      </c>
      <c r="N403" s="461"/>
      <c r="O403" s="462"/>
      <c r="P403" s="462"/>
    </row>
    <row r="404" spans="2:16">
      <c r="B404" s="455" t="s">
        <v>585</v>
      </c>
      <c r="C404" s="456"/>
      <c r="D404" s="457"/>
      <c r="E404" s="458" t="s">
        <v>576</v>
      </c>
      <c r="F404" s="459"/>
      <c r="G404" s="459"/>
      <c r="H404" s="459"/>
      <c r="I404" s="459"/>
      <c r="J404" s="456">
        <v>44309</v>
      </c>
      <c r="K404" s="459">
        <v>0</v>
      </c>
      <c r="L404" s="459">
        <v>299178</v>
      </c>
      <c r="M404" s="459">
        <f t="shared" si="21"/>
        <v>299178</v>
      </c>
      <c r="N404" s="461"/>
      <c r="O404" s="462"/>
      <c r="P404" s="462"/>
    </row>
    <row r="405" spans="2:16">
      <c r="B405" s="455" t="s">
        <v>586</v>
      </c>
      <c r="C405" s="456"/>
      <c r="D405" s="457"/>
      <c r="E405" s="458" t="s">
        <v>576</v>
      </c>
      <c r="F405" s="459"/>
      <c r="G405" s="459"/>
      <c r="H405" s="459"/>
      <c r="I405" s="459"/>
      <c r="J405" s="456">
        <v>44312</v>
      </c>
      <c r="K405" s="459">
        <v>0</v>
      </c>
      <c r="L405" s="459">
        <v>121875</v>
      </c>
      <c r="M405" s="459">
        <f t="shared" ref="M405:M414" si="22">+K405+L405</f>
        <v>121875</v>
      </c>
      <c r="N405" s="461"/>
      <c r="O405" s="462"/>
      <c r="P405" s="462"/>
    </row>
    <row r="406" spans="2:16">
      <c r="B406" s="455" t="s">
        <v>580</v>
      </c>
      <c r="C406" s="456"/>
      <c r="D406" s="457"/>
      <c r="E406" s="458" t="s">
        <v>576</v>
      </c>
      <c r="F406" s="459"/>
      <c r="G406" s="459"/>
      <c r="H406" s="459"/>
      <c r="I406" s="459"/>
      <c r="J406" s="456">
        <v>44312</v>
      </c>
      <c r="K406" s="459">
        <v>0</v>
      </c>
      <c r="L406" s="459">
        <v>12065625</v>
      </c>
      <c r="M406" s="459">
        <f t="shared" si="22"/>
        <v>12065625</v>
      </c>
      <c r="N406" s="461"/>
      <c r="O406" s="462"/>
      <c r="P406" s="462"/>
    </row>
    <row r="407" spans="2:16">
      <c r="B407" s="455" t="s">
        <v>582</v>
      </c>
      <c r="C407" s="456"/>
      <c r="D407" s="457"/>
      <c r="E407" s="458" t="s">
        <v>576</v>
      </c>
      <c r="F407" s="459"/>
      <c r="G407" s="459"/>
      <c r="H407" s="459"/>
      <c r="I407" s="459"/>
      <c r="J407" s="456">
        <v>44312</v>
      </c>
      <c r="K407" s="459">
        <v>0</v>
      </c>
      <c r="L407" s="459">
        <v>99938</v>
      </c>
      <c r="M407" s="459">
        <f t="shared" si="22"/>
        <v>99938</v>
      </c>
      <c r="N407" s="461"/>
      <c r="O407" s="462"/>
      <c r="P407" s="462"/>
    </row>
    <row r="408" spans="2:16">
      <c r="B408" s="455" t="s">
        <v>581</v>
      </c>
      <c r="C408" s="456"/>
      <c r="D408" s="457"/>
      <c r="E408" s="458" t="s">
        <v>576</v>
      </c>
      <c r="F408" s="459"/>
      <c r="G408" s="459"/>
      <c r="H408" s="459"/>
      <c r="I408" s="459"/>
      <c r="J408" s="456">
        <v>44312</v>
      </c>
      <c r="K408" s="459">
        <v>0</v>
      </c>
      <c r="L408" s="459">
        <v>4780940</v>
      </c>
      <c r="M408" s="459">
        <f t="shared" si="22"/>
        <v>4780940</v>
      </c>
      <c r="N408" s="461"/>
      <c r="O408" s="462"/>
      <c r="P408" s="462"/>
    </row>
    <row r="409" spans="2:16">
      <c r="B409" s="455" t="s">
        <v>575</v>
      </c>
      <c r="C409" s="456"/>
      <c r="D409" s="457"/>
      <c r="E409" s="458" t="s">
        <v>576</v>
      </c>
      <c r="F409" s="459"/>
      <c r="G409" s="459"/>
      <c r="H409" s="459"/>
      <c r="I409" s="459"/>
      <c r="J409" s="456">
        <v>44313</v>
      </c>
      <c r="K409" s="459">
        <v>0</v>
      </c>
      <c r="L409" s="459">
        <v>2447907</v>
      </c>
      <c r="M409" s="459">
        <f t="shared" si="22"/>
        <v>2447907</v>
      </c>
      <c r="N409" s="461"/>
      <c r="O409" s="462"/>
      <c r="P409" s="462"/>
    </row>
    <row r="410" spans="2:16">
      <c r="B410" s="455" t="s">
        <v>580</v>
      </c>
      <c r="C410" s="456"/>
      <c r="D410" s="457"/>
      <c r="E410" s="458" t="s">
        <v>576</v>
      </c>
      <c r="F410" s="459"/>
      <c r="G410" s="459"/>
      <c r="H410" s="459"/>
      <c r="I410" s="459"/>
      <c r="J410" s="456">
        <v>44316</v>
      </c>
      <c r="K410" s="459">
        <v>0</v>
      </c>
      <c r="L410" s="459">
        <v>4790982</v>
      </c>
      <c r="M410" s="459">
        <f t="shared" si="22"/>
        <v>4790982</v>
      </c>
      <c r="N410" s="461"/>
      <c r="O410" s="462"/>
      <c r="P410" s="462"/>
    </row>
    <row r="411" spans="2:16">
      <c r="B411" s="455" t="s">
        <v>577</v>
      </c>
      <c r="C411" s="456"/>
      <c r="D411" s="457"/>
      <c r="E411" s="458" t="s">
        <v>576</v>
      </c>
      <c r="F411" s="459"/>
      <c r="G411" s="459"/>
      <c r="H411" s="459"/>
      <c r="I411" s="459"/>
      <c r="J411" s="456">
        <v>44316</v>
      </c>
      <c r="K411" s="459">
        <v>0</v>
      </c>
      <c r="L411" s="459">
        <v>2038705</v>
      </c>
      <c r="M411" s="459">
        <f t="shared" si="22"/>
        <v>2038705</v>
      </c>
      <c r="N411" s="461"/>
      <c r="O411" s="462"/>
      <c r="P411" s="462"/>
    </row>
    <row r="412" spans="2:16">
      <c r="B412" s="455" t="s">
        <v>577</v>
      </c>
      <c r="C412" s="456"/>
      <c r="D412" s="457"/>
      <c r="E412" s="458" t="s">
        <v>576</v>
      </c>
      <c r="F412" s="459"/>
      <c r="G412" s="459"/>
      <c r="H412" s="459"/>
      <c r="I412" s="459"/>
      <c r="J412" s="456">
        <v>44316</v>
      </c>
      <c r="K412" s="459">
        <v>0</v>
      </c>
      <c r="L412" s="459">
        <v>2034</v>
      </c>
      <c r="M412" s="459">
        <f t="shared" si="22"/>
        <v>2034</v>
      </c>
      <c r="N412" s="461"/>
      <c r="O412" s="462"/>
      <c r="P412" s="462"/>
    </row>
    <row r="413" spans="2:16">
      <c r="B413" s="455" t="s">
        <v>575</v>
      </c>
      <c r="C413" s="456"/>
      <c r="D413" s="457"/>
      <c r="E413" s="458" t="s">
        <v>576</v>
      </c>
      <c r="F413" s="459"/>
      <c r="G413" s="459"/>
      <c r="H413" s="459"/>
      <c r="I413" s="459"/>
      <c r="J413" s="456">
        <v>44316</v>
      </c>
      <c r="K413" s="459">
        <v>0</v>
      </c>
      <c r="L413" s="459">
        <v>1453</v>
      </c>
      <c r="M413" s="459">
        <f t="shared" si="22"/>
        <v>1453</v>
      </c>
      <c r="N413" s="461"/>
      <c r="O413" s="462"/>
      <c r="P413" s="462"/>
    </row>
    <row r="414" spans="2:16">
      <c r="B414" s="455" t="s">
        <v>580</v>
      </c>
      <c r="C414" s="456"/>
      <c r="D414" s="457"/>
      <c r="E414" s="458" t="s">
        <v>576</v>
      </c>
      <c r="F414" s="459"/>
      <c r="G414" s="459"/>
      <c r="H414" s="459"/>
      <c r="I414" s="459"/>
      <c r="J414" s="456">
        <v>44316</v>
      </c>
      <c r="K414" s="459">
        <v>0</v>
      </c>
      <c r="L414" s="459">
        <v>11910938</v>
      </c>
      <c r="M414" s="459">
        <f t="shared" si="22"/>
        <v>11910938</v>
      </c>
      <c r="N414" s="461"/>
      <c r="O414" s="462"/>
      <c r="P414" s="462"/>
    </row>
    <row r="415" spans="2:16">
      <c r="B415" s="467" t="s">
        <v>588</v>
      </c>
      <c r="C415" s="468"/>
      <c r="D415" s="469"/>
      <c r="E415" s="470"/>
      <c r="F415" s="459"/>
      <c r="G415" s="471">
        <f>(G693-F693)*1000000</f>
        <v>0</v>
      </c>
      <c r="H415" s="465"/>
      <c r="I415" s="465"/>
      <c r="J415" s="472"/>
      <c r="K415" s="495"/>
      <c r="L415" s="495"/>
      <c r="M415" s="473"/>
      <c r="N415" s="461"/>
      <c r="O415" s="462"/>
      <c r="P415" s="462"/>
    </row>
    <row r="416" spans="2:16">
      <c r="B416" s="467" t="s">
        <v>589</v>
      </c>
      <c r="C416" s="468"/>
      <c r="D416" s="469"/>
      <c r="E416" s="470" t="s">
        <v>590</v>
      </c>
      <c r="F416" s="459">
        <f>SUBTOTAL(9,G416:H416)</f>
        <v>0</v>
      </c>
      <c r="G416" s="471"/>
      <c r="H416" s="465"/>
      <c r="I416" s="465"/>
      <c r="J416" s="472"/>
      <c r="K416" s="495">
        <v>57616663.302156858</v>
      </c>
      <c r="L416" s="495">
        <v>15171312.857132111</v>
      </c>
      <c r="M416" s="473"/>
      <c r="N416" s="461"/>
      <c r="O416" s="462"/>
      <c r="P416" s="462"/>
    </row>
    <row r="417" spans="2:16">
      <c r="B417" s="467" t="s">
        <v>591</v>
      </c>
      <c r="C417" s="468"/>
      <c r="D417" s="469"/>
      <c r="E417" s="470" t="s">
        <v>592</v>
      </c>
      <c r="F417" s="459">
        <f>SUBTOTAL(9,G417:H417)</f>
        <v>0</v>
      </c>
      <c r="G417" s="471"/>
      <c r="H417" s="465"/>
      <c r="I417" s="465"/>
      <c r="J417" s="472"/>
      <c r="K417" s="495">
        <v>17998160.667843632</v>
      </c>
      <c r="L417" s="495">
        <v>8627669.9605547432</v>
      </c>
      <c r="M417" s="473"/>
      <c r="N417" s="461"/>
      <c r="O417" s="462"/>
      <c r="P417" s="462"/>
    </row>
    <row r="418" spans="2:16" ht="12.5">
      <c r="B418" s="770" t="s">
        <v>593</v>
      </c>
      <c r="C418" s="769"/>
      <c r="D418" s="769"/>
      <c r="E418" s="768"/>
      <c r="F418" s="767">
        <f>SUM(F334:F417)</f>
        <v>1035000000</v>
      </c>
      <c r="G418" s="767">
        <f>SUM(G334:G417)</f>
        <v>1035000000</v>
      </c>
      <c r="H418" s="767">
        <f>SUM(H334:H417)</f>
        <v>0</v>
      </c>
      <c r="I418" s="767">
        <f>SUM(I334:I417)</f>
        <v>1035000000</v>
      </c>
      <c r="J418" s="767"/>
      <c r="K418" s="767">
        <f>SUM(K334:K417)</f>
        <v>375614823.97000051</v>
      </c>
      <c r="L418" s="767">
        <f>SUM(L334:L417)</f>
        <v>228406169.81768686</v>
      </c>
      <c r="M418" s="767">
        <f>SUM(M334:M417)</f>
        <v>504607187</v>
      </c>
      <c r="N418" s="762">
        <f>+G418-K418</f>
        <v>659385176.02999949</v>
      </c>
      <c r="O418" s="762">
        <f>+(G683-F683)*1000000</f>
        <v>-1373775934.7210045</v>
      </c>
      <c r="P418" s="762">
        <f>N418-O418</f>
        <v>2033161110.751004</v>
      </c>
    </row>
    <row r="419" spans="2:16" ht="12.5">
      <c r="B419" s="455" t="s">
        <v>594</v>
      </c>
      <c r="C419" s="479">
        <v>44288</v>
      </c>
      <c r="D419" s="457">
        <v>2160</v>
      </c>
      <c r="E419" s="480" t="s">
        <v>576</v>
      </c>
      <c r="F419" s="459">
        <f>SUBTOTAL(9,G419:H419)</f>
        <v>320000000</v>
      </c>
      <c r="G419" s="459">
        <v>320000000</v>
      </c>
      <c r="H419" s="459">
        <v>0</v>
      </c>
      <c r="I419" s="459">
        <f>+G419+H419</f>
        <v>320000000</v>
      </c>
      <c r="J419" s="489"/>
      <c r="K419" s="490"/>
      <c r="L419" s="490"/>
      <c r="M419" s="490"/>
      <c r="N419" s="481"/>
      <c r="O419" s="462"/>
      <c r="P419" s="482"/>
    </row>
    <row r="420" spans="2:16" ht="12.5">
      <c r="B420" s="455" t="s">
        <v>594</v>
      </c>
      <c r="C420" s="479">
        <v>44300</v>
      </c>
      <c r="D420" s="457">
        <v>3240</v>
      </c>
      <c r="E420" s="480" t="s">
        <v>576</v>
      </c>
      <c r="F420" s="459">
        <f>SUBTOTAL(9,G420:H420)</f>
        <v>350000000</v>
      </c>
      <c r="G420" s="459">
        <v>350000000</v>
      </c>
      <c r="H420" s="459">
        <v>0</v>
      </c>
      <c r="I420" s="459">
        <f>+G420+H420</f>
        <v>350000000</v>
      </c>
      <c r="J420" s="489"/>
      <c r="K420" s="490"/>
      <c r="L420" s="490"/>
      <c r="M420" s="490"/>
      <c r="N420" s="481"/>
      <c r="O420" s="462"/>
      <c r="P420" s="482"/>
    </row>
    <row r="421" spans="2:16" ht="12.5">
      <c r="B421" s="455" t="s">
        <v>594</v>
      </c>
      <c r="C421" s="479"/>
      <c r="D421" s="457"/>
      <c r="E421" s="480" t="s">
        <v>576</v>
      </c>
      <c r="F421" s="459"/>
      <c r="G421" s="459"/>
      <c r="H421" s="459"/>
      <c r="I421" s="459"/>
      <c r="J421" s="456">
        <v>44291</v>
      </c>
      <c r="K421" s="459">
        <v>0</v>
      </c>
      <c r="L421" s="459">
        <v>11331250</v>
      </c>
      <c r="M421" s="459">
        <f t="shared" ref="M421:M442" si="23">+K421+L421</f>
        <v>11331250</v>
      </c>
      <c r="N421" s="481"/>
      <c r="O421" s="462"/>
      <c r="P421" s="482"/>
    </row>
    <row r="422" spans="2:16" ht="12.5">
      <c r="B422" s="455" t="s">
        <v>594</v>
      </c>
      <c r="C422" s="479"/>
      <c r="D422" s="457"/>
      <c r="E422" s="480" t="s">
        <v>576</v>
      </c>
      <c r="F422" s="459"/>
      <c r="G422" s="459"/>
      <c r="H422" s="459"/>
      <c r="I422" s="459"/>
      <c r="J422" s="456">
        <v>44291</v>
      </c>
      <c r="K422" s="459">
        <v>0</v>
      </c>
      <c r="L422" s="459">
        <v>3982357</v>
      </c>
      <c r="M422" s="459">
        <f t="shared" si="23"/>
        <v>3982357</v>
      </c>
      <c r="N422" s="481"/>
      <c r="O422" s="462"/>
      <c r="P422" s="482"/>
    </row>
    <row r="423" spans="2:16" ht="12.5">
      <c r="B423" s="455" t="s">
        <v>594</v>
      </c>
      <c r="C423" s="479"/>
      <c r="D423" s="457"/>
      <c r="E423" s="480" t="s">
        <v>576</v>
      </c>
      <c r="F423" s="459"/>
      <c r="G423" s="459"/>
      <c r="H423" s="459"/>
      <c r="I423" s="459"/>
      <c r="J423" s="456">
        <v>44291</v>
      </c>
      <c r="K423" s="459">
        <v>0</v>
      </c>
      <c r="L423" s="459">
        <v>383360</v>
      </c>
      <c r="M423" s="459">
        <f t="shared" si="23"/>
        <v>383360</v>
      </c>
      <c r="N423" s="481"/>
      <c r="O423" s="462"/>
      <c r="P423" s="482"/>
    </row>
    <row r="424" spans="2:16" ht="12.5">
      <c r="B424" s="455" t="s">
        <v>594</v>
      </c>
      <c r="C424" s="479"/>
      <c r="D424" s="457"/>
      <c r="E424" s="480" t="s">
        <v>576</v>
      </c>
      <c r="F424" s="459"/>
      <c r="G424" s="459"/>
      <c r="H424" s="459"/>
      <c r="I424" s="459"/>
      <c r="J424" s="456">
        <v>44293</v>
      </c>
      <c r="K424" s="459">
        <v>0</v>
      </c>
      <c r="L424" s="459">
        <v>3265625</v>
      </c>
      <c r="M424" s="459">
        <f t="shared" si="23"/>
        <v>3265625</v>
      </c>
      <c r="N424" s="481"/>
      <c r="O424" s="462"/>
      <c r="P424" s="482"/>
    </row>
    <row r="425" spans="2:16" ht="12.5">
      <c r="B425" s="455" t="s">
        <v>594</v>
      </c>
      <c r="C425" s="479"/>
      <c r="D425" s="457"/>
      <c r="E425" s="480" t="s">
        <v>576</v>
      </c>
      <c r="F425" s="459"/>
      <c r="G425" s="459"/>
      <c r="H425" s="459"/>
      <c r="I425" s="459"/>
      <c r="J425" s="456">
        <v>44294</v>
      </c>
      <c r="K425" s="459">
        <v>0</v>
      </c>
      <c r="L425" s="459">
        <v>4312500</v>
      </c>
      <c r="M425" s="459">
        <f t="shared" si="23"/>
        <v>4312500</v>
      </c>
      <c r="N425" s="481"/>
      <c r="O425" s="462"/>
      <c r="P425" s="482"/>
    </row>
    <row r="426" spans="2:16" ht="12.5">
      <c r="B426" s="455" t="s">
        <v>594</v>
      </c>
      <c r="C426" s="479"/>
      <c r="D426" s="457"/>
      <c r="E426" s="480" t="s">
        <v>576</v>
      </c>
      <c r="F426" s="459"/>
      <c r="G426" s="459"/>
      <c r="H426" s="459"/>
      <c r="I426" s="459"/>
      <c r="J426" s="456">
        <v>44298</v>
      </c>
      <c r="K426" s="459">
        <v>0</v>
      </c>
      <c r="L426" s="459">
        <v>1930685</v>
      </c>
      <c r="M426" s="459">
        <f t="shared" si="23"/>
        <v>1930685</v>
      </c>
      <c r="N426" s="481"/>
      <c r="O426" s="462"/>
      <c r="P426" s="482"/>
    </row>
    <row r="427" spans="2:16" ht="12.5">
      <c r="B427" s="455" t="s">
        <v>594</v>
      </c>
      <c r="C427" s="479"/>
      <c r="D427" s="457"/>
      <c r="E427" s="480" t="s">
        <v>576</v>
      </c>
      <c r="F427" s="459"/>
      <c r="G427" s="459"/>
      <c r="H427" s="459"/>
      <c r="I427" s="459"/>
      <c r="J427" s="456">
        <v>44299</v>
      </c>
      <c r="K427" s="459">
        <v>0</v>
      </c>
      <c r="L427" s="459">
        <v>7356421</v>
      </c>
      <c r="M427" s="459">
        <f t="shared" si="23"/>
        <v>7356421</v>
      </c>
      <c r="N427" s="481"/>
      <c r="O427" s="462"/>
      <c r="P427" s="482"/>
    </row>
    <row r="428" spans="2:16" ht="12.5">
      <c r="B428" s="455" t="s">
        <v>594</v>
      </c>
      <c r="C428" s="479"/>
      <c r="D428" s="457"/>
      <c r="E428" s="480" t="s">
        <v>576</v>
      </c>
      <c r="F428" s="459"/>
      <c r="G428" s="459"/>
      <c r="H428" s="459"/>
      <c r="I428" s="459"/>
      <c r="J428" s="456">
        <v>44300</v>
      </c>
      <c r="K428" s="459">
        <v>0</v>
      </c>
      <c r="L428" s="459">
        <v>361108</v>
      </c>
      <c r="M428" s="459">
        <f t="shared" si="23"/>
        <v>361108</v>
      </c>
      <c r="N428" s="481"/>
      <c r="O428" s="462"/>
      <c r="P428" s="482"/>
    </row>
    <row r="429" spans="2:16" ht="12.5">
      <c r="B429" s="455" t="s">
        <v>594</v>
      </c>
      <c r="C429" s="479"/>
      <c r="D429" s="457"/>
      <c r="E429" s="480" t="s">
        <v>576</v>
      </c>
      <c r="F429" s="459"/>
      <c r="G429" s="459"/>
      <c r="H429" s="459"/>
      <c r="I429" s="459"/>
      <c r="J429" s="456">
        <v>44300</v>
      </c>
      <c r="K429" s="459">
        <v>0</v>
      </c>
      <c r="L429" s="459">
        <v>1295966</v>
      </c>
      <c r="M429" s="459">
        <f t="shared" si="23"/>
        <v>1295966</v>
      </c>
      <c r="N429" s="481"/>
      <c r="O429" s="462"/>
      <c r="P429" s="482"/>
    </row>
    <row r="430" spans="2:16" ht="12.5">
      <c r="B430" s="455" t="s">
        <v>594</v>
      </c>
      <c r="C430" s="479"/>
      <c r="D430" s="457"/>
      <c r="E430" s="480" t="s">
        <v>576</v>
      </c>
      <c r="F430" s="459"/>
      <c r="G430" s="459"/>
      <c r="H430" s="459"/>
      <c r="I430" s="459"/>
      <c r="J430" s="456">
        <v>44300</v>
      </c>
      <c r="K430" s="459">
        <v>0</v>
      </c>
      <c r="L430" s="459">
        <v>5418790</v>
      </c>
      <c r="M430" s="459">
        <f t="shared" si="23"/>
        <v>5418790</v>
      </c>
      <c r="N430" s="481"/>
      <c r="O430" s="462"/>
      <c r="P430" s="482"/>
    </row>
    <row r="431" spans="2:16" ht="12.5">
      <c r="B431" s="455" t="s">
        <v>594</v>
      </c>
      <c r="C431" s="479"/>
      <c r="D431" s="457"/>
      <c r="E431" s="480" t="s">
        <v>576</v>
      </c>
      <c r="F431" s="459"/>
      <c r="G431" s="459"/>
      <c r="H431" s="459"/>
      <c r="I431" s="459"/>
      <c r="J431" s="456">
        <v>44302</v>
      </c>
      <c r="K431" s="459">
        <v>0</v>
      </c>
      <c r="L431" s="459">
        <v>3875000</v>
      </c>
      <c r="M431" s="459">
        <f t="shared" si="23"/>
        <v>3875000</v>
      </c>
      <c r="N431" s="481"/>
      <c r="O431" s="462"/>
      <c r="P431" s="482"/>
    </row>
    <row r="432" spans="2:16" ht="12.5">
      <c r="B432" s="455" t="s">
        <v>594</v>
      </c>
      <c r="C432" s="479"/>
      <c r="D432" s="457"/>
      <c r="E432" s="480" t="s">
        <v>576</v>
      </c>
      <c r="F432" s="459"/>
      <c r="G432" s="459"/>
      <c r="H432" s="459"/>
      <c r="I432" s="459"/>
      <c r="J432" s="456">
        <v>44302</v>
      </c>
      <c r="K432" s="459">
        <v>0</v>
      </c>
      <c r="L432" s="459">
        <v>9018750</v>
      </c>
      <c r="M432" s="459">
        <f t="shared" si="23"/>
        <v>9018750</v>
      </c>
      <c r="N432" s="481"/>
      <c r="O432" s="462"/>
      <c r="P432" s="482"/>
    </row>
    <row r="433" spans="2:16" ht="12.5">
      <c r="B433" s="455" t="s">
        <v>594</v>
      </c>
      <c r="C433" s="479"/>
      <c r="D433" s="457"/>
      <c r="E433" s="480" t="s">
        <v>576</v>
      </c>
      <c r="F433" s="459"/>
      <c r="G433" s="459"/>
      <c r="H433" s="459"/>
      <c r="I433" s="459"/>
      <c r="J433" s="456">
        <v>44305</v>
      </c>
      <c r="K433" s="459">
        <v>0</v>
      </c>
      <c r="L433" s="459">
        <v>11049375</v>
      </c>
      <c r="M433" s="459">
        <f t="shared" si="23"/>
        <v>11049375</v>
      </c>
      <c r="N433" s="481"/>
      <c r="O433" s="462"/>
      <c r="P433" s="482"/>
    </row>
    <row r="434" spans="2:16" ht="12.5">
      <c r="B434" s="455" t="s">
        <v>594</v>
      </c>
      <c r="C434" s="479"/>
      <c r="D434" s="457"/>
      <c r="E434" s="480" t="s">
        <v>576</v>
      </c>
      <c r="F434" s="459"/>
      <c r="G434" s="459"/>
      <c r="H434" s="459"/>
      <c r="I434" s="459"/>
      <c r="J434" s="456">
        <v>44305</v>
      </c>
      <c r="K434" s="459">
        <v>0</v>
      </c>
      <c r="L434" s="459">
        <v>4818526</v>
      </c>
      <c r="M434" s="459">
        <f t="shared" si="23"/>
        <v>4818526</v>
      </c>
      <c r="N434" s="481"/>
      <c r="O434" s="462"/>
      <c r="P434" s="482"/>
    </row>
    <row r="435" spans="2:16" ht="12.5">
      <c r="B435" s="455" t="s">
        <v>594</v>
      </c>
      <c r="C435" s="479"/>
      <c r="D435" s="457"/>
      <c r="E435" s="480" t="s">
        <v>576</v>
      </c>
      <c r="F435" s="459"/>
      <c r="G435" s="459"/>
      <c r="H435" s="459"/>
      <c r="I435" s="459"/>
      <c r="J435" s="456">
        <v>44305</v>
      </c>
      <c r="K435" s="459">
        <v>0</v>
      </c>
      <c r="L435" s="459">
        <v>9068836</v>
      </c>
      <c r="M435" s="459">
        <f t="shared" si="23"/>
        <v>9068836</v>
      </c>
      <c r="N435" s="481"/>
      <c r="O435" s="462"/>
      <c r="P435" s="482"/>
    </row>
    <row r="436" spans="2:16" ht="12.5">
      <c r="B436" s="455" t="s">
        <v>594</v>
      </c>
      <c r="C436" s="479"/>
      <c r="D436" s="457"/>
      <c r="E436" s="480" t="s">
        <v>576</v>
      </c>
      <c r="F436" s="459"/>
      <c r="G436" s="459"/>
      <c r="H436" s="459"/>
      <c r="I436" s="459"/>
      <c r="J436" s="456">
        <v>44305</v>
      </c>
      <c r="K436" s="459">
        <v>0</v>
      </c>
      <c r="L436" s="459">
        <v>1545660</v>
      </c>
      <c r="M436" s="459">
        <f t="shared" si="23"/>
        <v>1545660</v>
      </c>
      <c r="N436" s="481"/>
      <c r="O436" s="462"/>
      <c r="P436" s="482"/>
    </row>
    <row r="437" spans="2:16" ht="12.5">
      <c r="B437" s="455" t="s">
        <v>594</v>
      </c>
      <c r="C437" s="479"/>
      <c r="D437" s="457"/>
      <c r="E437" s="480" t="s">
        <v>576</v>
      </c>
      <c r="F437" s="459"/>
      <c r="G437" s="459"/>
      <c r="H437" s="459"/>
      <c r="I437" s="459"/>
      <c r="J437" s="456">
        <v>44305</v>
      </c>
      <c r="K437" s="459">
        <v>0</v>
      </c>
      <c r="L437" s="459">
        <v>946800</v>
      </c>
      <c r="M437" s="459">
        <f t="shared" si="23"/>
        <v>946800</v>
      </c>
      <c r="N437" s="481"/>
      <c r="O437" s="462"/>
      <c r="P437" s="482"/>
    </row>
    <row r="438" spans="2:16" ht="12.5">
      <c r="B438" s="455" t="s">
        <v>594</v>
      </c>
      <c r="C438" s="479"/>
      <c r="D438" s="457"/>
      <c r="E438" s="480" t="s">
        <v>576</v>
      </c>
      <c r="F438" s="459"/>
      <c r="G438" s="459"/>
      <c r="H438" s="459"/>
      <c r="I438" s="459"/>
      <c r="J438" s="456">
        <v>44305</v>
      </c>
      <c r="K438" s="459">
        <v>300000000</v>
      </c>
      <c r="L438" s="459">
        <v>0</v>
      </c>
      <c r="M438" s="459">
        <f t="shared" si="23"/>
        <v>300000000</v>
      </c>
      <c r="N438" s="481"/>
      <c r="O438" s="462"/>
      <c r="P438" s="482"/>
    </row>
    <row r="439" spans="2:16" ht="12.5">
      <c r="B439" s="455" t="s">
        <v>594</v>
      </c>
      <c r="C439" s="479"/>
      <c r="D439" s="457"/>
      <c r="E439" s="480" t="s">
        <v>576</v>
      </c>
      <c r="F439" s="459"/>
      <c r="G439" s="459"/>
      <c r="H439" s="459"/>
      <c r="I439" s="459"/>
      <c r="J439" s="456">
        <v>44306</v>
      </c>
      <c r="K439" s="459">
        <v>0</v>
      </c>
      <c r="L439" s="459">
        <v>4813244</v>
      </c>
      <c r="M439" s="459">
        <f t="shared" si="23"/>
        <v>4813244</v>
      </c>
      <c r="N439" s="481"/>
      <c r="O439" s="462"/>
      <c r="P439" s="482"/>
    </row>
    <row r="440" spans="2:16" ht="12.5">
      <c r="B440" s="455" t="s">
        <v>594</v>
      </c>
      <c r="C440" s="479"/>
      <c r="D440" s="457"/>
      <c r="E440" s="480" t="s">
        <v>576</v>
      </c>
      <c r="F440" s="459"/>
      <c r="G440" s="459"/>
      <c r="H440" s="459"/>
      <c r="I440" s="459"/>
      <c r="J440" s="456">
        <v>44308</v>
      </c>
      <c r="K440" s="459">
        <v>0</v>
      </c>
      <c r="L440" s="459">
        <v>11214871</v>
      </c>
      <c r="M440" s="459">
        <f t="shared" si="23"/>
        <v>11214871</v>
      </c>
      <c r="N440" s="481"/>
      <c r="O440" s="462"/>
      <c r="P440" s="482"/>
    </row>
    <row r="441" spans="2:16" ht="12.5">
      <c r="B441" s="455" t="s">
        <v>594</v>
      </c>
      <c r="C441" s="479"/>
      <c r="D441" s="457"/>
      <c r="E441" s="480" t="s">
        <v>576</v>
      </c>
      <c r="F441" s="459"/>
      <c r="G441" s="459"/>
      <c r="H441" s="459"/>
      <c r="I441" s="459"/>
      <c r="J441" s="456">
        <v>44312</v>
      </c>
      <c r="K441" s="459">
        <v>0</v>
      </c>
      <c r="L441" s="459">
        <v>4094060</v>
      </c>
      <c r="M441" s="459">
        <f t="shared" si="23"/>
        <v>4094060</v>
      </c>
      <c r="N441" s="481"/>
      <c r="O441" s="462"/>
      <c r="P441" s="482"/>
    </row>
    <row r="442" spans="2:16" ht="12.5">
      <c r="B442" s="455" t="s">
        <v>594</v>
      </c>
      <c r="C442" s="479"/>
      <c r="D442" s="457"/>
      <c r="E442" s="480" t="s">
        <v>576</v>
      </c>
      <c r="F442" s="459"/>
      <c r="G442" s="459"/>
      <c r="H442" s="459"/>
      <c r="I442" s="459"/>
      <c r="J442" s="456">
        <v>44313</v>
      </c>
      <c r="K442" s="459">
        <v>0</v>
      </c>
      <c r="L442" s="459">
        <v>4895843</v>
      </c>
      <c r="M442" s="459">
        <f t="shared" si="23"/>
        <v>4895843</v>
      </c>
      <c r="N442" s="481"/>
      <c r="O442" s="462"/>
      <c r="P442" s="482"/>
    </row>
    <row r="443" spans="2:16" ht="12.5">
      <c r="B443" s="766" t="s">
        <v>595</v>
      </c>
      <c r="C443" s="765"/>
      <c r="D443" s="765"/>
      <c r="E443" s="764"/>
      <c r="F443" s="763">
        <f>SUM(F419:F442)</f>
        <v>670000000</v>
      </c>
      <c r="G443" s="763">
        <f>SUM(G419:G442)</f>
        <v>670000000</v>
      </c>
      <c r="H443" s="763">
        <f>SUM(H419:H442)</f>
        <v>0</v>
      </c>
      <c r="I443" s="763">
        <f>SUM(I419:I442)</f>
        <v>670000000</v>
      </c>
      <c r="J443" s="763"/>
      <c r="K443" s="763">
        <f>SUM(K419:K442)</f>
        <v>300000000</v>
      </c>
      <c r="L443" s="763">
        <f>SUM(L419:L442)</f>
        <v>104979027</v>
      </c>
      <c r="M443" s="763">
        <f>SUM(M419:M442)</f>
        <v>404979027</v>
      </c>
      <c r="N443" s="762">
        <f>+G443-K443</f>
        <v>370000000</v>
      </c>
      <c r="O443" s="762"/>
      <c r="P443" s="762">
        <f>+N443-O443</f>
        <v>370000000</v>
      </c>
    </row>
    <row r="444" spans="2:16">
      <c r="B444" s="455" t="s">
        <v>580</v>
      </c>
      <c r="C444" s="456">
        <v>44320</v>
      </c>
      <c r="D444" s="457">
        <v>1800</v>
      </c>
      <c r="E444" s="458" t="s">
        <v>576</v>
      </c>
      <c r="F444" s="459">
        <f t="shared" ref="F444:F457" si="24">SUBTOTAL(9,G444:H444)</f>
        <v>100000000</v>
      </c>
      <c r="G444" s="459">
        <v>100000000</v>
      </c>
      <c r="H444" s="459">
        <v>0</v>
      </c>
      <c r="I444" s="459">
        <f t="shared" ref="I444:I457" si="25">+G444+H444</f>
        <v>100000000</v>
      </c>
      <c r="J444" s="460"/>
      <c r="K444" s="460"/>
      <c r="L444" s="460"/>
      <c r="M444" s="459"/>
      <c r="N444" s="461"/>
      <c r="O444" s="462"/>
      <c r="P444" s="462"/>
    </row>
    <row r="445" spans="2:16">
      <c r="B445" s="455" t="s">
        <v>577</v>
      </c>
      <c r="C445" s="456">
        <v>44320</v>
      </c>
      <c r="D445" s="457">
        <v>1800</v>
      </c>
      <c r="E445" s="458" t="s">
        <v>576</v>
      </c>
      <c r="F445" s="459">
        <f t="shared" si="24"/>
        <v>200000000</v>
      </c>
      <c r="G445" s="459">
        <v>200000000</v>
      </c>
      <c r="H445" s="459">
        <v>0</v>
      </c>
      <c r="I445" s="459">
        <f t="shared" si="25"/>
        <v>200000000</v>
      </c>
      <c r="J445" s="460"/>
      <c r="K445" s="460"/>
      <c r="L445" s="460"/>
      <c r="M445" s="459"/>
      <c r="N445" s="461"/>
      <c r="O445" s="462"/>
      <c r="P445" s="462"/>
    </row>
    <row r="446" spans="2:16">
      <c r="B446" s="455" t="s">
        <v>596</v>
      </c>
      <c r="C446" s="456">
        <v>44320</v>
      </c>
      <c r="D446" s="457">
        <v>1800</v>
      </c>
      <c r="E446" s="458" t="s">
        <v>576</v>
      </c>
      <c r="F446" s="459">
        <f t="shared" si="24"/>
        <v>100000000</v>
      </c>
      <c r="G446" s="459">
        <v>100000000</v>
      </c>
      <c r="H446" s="459">
        <v>0</v>
      </c>
      <c r="I446" s="459">
        <f t="shared" si="25"/>
        <v>100000000</v>
      </c>
      <c r="J446" s="460"/>
      <c r="K446" s="460"/>
      <c r="L446" s="460"/>
      <c r="M446" s="459"/>
      <c r="N446" s="461"/>
      <c r="O446" s="462"/>
      <c r="P446" s="462"/>
    </row>
    <row r="447" spans="2:16">
      <c r="B447" s="455" t="s">
        <v>577</v>
      </c>
      <c r="C447" s="456">
        <v>44323</v>
      </c>
      <c r="D447" s="457">
        <v>360</v>
      </c>
      <c r="E447" s="458" t="s">
        <v>579</v>
      </c>
      <c r="F447" s="459">
        <f t="shared" si="24"/>
        <v>250000000</v>
      </c>
      <c r="G447" s="459">
        <v>247524752.47524753</v>
      </c>
      <c r="H447" s="459">
        <v>2475247.5247524679</v>
      </c>
      <c r="I447" s="459">
        <f t="shared" si="25"/>
        <v>250000000</v>
      </c>
      <c r="J447" s="460"/>
      <c r="K447" s="460"/>
      <c r="L447" s="460"/>
      <c r="M447" s="459"/>
      <c r="N447" s="461"/>
      <c r="O447" s="462"/>
      <c r="P447" s="462"/>
    </row>
    <row r="448" spans="2:16">
      <c r="B448" s="455" t="s">
        <v>600</v>
      </c>
      <c r="C448" s="456">
        <v>44329</v>
      </c>
      <c r="D448" s="457">
        <v>3600</v>
      </c>
      <c r="E448" s="458" t="s">
        <v>576</v>
      </c>
      <c r="F448" s="459">
        <f t="shared" si="24"/>
        <v>150000000</v>
      </c>
      <c r="G448" s="459">
        <v>150000000</v>
      </c>
      <c r="H448" s="459">
        <v>0</v>
      </c>
      <c r="I448" s="459">
        <f t="shared" si="25"/>
        <v>150000000</v>
      </c>
      <c r="J448" s="460"/>
      <c r="K448" s="460"/>
      <c r="L448" s="460"/>
      <c r="M448" s="459"/>
      <c r="N448" s="461"/>
      <c r="O448" s="462"/>
      <c r="P448" s="462"/>
    </row>
    <row r="449" spans="2:16">
      <c r="B449" s="455" t="s">
        <v>583</v>
      </c>
      <c r="C449" s="456">
        <v>44329</v>
      </c>
      <c r="D449" s="457">
        <v>3600</v>
      </c>
      <c r="E449" s="458" t="s">
        <v>576</v>
      </c>
      <c r="F449" s="459">
        <f t="shared" si="24"/>
        <v>1000000</v>
      </c>
      <c r="G449" s="459">
        <v>1000000</v>
      </c>
      <c r="H449" s="459">
        <v>0</v>
      </c>
      <c r="I449" s="459">
        <f t="shared" si="25"/>
        <v>1000000</v>
      </c>
      <c r="J449" s="460"/>
      <c r="K449" s="460"/>
      <c r="L449" s="460"/>
      <c r="M449" s="459"/>
      <c r="N449" s="461"/>
      <c r="O449" s="462"/>
      <c r="P449" s="462"/>
    </row>
    <row r="450" spans="2:16">
      <c r="B450" s="455" t="s">
        <v>578</v>
      </c>
      <c r="C450" s="456">
        <v>44334</v>
      </c>
      <c r="D450" s="457">
        <v>1080</v>
      </c>
      <c r="E450" s="458" t="s">
        <v>576</v>
      </c>
      <c r="F450" s="459">
        <f t="shared" si="24"/>
        <v>221500000</v>
      </c>
      <c r="G450" s="459">
        <v>221500000</v>
      </c>
      <c r="H450" s="459">
        <v>0</v>
      </c>
      <c r="I450" s="459">
        <f t="shared" si="25"/>
        <v>221500000</v>
      </c>
      <c r="J450" s="460"/>
      <c r="K450" s="460"/>
      <c r="L450" s="460"/>
      <c r="M450" s="459"/>
      <c r="N450" s="461"/>
      <c r="O450" s="462"/>
      <c r="P450" s="462"/>
    </row>
    <row r="451" spans="2:16">
      <c r="B451" s="455" t="s">
        <v>580</v>
      </c>
      <c r="C451" s="456">
        <v>44334</v>
      </c>
      <c r="D451" s="457">
        <v>1080</v>
      </c>
      <c r="E451" s="458" t="s">
        <v>576</v>
      </c>
      <c r="F451" s="459">
        <f t="shared" si="24"/>
        <v>88600000</v>
      </c>
      <c r="G451" s="459">
        <v>88600000</v>
      </c>
      <c r="H451" s="459">
        <v>0</v>
      </c>
      <c r="I451" s="459">
        <f t="shared" si="25"/>
        <v>88600000</v>
      </c>
      <c r="J451" s="460"/>
      <c r="K451" s="460"/>
      <c r="L451" s="460"/>
      <c r="M451" s="459"/>
      <c r="N451" s="461"/>
      <c r="O451" s="462"/>
      <c r="P451" s="462"/>
    </row>
    <row r="452" spans="2:16">
      <c r="B452" s="455" t="s">
        <v>577</v>
      </c>
      <c r="C452" s="456">
        <v>44334</v>
      </c>
      <c r="D452" s="457">
        <v>1080</v>
      </c>
      <c r="E452" s="458" t="s">
        <v>576</v>
      </c>
      <c r="F452" s="459">
        <f t="shared" si="24"/>
        <v>132900000</v>
      </c>
      <c r="G452" s="459">
        <v>132900000</v>
      </c>
      <c r="H452" s="459">
        <v>0</v>
      </c>
      <c r="I452" s="459">
        <f t="shared" si="25"/>
        <v>132900000</v>
      </c>
      <c r="J452" s="460"/>
      <c r="K452" s="460"/>
      <c r="L452" s="460"/>
      <c r="M452" s="459"/>
      <c r="N452" s="461"/>
      <c r="O452" s="462"/>
      <c r="P452" s="462"/>
    </row>
    <row r="453" spans="2:16">
      <c r="B453" s="455" t="s">
        <v>582</v>
      </c>
      <c r="C453" s="456">
        <v>44334</v>
      </c>
      <c r="D453" s="457">
        <v>1080</v>
      </c>
      <c r="E453" s="458" t="s">
        <v>576</v>
      </c>
      <c r="F453" s="459">
        <f t="shared" si="24"/>
        <v>7250000</v>
      </c>
      <c r="G453" s="459">
        <v>7250000</v>
      </c>
      <c r="H453" s="459">
        <v>0</v>
      </c>
      <c r="I453" s="459">
        <f t="shared" si="25"/>
        <v>7250000</v>
      </c>
      <c r="J453" s="460"/>
      <c r="K453" s="460"/>
      <c r="L453" s="460"/>
      <c r="M453" s="459"/>
      <c r="N453" s="461"/>
      <c r="O453" s="462"/>
      <c r="P453" s="462"/>
    </row>
    <row r="454" spans="2:16">
      <c r="B454" s="455" t="s">
        <v>580</v>
      </c>
      <c r="C454" s="456">
        <v>44337</v>
      </c>
      <c r="D454" s="457">
        <v>1440</v>
      </c>
      <c r="E454" s="458" t="s">
        <v>576</v>
      </c>
      <c r="F454" s="459">
        <f t="shared" si="24"/>
        <v>300000000</v>
      </c>
      <c r="G454" s="459">
        <v>300000000</v>
      </c>
      <c r="H454" s="459">
        <v>0</v>
      </c>
      <c r="I454" s="459">
        <f t="shared" si="25"/>
        <v>300000000</v>
      </c>
      <c r="J454" s="460"/>
      <c r="K454" s="460"/>
      <c r="L454" s="460"/>
      <c r="M454" s="459"/>
      <c r="N454" s="461"/>
      <c r="O454" s="462"/>
      <c r="P454" s="462"/>
    </row>
    <row r="455" spans="2:16">
      <c r="B455" s="455" t="s">
        <v>585</v>
      </c>
      <c r="C455" s="456">
        <v>44337</v>
      </c>
      <c r="D455" s="457">
        <v>1440</v>
      </c>
      <c r="E455" s="458" t="s">
        <v>576</v>
      </c>
      <c r="F455" s="459">
        <f t="shared" si="24"/>
        <v>50000000</v>
      </c>
      <c r="G455" s="459">
        <v>50000000</v>
      </c>
      <c r="H455" s="459">
        <v>0</v>
      </c>
      <c r="I455" s="459">
        <f t="shared" si="25"/>
        <v>50000000</v>
      </c>
      <c r="J455" s="460"/>
      <c r="K455" s="460"/>
      <c r="L455" s="460"/>
      <c r="M455" s="459"/>
      <c r="N455" s="461"/>
      <c r="O455" s="462"/>
      <c r="P455" s="462"/>
    </row>
    <row r="456" spans="2:16">
      <c r="B456" s="455" t="s">
        <v>586</v>
      </c>
      <c r="C456" s="456">
        <v>44337</v>
      </c>
      <c r="D456" s="457">
        <v>1440</v>
      </c>
      <c r="E456" s="458" t="s">
        <v>576</v>
      </c>
      <c r="F456" s="459">
        <f t="shared" si="24"/>
        <v>2750000</v>
      </c>
      <c r="G456" s="459">
        <v>2750000</v>
      </c>
      <c r="H456" s="459">
        <v>0</v>
      </c>
      <c r="I456" s="459">
        <f t="shared" si="25"/>
        <v>2750000</v>
      </c>
      <c r="J456" s="460"/>
      <c r="K456" s="460"/>
      <c r="L456" s="460"/>
      <c r="M456" s="459"/>
      <c r="N456" s="461"/>
      <c r="O456" s="462"/>
      <c r="P456" s="462"/>
    </row>
    <row r="457" spans="2:16">
      <c r="B457" s="455" t="s">
        <v>600</v>
      </c>
      <c r="C457" s="456">
        <v>44337</v>
      </c>
      <c r="D457" s="457">
        <v>1440</v>
      </c>
      <c r="E457" s="458" t="s">
        <v>576</v>
      </c>
      <c r="F457" s="459">
        <f t="shared" si="24"/>
        <v>100000000</v>
      </c>
      <c r="G457" s="459">
        <v>100000000</v>
      </c>
      <c r="H457" s="459">
        <v>0</v>
      </c>
      <c r="I457" s="459">
        <f t="shared" si="25"/>
        <v>100000000</v>
      </c>
      <c r="J457" s="460"/>
      <c r="K457" s="460"/>
      <c r="L457" s="460"/>
      <c r="M457" s="459"/>
      <c r="N457" s="461"/>
      <c r="O457" s="462"/>
      <c r="P457" s="462"/>
    </row>
    <row r="458" spans="2:16">
      <c r="B458" s="455" t="s">
        <v>575</v>
      </c>
      <c r="C458" s="456"/>
      <c r="D458" s="457"/>
      <c r="E458" s="458" t="s">
        <v>576</v>
      </c>
      <c r="F458" s="459"/>
      <c r="G458" s="459"/>
      <c r="H458" s="459"/>
      <c r="I458" s="459"/>
      <c r="J458" s="456">
        <v>44319</v>
      </c>
      <c r="K458" s="459">
        <v>0</v>
      </c>
      <c r="L458" s="459">
        <v>2094035</v>
      </c>
      <c r="M458" s="459">
        <f t="shared" ref="M458:M489" si="26">+K458+L458</f>
        <v>2094035</v>
      </c>
      <c r="N458" s="461"/>
      <c r="O458" s="462"/>
      <c r="P458" s="462"/>
    </row>
    <row r="459" spans="2:16">
      <c r="B459" s="455" t="s">
        <v>575</v>
      </c>
      <c r="C459" s="456"/>
      <c r="D459" s="457"/>
      <c r="E459" s="458" t="s">
        <v>576</v>
      </c>
      <c r="F459" s="459"/>
      <c r="G459" s="459"/>
      <c r="H459" s="459"/>
      <c r="I459" s="459"/>
      <c r="J459" s="456">
        <v>44319</v>
      </c>
      <c r="K459" s="459">
        <v>0</v>
      </c>
      <c r="L459" s="459">
        <v>2325000</v>
      </c>
      <c r="M459" s="459">
        <f t="shared" si="26"/>
        <v>2325000</v>
      </c>
      <c r="N459" s="461"/>
      <c r="O459" s="462"/>
      <c r="P459" s="462"/>
    </row>
    <row r="460" spans="2:16">
      <c r="B460" s="455" t="s">
        <v>582</v>
      </c>
      <c r="C460" s="456"/>
      <c r="D460" s="457"/>
      <c r="E460" s="458" t="s">
        <v>576</v>
      </c>
      <c r="F460" s="459"/>
      <c r="G460" s="459"/>
      <c r="H460" s="459"/>
      <c r="I460" s="459"/>
      <c r="J460" s="456">
        <v>44319</v>
      </c>
      <c r="K460" s="459">
        <v>0</v>
      </c>
      <c r="L460" s="459">
        <v>1125</v>
      </c>
      <c r="M460" s="459">
        <f t="shared" si="26"/>
        <v>1125</v>
      </c>
      <c r="N460" s="461"/>
      <c r="O460" s="462"/>
      <c r="P460" s="462"/>
    </row>
    <row r="461" spans="2:16">
      <c r="B461" s="455" t="s">
        <v>577</v>
      </c>
      <c r="C461" s="456"/>
      <c r="D461" s="457"/>
      <c r="E461" s="458" t="s">
        <v>576</v>
      </c>
      <c r="F461" s="459"/>
      <c r="G461" s="459"/>
      <c r="H461" s="459"/>
      <c r="I461" s="459"/>
      <c r="J461" s="456">
        <v>44319</v>
      </c>
      <c r="K461" s="459">
        <v>0</v>
      </c>
      <c r="L461" s="459">
        <v>3487500</v>
      </c>
      <c r="M461" s="459">
        <f t="shared" si="26"/>
        <v>3487500</v>
      </c>
      <c r="N461" s="461"/>
      <c r="O461" s="462"/>
      <c r="P461" s="462"/>
    </row>
    <row r="462" spans="2:16">
      <c r="B462" s="455" t="s">
        <v>584</v>
      </c>
      <c r="C462" s="456"/>
      <c r="D462" s="457"/>
      <c r="E462" s="458" t="s">
        <v>576</v>
      </c>
      <c r="F462" s="459"/>
      <c r="G462" s="459"/>
      <c r="H462" s="459"/>
      <c r="I462" s="459"/>
      <c r="J462" s="456">
        <v>44319</v>
      </c>
      <c r="K462" s="459">
        <v>0</v>
      </c>
      <c r="L462" s="459">
        <v>751973</v>
      </c>
      <c r="M462" s="459">
        <f t="shared" si="26"/>
        <v>751973</v>
      </c>
      <c r="N462" s="461"/>
      <c r="O462" s="462"/>
      <c r="P462" s="462"/>
    </row>
    <row r="463" spans="2:16">
      <c r="B463" s="455" t="s">
        <v>585</v>
      </c>
      <c r="C463" s="456"/>
      <c r="D463" s="457"/>
      <c r="E463" s="458" t="s">
        <v>576</v>
      </c>
      <c r="F463" s="459"/>
      <c r="G463" s="459"/>
      <c r="H463" s="459"/>
      <c r="I463" s="459"/>
      <c r="J463" s="456">
        <v>44322</v>
      </c>
      <c r="K463" s="459">
        <v>0</v>
      </c>
      <c r="L463" s="459">
        <v>1500000</v>
      </c>
      <c r="M463" s="459">
        <f t="shared" si="26"/>
        <v>1500000</v>
      </c>
      <c r="N463" s="461"/>
      <c r="O463" s="462"/>
      <c r="P463" s="462"/>
    </row>
    <row r="464" spans="2:16">
      <c r="B464" s="455" t="s">
        <v>585</v>
      </c>
      <c r="C464" s="456"/>
      <c r="D464" s="457"/>
      <c r="E464" s="458" t="s">
        <v>576</v>
      </c>
      <c r="F464" s="459"/>
      <c r="G464" s="459"/>
      <c r="H464" s="459"/>
      <c r="I464" s="459"/>
      <c r="J464" s="456">
        <v>44322</v>
      </c>
      <c r="K464" s="459">
        <v>0</v>
      </c>
      <c r="L464" s="459">
        <v>947936</v>
      </c>
      <c r="M464" s="459">
        <f t="shared" si="26"/>
        <v>947936</v>
      </c>
      <c r="N464" s="461"/>
      <c r="O464" s="462"/>
      <c r="P464" s="462"/>
    </row>
    <row r="465" spans="2:16">
      <c r="B465" s="455" t="s">
        <v>585</v>
      </c>
      <c r="C465" s="456"/>
      <c r="D465" s="457"/>
      <c r="E465" s="458" t="s">
        <v>576</v>
      </c>
      <c r="F465" s="459"/>
      <c r="G465" s="459"/>
      <c r="H465" s="459"/>
      <c r="I465" s="459"/>
      <c r="J465" s="456">
        <v>44322</v>
      </c>
      <c r="K465" s="459">
        <v>0</v>
      </c>
      <c r="L465" s="459">
        <v>9304688</v>
      </c>
      <c r="M465" s="459">
        <f t="shared" si="26"/>
        <v>9304688</v>
      </c>
      <c r="N465" s="461"/>
      <c r="O465" s="462"/>
      <c r="P465" s="462"/>
    </row>
    <row r="466" spans="2:16">
      <c r="B466" s="455" t="s">
        <v>582</v>
      </c>
      <c r="C466" s="456"/>
      <c r="D466" s="457"/>
      <c r="E466" s="458" t="s">
        <v>576</v>
      </c>
      <c r="F466" s="459"/>
      <c r="G466" s="459"/>
      <c r="H466" s="459"/>
      <c r="I466" s="459"/>
      <c r="J466" s="456">
        <v>44322</v>
      </c>
      <c r="K466" s="459">
        <v>0</v>
      </c>
      <c r="L466" s="459">
        <v>39000</v>
      </c>
      <c r="M466" s="459">
        <f t="shared" si="26"/>
        <v>39000</v>
      </c>
      <c r="N466" s="461"/>
      <c r="O466" s="462"/>
      <c r="P466" s="462"/>
    </row>
    <row r="467" spans="2:16">
      <c r="B467" s="455" t="s">
        <v>577</v>
      </c>
      <c r="C467" s="456"/>
      <c r="D467" s="457"/>
      <c r="E467" s="458" t="s">
        <v>576</v>
      </c>
      <c r="F467" s="459"/>
      <c r="G467" s="459"/>
      <c r="H467" s="459"/>
      <c r="I467" s="459"/>
      <c r="J467" s="456">
        <v>44322</v>
      </c>
      <c r="K467" s="459">
        <v>0</v>
      </c>
      <c r="L467" s="459">
        <v>8720814</v>
      </c>
      <c r="M467" s="459">
        <f t="shared" si="26"/>
        <v>8720814</v>
      </c>
      <c r="N467" s="461"/>
      <c r="O467" s="462"/>
      <c r="P467" s="462"/>
    </row>
    <row r="468" spans="2:16">
      <c r="B468" s="455" t="s">
        <v>577</v>
      </c>
      <c r="C468" s="456"/>
      <c r="D468" s="457"/>
      <c r="E468" s="458" t="s">
        <v>576</v>
      </c>
      <c r="F468" s="459"/>
      <c r="G468" s="459"/>
      <c r="H468" s="459"/>
      <c r="I468" s="459"/>
      <c r="J468" s="456">
        <v>44322</v>
      </c>
      <c r="K468" s="459">
        <v>0</v>
      </c>
      <c r="L468" s="459">
        <v>7050000</v>
      </c>
      <c r="M468" s="459">
        <f t="shared" si="26"/>
        <v>7050000</v>
      </c>
      <c r="N468" s="461"/>
      <c r="O468" s="462"/>
      <c r="P468" s="462"/>
    </row>
    <row r="469" spans="2:16">
      <c r="B469" s="455" t="s">
        <v>583</v>
      </c>
      <c r="C469" s="456"/>
      <c r="D469" s="457"/>
      <c r="E469" s="458" t="s">
        <v>576</v>
      </c>
      <c r="F469" s="459"/>
      <c r="G469" s="459"/>
      <c r="H469" s="459"/>
      <c r="I469" s="459"/>
      <c r="J469" s="456">
        <v>44322</v>
      </c>
      <c r="K469" s="459">
        <v>0</v>
      </c>
      <c r="L469" s="459">
        <v>150000</v>
      </c>
      <c r="M469" s="459">
        <f t="shared" si="26"/>
        <v>150000</v>
      </c>
      <c r="N469" s="461"/>
      <c r="O469" s="462"/>
      <c r="P469" s="462"/>
    </row>
    <row r="470" spans="2:16">
      <c r="B470" s="455" t="s">
        <v>575</v>
      </c>
      <c r="C470" s="456"/>
      <c r="D470" s="457"/>
      <c r="E470" s="458" t="s">
        <v>576</v>
      </c>
      <c r="F470" s="459"/>
      <c r="G470" s="459"/>
      <c r="H470" s="459"/>
      <c r="I470" s="459"/>
      <c r="J470" s="456">
        <v>44322</v>
      </c>
      <c r="K470" s="459">
        <v>0</v>
      </c>
      <c r="L470" s="459">
        <v>3450000</v>
      </c>
      <c r="M470" s="459">
        <f t="shared" si="26"/>
        <v>3450000</v>
      </c>
      <c r="N470" s="461"/>
      <c r="O470" s="462"/>
      <c r="P470" s="462"/>
    </row>
    <row r="471" spans="2:16">
      <c r="B471" s="455" t="s">
        <v>583</v>
      </c>
      <c r="C471" s="456"/>
      <c r="D471" s="457"/>
      <c r="E471" s="458" t="s">
        <v>576</v>
      </c>
      <c r="F471" s="459"/>
      <c r="G471" s="459"/>
      <c r="H471" s="459"/>
      <c r="I471" s="459"/>
      <c r="J471" s="456">
        <v>44326</v>
      </c>
      <c r="K471" s="459">
        <v>0</v>
      </c>
      <c r="L471" s="459">
        <v>170000</v>
      </c>
      <c r="M471" s="459">
        <f t="shared" si="26"/>
        <v>170000</v>
      </c>
      <c r="N471" s="461"/>
      <c r="O471" s="462"/>
      <c r="P471" s="462"/>
    </row>
    <row r="472" spans="2:16">
      <c r="B472" s="455" t="s">
        <v>577</v>
      </c>
      <c r="C472" s="456"/>
      <c r="D472" s="457"/>
      <c r="E472" s="458" t="s">
        <v>576</v>
      </c>
      <c r="F472" s="459"/>
      <c r="G472" s="459"/>
      <c r="H472" s="459"/>
      <c r="I472" s="459"/>
      <c r="J472" s="456">
        <v>44326</v>
      </c>
      <c r="K472" s="459">
        <v>0</v>
      </c>
      <c r="L472" s="459">
        <v>4559910</v>
      </c>
      <c r="M472" s="459">
        <f t="shared" si="26"/>
        <v>4559910</v>
      </c>
      <c r="N472" s="461"/>
      <c r="O472" s="462"/>
      <c r="P472" s="462"/>
    </row>
    <row r="473" spans="2:16">
      <c r="B473" s="455" t="s">
        <v>582</v>
      </c>
      <c r="C473" s="456"/>
      <c r="D473" s="457"/>
      <c r="E473" s="458" t="s">
        <v>576</v>
      </c>
      <c r="F473" s="459"/>
      <c r="G473" s="459"/>
      <c r="H473" s="459"/>
      <c r="I473" s="459"/>
      <c r="J473" s="456">
        <v>44326</v>
      </c>
      <c r="K473" s="459">
        <v>0</v>
      </c>
      <c r="L473" s="459">
        <v>170000</v>
      </c>
      <c r="M473" s="459">
        <f t="shared" si="26"/>
        <v>170000</v>
      </c>
      <c r="N473" s="461"/>
      <c r="O473" s="462"/>
      <c r="P473" s="462"/>
    </row>
    <row r="474" spans="2:16">
      <c r="B474" s="455" t="s">
        <v>577</v>
      </c>
      <c r="C474" s="456"/>
      <c r="D474" s="457"/>
      <c r="E474" s="458" t="s">
        <v>576</v>
      </c>
      <c r="F474" s="459"/>
      <c r="G474" s="459"/>
      <c r="H474" s="459"/>
      <c r="I474" s="459"/>
      <c r="J474" s="456">
        <v>44326</v>
      </c>
      <c r="K474" s="466">
        <v>222584000</v>
      </c>
      <c r="L474" s="466">
        <v>0</v>
      </c>
      <c r="M474" s="466">
        <f t="shared" si="26"/>
        <v>222584000</v>
      </c>
      <c r="N474" s="461"/>
      <c r="O474" s="462"/>
      <c r="P474" s="462"/>
    </row>
    <row r="475" spans="2:16">
      <c r="B475" s="455" t="s">
        <v>582</v>
      </c>
      <c r="C475" s="456"/>
      <c r="D475" s="457"/>
      <c r="E475" s="458" t="s">
        <v>576</v>
      </c>
      <c r="F475" s="459"/>
      <c r="G475" s="459"/>
      <c r="H475" s="459"/>
      <c r="I475" s="459"/>
      <c r="J475" s="456">
        <v>44326</v>
      </c>
      <c r="K475" s="466">
        <v>8000000</v>
      </c>
      <c r="L475" s="466">
        <v>0</v>
      </c>
      <c r="M475" s="466">
        <f t="shared" si="26"/>
        <v>8000000</v>
      </c>
      <c r="N475" s="461"/>
      <c r="O475" s="462"/>
      <c r="P475" s="462"/>
    </row>
    <row r="476" spans="2:16">
      <c r="B476" s="455" t="s">
        <v>580</v>
      </c>
      <c r="C476" s="456"/>
      <c r="D476" s="457"/>
      <c r="E476" s="458" t="s">
        <v>576</v>
      </c>
      <c r="F476" s="459"/>
      <c r="G476" s="459"/>
      <c r="H476" s="459"/>
      <c r="I476" s="459"/>
      <c r="J476" s="456">
        <v>44326</v>
      </c>
      <c r="K476" s="459">
        <v>0</v>
      </c>
      <c r="L476" s="459">
        <v>5446423</v>
      </c>
      <c r="M476" s="459">
        <f t="shared" si="26"/>
        <v>5446423</v>
      </c>
      <c r="N476" s="461"/>
      <c r="O476" s="462"/>
      <c r="P476" s="462"/>
    </row>
    <row r="477" spans="2:16">
      <c r="B477" s="455" t="s">
        <v>577</v>
      </c>
      <c r="C477" s="456"/>
      <c r="D477" s="457"/>
      <c r="E477" s="458" t="s">
        <v>576</v>
      </c>
      <c r="F477" s="459"/>
      <c r="G477" s="459"/>
      <c r="H477" s="459"/>
      <c r="I477" s="459"/>
      <c r="J477" s="456">
        <v>44326</v>
      </c>
      <c r="K477" s="459">
        <v>0</v>
      </c>
      <c r="L477" s="459">
        <v>4430067</v>
      </c>
      <c r="M477" s="459">
        <f t="shared" si="26"/>
        <v>4430067</v>
      </c>
      <c r="N477" s="461"/>
      <c r="O477" s="462"/>
      <c r="P477" s="462"/>
    </row>
    <row r="478" spans="2:16">
      <c r="B478" s="455" t="s">
        <v>582</v>
      </c>
      <c r="C478" s="456"/>
      <c r="D478" s="457"/>
      <c r="E478" s="458" t="s">
        <v>576</v>
      </c>
      <c r="F478" s="459"/>
      <c r="G478" s="459"/>
      <c r="H478" s="459"/>
      <c r="I478" s="459"/>
      <c r="J478" s="456">
        <v>44326</v>
      </c>
      <c r="K478" s="459">
        <v>0</v>
      </c>
      <c r="L478" s="459">
        <v>95</v>
      </c>
      <c r="M478" s="459">
        <f t="shared" si="26"/>
        <v>95</v>
      </c>
      <c r="N478" s="461"/>
      <c r="O478" s="462"/>
      <c r="P478" s="462"/>
    </row>
    <row r="479" spans="2:16">
      <c r="B479" s="455" t="s">
        <v>582</v>
      </c>
      <c r="C479" s="456"/>
      <c r="D479" s="457"/>
      <c r="E479" s="458" t="s">
        <v>576</v>
      </c>
      <c r="F479" s="459"/>
      <c r="G479" s="459"/>
      <c r="H479" s="459"/>
      <c r="I479" s="459"/>
      <c r="J479" s="456">
        <v>44326</v>
      </c>
      <c r="K479" s="459">
        <v>0</v>
      </c>
      <c r="L479" s="459">
        <v>3680888</v>
      </c>
      <c r="M479" s="459">
        <f t="shared" si="26"/>
        <v>3680888</v>
      </c>
      <c r="N479" s="461"/>
      <c r="O479" s="462"/>
      <c r="P479" s="462"/>
    </row>
    <row r="480" spans="2:16">
      <c r="B480" s="455" t="s">
        <v>580</v>
      </c>
      <c r="C480" s="456"/>
      <c r="D480" s="457"/>
      <c r="E480" s="458" t="s">
        <v>576</v>
      </c>
      <c r="F480" s="459"/>
      <c r="G480" s="459"/>
      <c r="H480" s="459"/>
      <c r="I480" s="459"/>
      <c r="J480" s="456">
        <v>44326</v>
      </c>
      <c r="K480" s="466">
        <v>77083000</v>
      </c>
      <c r="L480" s="466">
        <v>0</v>
      </c>
      <c r="M480" s="466">
        <f t="shared" si="26"/>
        <v>77083000</v>
      </c>
      <c r="N480" s="461"/>
      <c r="O480" s="462"/>
      <c r="P480" s="462"/>
    </row>
    <row r="481" spans="2:16">
      <c r="B481" s="455" t="s">
        <v>580</v>
      </c>
      <c r="C481" s="456"/>
      <c r="D481" s="457"/>
      <c r="E481" s="458" t="s">
        <v>576</v>
      </c>
      <c r="F481" s="459"/>
      <c r="G481" s="459"/>
      <c r="H481" s="459"/>
      <c r="I481" s="459"/>
      <c r="J481" s="456">
        <v>44326</v>
      </c>
      <c r="K481" s="459">
        <v>0</v>
      </c>
      <c r="L481" s="459">
        <v>1638014</v>
      </c>
      <c r="M481" s="459">
        <f t="shared" si="26"/>
        <v>1638014</v>
      </c>
      <c r="N481" s="461"/>
      <c r="O481" s="462"/>
      <c r="P481" s="462"/>
    </row>
    <row r="482" spans="2:16">
      <c r="B482" s="455" t="s">
        <v>575</v>
      </c>
      <c r="C482" s="456"/>
      <c r="D482" s="457"/>
      <c r="E482" s="458" t="s">
        <v>576</v>
      </c>
      <c r="F482" s="459"/>
      <c r="G482" s="459"/>
      <c r="H482" s="459"/>
      <c r="I482" s="459"/>
      <c r="J482" s="456">
        <v>44326</v>
      </c>
      <c r="K482" s="459">
        <v>0</v>
      </c>
      <c r="L482" s="459">
        <v>1546050</v>
      </c>
      <c r="M482" s="459">
        <f t="shared" si="26"/>
        <v>1546050</v>
      </c>
      <c r="N482" s="461"/>
      <c r="O482" s="462"/>
      <c r="P482" s="462"/>
    </row>
    <row r="483" spans="2:16">
      <c r="B483" s="455" t="s">
        <v>580</v>
      </c>
      <c r="C483" s="456"/>
      <c r="D483" s="457"/>
      <c r="E483" s="458" t="s">
        <v>576</v>
      </c>
      <c r="F483" s="459"/>
      <c r="G483" s="459"/>
      <c r="H483" s="459"/>
      <c r="I483" s="459"/>
      <c r="J483" s="456">
        <v>44326</v>
      </c>
      <c r="K483" s="459">
        <v>0</v>
      </c>
      <c r="L483" s="459">
        <v>4400558</v>
      </c>
      <c r="M483" s="459">
        <f t="shared" si="26"/>
        <v>4400558</v>
      </c>
      <c r="N483" s="461"/>
      <c r="O483" s="462"/>
      <c r="P483" s="462"/>
    </row>
    <row r="484" spans="2:16">
      <c r="B484" s="455" t="s">
        <v>583</v>
      </c>
      <c r="C484" s="456"/>
      <c r="D484" s="457"/>
      <c r="E484" s="458" t="s">
        <v>576</v>
      </c>
      <c r="F484" s="459"/>
      <c r="G484" s="459"/>
      <c r="H484" s="459"/>
      <c r="I484" s="459"/>
      <c r="J484" s="456">
        <v>44326</v>
      </c>
      <c r="K484" s="459">
        <v>0</v>
      </c>
      <c r="L484" s="459">
        <v>252578</v>
      </c>
      <c r="M484" s="459">
        <f t="shared" si="26"/>
        <v>252578</v>
      </c>
      <c r="N484" s="461"/>
      <c r="O484" s="462"/>
      <c r="P484" s="462"/>
    </row>
    <row r="485" spans="2:16">
      <c r="B485" s="455" t="s">
        <v>586</v>
      </c>
      <c r="C485" s="456"/>
      <c r="D485" s="457"/>
      <c r="E485" s="458" t="s">
        <v>576</v>
      </c>
      <c r="F485" s="459"/>
      <c r="G485" s="459"/>
      <c r="H485" s="459"/>
      <c r="I485" s="459"/>
      <c r="J485" s="456">
        <v>44326</v>
      </c>
      <c r="K485" s="466">
        <v>108433000</v>
      </c>
      <c r="L485" s="466">
        <v>0</v>
      </c>
      <c r="M485" s="466">
        <f t="shared" si="26"/>
        <v>108433000</v>
      </c>
      <c r="N485" s="461"/>
      <c r="O485" s="462"/>
      <c r="P485" s="462"/>
    </row>
    <row r="486" spans="2:16">
      <c r="B486" s="455" t="s">
        <v>586</v>
      </c>
      <c r="C486" s="456"/>
      <c r="D486" s="457"/>
      <c r="E486" s="458" t="s">
        <v>576</v>
      </c>
      <c r="F486" s="459"/>
      <c r="G486" s="459"/>
      <c r="H486" s="459"/>
      <c r="I486" s="459"/>
      <c r="J486" s="456">
        <v>44326</v>
      </c>
      <c r="K486" s="459">
        <v>0</v>
      </c>
      <c r="L486" s="459">
        <v>533375</v>
      </c>
      <c r="M486" s="459">
        <f t="shared" si="26"/>
        <v>533375</v>
      </c>
      <c r="N486" s="461"/>
      <c r="O486" s="462"/>
      <c r="P486" s="462"/>
    </row>
    <row r="487" spans="2:16">
      <c r="B487" s="455" t="s">
        <v>585</v>
      </c>
      <c r="C487" s="456"/>
      <c r="D487" s="457"/>
      <c r="E487" s="458" t="s">
        <v>576</v>
      </c>
      <c r="F487" s="459"/>
      <c r="G487" s="459"/>
      <c r="H487" s="459"/>
      <c r="I487" s="459"/>
      <c r="J487" s="456">
        <v>44326</v>
      </c>
      <c r="K487" s="459">
        <v>0</v>
      </c>
      <c r="L487" s="459">
        <v>1770826</v>
      </c>
      <c r="M487" s="459">
        <f t="shared" si="26"/>
        <v>1770826</v>
      </c>
      <c r="N487" s="461"/>
      <c r="O487" s="462"/>
      <c r="P487" s="462"/>
    </row>
    <row r="488" spans="2:16">
      <c r="B488" s="455" t="s">
        <v>586</v>
      </c>
      <c r="C488" s="456"/>
      <c r="D488" s="457"/>
      <c r="E488" s="458" t="s">
        <v>576</v>
      </c>
      <c r="F488" s="459"/>
      <c r="G488" s="459"/>
      <c r="H488" s="459"/>
      <c r="I488" s="459"/>
      <c r="J488" s="456">
        <v>44326</v>
      </c>
      <c r="K488" s="459">
        <v>0</v>
      </c>
      <c r="L488" s="459">
        <v>110938</v>
      </c>
      <c r="M488" s="459">
        <f t="shared" si="26"/>
        <v>110938</v>
      </c>
      <c r="N488" s="461"/>
      <c r="O488" s="462"/>
      <c r="P488" s="462"/>
    </row>
    <row r="489" spans="2:16">
      <c r="B489" s="455" t="s">
        <v>582</v>
      </c>
      <c r="C489" s="456"/>
      <c r="D489" s="457"/>
      <c r="E489" s="458" t="s">
        <v>576</v>
      </c>
      <c r="F489" s="459"/>
      <c r="G489" s="459"/>
      <c r="H489" s="459"/>
      <c r="I489" s="459"/>
      <c r="J489" s="456">
        <v>44326</v>
      </c>
      <c r="K489" s="459">
        <v>0</v>
      </c>
      <c r="L489" s="459">
        <v>8875</v>
      </c>
      <c r="M489" s="459">
        <f t="shared" si="26"/>
        <v>8875</v>
      </c>
      <c r="N489" s="461"/>
      <c r="O489" s="462"/>
      <c r="P489" s="462"/>
    </row>
    <row r="490" spans="2:16">
      <c r="B490" s="455" t="s">
        <v>597</v>
      </c>
      <c r="C490" s="456"/>
      <c r="D490" s="457"/>
      <c r="E490" s="458" t="s">
        <v>576</v>
      </c>
      <c r="F490" s="459"/>
      <c r="G490" s="459"/>
      <c r="H490" s="459"/>
      <c r="I490" s="459"/>
      <c r="J490" s="456">
        <v>44326</v>
      </c>
      <c r="K490" s="459">
        <v>0</v>
      </c>
      <c r="L490" s="459">
        <v>4084827</v>
      </c>
      <c r="M490" s="459">
        <f t="shared" ref="M490:M521" si="27">+K490+L490</f>
        <v>4084827</v>
      </c>
      <c r="N490" s="461"/>
      <c r="O490" s="462"/>
      <c r="P490" s="462"/>
    </row>
    <row r="491" spans="2:16">
      <c r="B491" s="455" t="s">
        <v>581</v>
      </c>
      <c r="C491" s="456"/>
      <c r="D491" s="457"/>
      <c r="E491" s="458" t="s">
        <v>576</v>
      </c>
      <c r="F491" s="459"/>
      <c r="G491" s="459"/>
      <c r="H491" s="459"/>
      <c r="I491" s="459"/>
      <c r="J491" s="456">
        <v>44327</v>
      </c>
      <c r="K491" s="459">
        <v>0</v>
      </c>
      <c r="L491" s="459">
        <v>1637682</v>
      </c>
      <c r="M491" s="459">
        <f t="shared" si="27"/>
        <v>1637682</v>
      </c>
      <c r="N491" s="461"/>
      <c r="O491" s="462"/>
      <c r="P491" s="462"/>
    </row>
    <row r="492" spans="2:16">
      <c r="B492" s="455" t="s">
        <v>577</v>
      </c>
      <c r="C492" s="456"/>
      <c r="D492" s="457"/>
      <c r="E492" s="458" t="s">
        <v>576</v>
      </c>
      <c r="F492" s="459"/>
      <c r="G492" s="459"/>
      <c r="H492" s="459"/>
      <c r="I492" s="459"/>
      <c r="J492" s="456">
        <v>44327</v>
      </c>
      <c r="K492" s="459">
        <v>0</v>
      </c>
      <c r="L492" s="459">
        <v>6181223</v>
      </c>
      <c r="M492" s="459">
        <f t="shared" si="27"/>
        <v>6181223</v>
      </c>
      <c r="N492" s="461"/>
      <c r="O492" s="462"/>
      <c r="P492" s="462"/>
    </row>
    <row r="493" spans="2:16">
      <c r="B493" s="455" t="s">
        <v>577</v>
      </c>
      <c r="C493" s="456"/>
      <c r="D493" s="457"/>
      <c r="E493" s="458" t="s">
        <v>576</v>
      </c>
      <c r="F493" s="459"/>
      <c r="G493" s="459"/>
      <c r="H493" s="459"/>
      <c r="I493" s="459"/>
      <c r="J493" s="456">
        <v>44328</v>
      </c>
      <c r="K493" s="459">
        <v>0</v>
      </c>
      <c r="L493" s="459">
        <v>1339281</v>
      </c>
      <c r="M493" s="459">
        <f t="shared" si="27"/>
        <v>1339281</v>
      </c>
      <c r="N493" s="461"/>
      <c r="O493" s="462"/>
      <c r="P493" s="462"/>
    </row>
    <row r="494" spans="2:16">
      <c r="B494" s="455" t="s">
        <v>580</v>
      </c>
      <c r="C494" s="456"/>
      <c r="D494" s="457"/>
      <c r="E494" s="458" t="s">
        <v>576</v>
      </c>
      <c r="F494" s="459"/>
      <c r="G494" s="459"/>
      <c r="H494" s="459"/>
      <c r="I494" s="459"/>
      <c r="J494" s="456">
        <v>44328</v>
      </c>
      <c r="K494" s="459">
        <v>0</v>
      </c>
      <c r="L494" s="459">
        <v>2232141</v>
      </c>
      <c r="M494" s="459">
        <f t="shared" si="27"/>
        <v>2232141</v>
      </c>
      <c r="N494" s="461"/>
      <c r="O494" s="462"/>
      <c r="P494" s="462"/>
    </row>
    <row r="495" spans="2:16">
      <c r="B495" s="455" t="s">
        <v>584</v>
      </c>
      <c r="C495" s="456"/>
      <c r="D495" s="457"/>
      <c r="E495" s="458" t="s">
        <v>576</v>
      </c>
      <c r="F495" s="459"/>
      <c r="G495" s="459"/>
      <c r="H495" s="459"/>
      <c r="I495" s="459"/>
      <c r="J495" s="456">
        <v>44328</v>
      </c>
      <c r="K495" s="459">
        <v>0</v>
      </c>
      <c r="L495" s="459">
        <v>2566953</v>
      </c>
      <c r="M495" s="459">
        <f t="shared" si="27"/>
        <v>2566953</v>
      </c>
      <c r="N495" s="461"/>
      <c r="O495" s="462"/>
      <c r="P495" s="462"/>
    </row>
    <row r="496" spans="2:16">
      <c r="B496" s="455" t="s">
        <v>577</v>
      </c>
      <c r="C496" s="456"/>
      <c r="D496" s="457"/>
      <c r="E496" s="458" t="s">
        <v>576</v>
      </c>
      <c r="F496" s="459"/>
      <c r="G496" s="459"/>
      <c r="H496" s="459"/>
      <c r="I496" s="459"/>
      <c r="J496" s="456">
        <v>44329</v>
      </c>
      <c r="K496" s="459">
        <v>0</v>
      </c>
      <c r="L496" s="459">
        <v>4939870</v>
      </c>
      <c r="M496" s="459">
        <f t="shared" si="27"/>
        <v>4939870</v>
      </c>
      <c r="N496" s="461"/>
      <c r="O496" s="462"/>
      <c r="P496" s="462"/>
    </row>
    <row r="497" spans="2:16">
      <c r="B497" s="455" t="s">
        <v>601</v>
      </c>
      <c r="C497" s="456"/>
      <c r="D497" s="457"/>
      <c r="E497" s="458" t="s">
        <v>576</v>
      </c>
      <c r="F497" s="459"/>
      <c r="G497" s="459"/>
      <c r="H497" s="459"/>
      <c r="I497" s="459"/>
      <c r="J497" s="456">
        <v>44329</v>
      </c>
      <c r="K497" s="459">
        <v>0</v>
      </c>
      <c r="L497" s="459">
        <v>3700</v>
      </c>
      <c r="M497" s="459">
        <f t="shared" si="27"/>
        <v>3700</v>
      </c>
      <c r="N497" s="461"/>
      <c r="O497" s="462"/>
      <c r="P497" s="462"/>
    </row>
    <row r="498" spans="2:16">
      <c r="B498" s="455" t="s">
        <v>587</v>
      </c>
      <c r="C498" s="456"/>
      <c r="D498" s="457"/>
      <c r="E498" s="458" t="s">
        <v>576</v>
      </c>
      <c r="F498" s="459"/>
      <c r="G498" s="459"/>
      <c r="H498" s="459"/>
      <c r="I498" s="459"/>
      <c r="J498" s="456">
        <v>44329</v>
      </c>
      <c r="K498" s="459">
        <v>0</v>
      </c>
      <c r="L498" s="459">
        <v>4813</v>
      </c>
      <c r="M498" s="459">
        <f t="shared" si="27"/>
        <v>4813</v>
      </c>
      <c r="N498" s="461"/>
      <c r="O498" s="462"/>
      <c r="P498" s="462"/>
    </row>
    <row r="499" spans="2:16">
      <c r="B499" s="455" t="s">
        <v>577</v>
      </c>
      <c r="C499" s="456"/>
      <c r="D499" s="457"/>
      <c r="E499" s="458" t="s">
        <v>576</v>
      </c>
      <c r="F499" s="459"/>
      <c r="G499" s="459"/>
      <c r="H499" s="459"/>
      <c r="I499" s="459"/>
      <c r="J499" s="456">
        <v>44329</v>
      </c>
      <c r="K499" s="459">
        <v>0</v>
      </c>
      <c r="L499" s="459">
        <v>7098438</v>
      </c>
      <c r="M499" s="459">
        <f t="shared" si="27"/>
        <v>7098438</v>
      </c>
      <c r="N499" s="461"/>
      <c r="O499" s="462"/>
      <c r="P499" s="462"/>
    </row>
    <row r="500" spans="2:16">
      <c r="B500" s="455" t="s">
        <v>580</v>
      </c>
      <c r="C500" s="456"/>
      <c r="D500" s="457"/>
      <c r="E500" s="458" t="s">
        <v>576</v>
      </c>
      <c r="F500" s="459"/>
      <c r="G500" s="459"/>
      <c r="H500" s="459"/>
      <c r="I500" s="459"/>
      <c r="J500" s="456">
        <v>44329</v>
      </c>
      <c r="K500" s="459">
        <v>0</v>
      </c>
      <c r="L500" s="459">
        <v>964151</v>
      </c>
      <c r="M500" s="459">
        <f t="shared" si="27"/>
        <v>964151</v>
      </c>
      <c r="N500" s="461"/>
      <c r="O500" s="462"/>
      <c r="P500" s="462"/>
    </row>
    <row r="501" spans="2:16">
      <c r="B501" s="455" t="s">
        <v>596</v>
      </c>
      <c r="C501" s="456"/>
      <c r="D501" s="457"/>
      <c r="E501" s="458" t="s">
        <v>576</v>
      </c>
      <c r="F501" s="459"/>
      <c r="G501" s="459"/>
      <c r="H501" s="459"/>
      <c r="I501" s="459"/>
      <c r="J501" s="456">
        <v>44330</v>
      </c>
      <c r="K501" s="459">
        <v>0</v>
      </c>
      <c r="L501" s="459">
        <v>7625</v>
      </c>
      <c r="M501" s="459">
        <f t="shared" si="27"/>
        <v>7625</v>
      </c>
      <c r="N501" s="461"/>
      <c r="O501" s="462"/>
      <c r="P501" s="462"/>
    </row>
    <row r="502" spans="2:16">
      <c r="B502" s="455" t="s">
        <v>602</v>
      </c>
      <c r="C502" s="456"/>
      <c r="D502" s="457"/>
      <c r="E502" s="458" t="s">
        <v>576</v>
      </c>
      <c r="F502" s="459"/>
      <c r="G502" s="459"/>
      <c r="H502" s="459"/>
      <c r="I502" s="459"/>
      <c r="J502" s="456">
        <v>44330</v>
      </c>
      <c r="K502" s="459">
        <v>0</v>
      </c>
      <c r="L502" s="459">
        <v>1096666</v>
      </c>
      <c r="M502" s="459">
        <f t="shared" si="27"/>
        <v>1096666</v>
      </c>
      <c r="N502" s="461"/>
      <c r="O502" s="462"/>
      <c r="P502" s="462"/>
    </row>
    <row r="503" spans="2:16">
      <c r="B503" s="455" t="s">
        <v>577</v>
      </c>
      <c r="C503" s="456"/>
      <c r="D503" s="457"/>
      <c r="E503" s="458" t="s">
        <v>576</v>
      </c>
      <c r="F503" s="459"/>
      <c r="G503" s="459"/>
      <c r="H503" s="459"/>
      <c r="I503" s="459"/>
      <c r="J503" s="456">
        <v>44330</v>
      </c>
      <c r="K503" s="459">
        <v>0</v>
      </c>
      <c r="L503" s="459">
        <v>3870069</v>
      </c>
      <c r="M503" s="459">
        <f t="shared" si="27"/>
        <v>3870069</v>
      </c>
      <c r="N503" s="461"/>
      <c r="O503" s="462"/>
      <c r="P503" s="462"/>
    </row>
    <row r="504" spans="2:16">
      <c r="B504" s="455" t="s">
        <v>583</v>
      </c>
      <c r="C504" s="456"/>
      <c r="D504" s="457"/>
      <c r="E504" s="458" t="s">
        <v>576</v>
      </c>
      <c r="F504" s="459"/>
      <c r="G504" s="459"/>
      <c r="H504" s="459"/>
      <c r="I504" s="459"/>
      <c r="J504" s="456">
        <v>44330</v>
      </c>
      <c r="K504" s="459">
        <v>0</v>
      </c>
      <c r="L504" s="459">
        <v>38125</v>
      </c>
      <c r="M504" s="459">
        <f t="shared" si="27"/>
        <v>38125</v>
      </c>
      <c r="N504" s="461"/>
      <c r="O504" s="462"/>
      <c r="P504" s="462"/>
    </row>
    <row r="505" spans="2:16">
      <c r="B505" s="455" t="s">
        <v>585</v>
      </c>
      <c r="C505" s="456"/>
      <c r="D505" s="457"/>
      <c r="E505" s="458" t="s">
        <v>576</v>
      </c>
      <c r="F505" s="459"/>
      <c r="G505" s="459"/>
      <c r="H505" s="459"/>
      <c r="I505" s="459"/>
      <c r="J505" s="456">
        <v>44330</v>
      </c>
      <c r="K505" s="459">
        <v>0</v>
      </c>
      <c r="L505" s="459">
        <v>47847</v>
      </c>
      <c r="M505" s="459">
        <f t="shared" si="27"/>
        <v>47847</v>
      </c>
      <c r="N505" s="461"/>
      <c r="O505" s="462"/>
      <c r="P505" s="462"/>
    </row>
    <row r="506" spans="2:16">
      <c r="B506" s="455" t="s">
        <v>603</v>
      </c>
      <c r="C506" s="456"/>
      <c r="D506" s="457"/>
      <c r="E506" s="458" t="s">
        <v>576</v>
      </c>
      <c r="F506" s="459"/>
      <c r="G506" s="459"/>
      <c r="H506" s="459"/>
      <c r="I506" s="459"/>
      <c r="J506" s="456">
        <v>44330</v>
      </c>
      <c r="K506" s="459">
        <v>0</v>
      </c>
      <c r="L506" s="459">
        <v>114375</v>
      </c>
      <c r="M506" s="459">
        <f t="shared" si="27"/>
        <v>114375</v>
      </c>
      <c r="N506" s="461"/>
      <c r="O506" s="462"/>
      <c r="P506" s="462"/>
    </row>
    <row r="507" spans="2:16">
      <c r="B507" s="455" t="s">
        <v>575</v>
      </c>
      <c r="C507" s="456"/>
      <c r="D507" s="457"/>
      <c r="E507" s="458" t="s">
        <v>576</v>
      </c>
      <c r="F507" s="459"/>
      <c r="G507" s="459"/>
      <c r="H507" s="459"/>
      <c r="I507" s="459"/>
      <c r="J507" s="456">
        <v>44330</v>
      </c>
      <c r="K507" s="459">
        <v>0</v>
      </c>
      <c r="L507" s="459">
        <v>285156</v>
      </c>
      <c r="M507" s="459">
        <f t="shared" si="27"/>
        <v>285156</v>
      </c>
      <c r="N507" s="461"/>
      <c r="O507" s="462"/>
      <c r="P507" s="462"/>
    </row>
    <row r="508" spans="2:16">
      <c r="B508" s="455" t="s">
        <v>581</v>
      </c>
      <c r="C508" s="456"/>
      <c r="D508" s="457"/>
      <c r="E508" s="458" t="s">
        <v>576</v>
      </c>
      <c r="F508" s="459"/>
      <c r="G508" s="459"/>
      <c r="H508" s="459"/>
      <c r="I508" s="459"/>
      <c r="J508" s="456">
        <v>44330</v>
      </c>
      <c r="K508" s="459">
        <v>0</v>
      </c>
      <c r="L508" s="459">
        <v>95694</v>
      </c>
      <c r="M508" s="459">
        <f t="shared" si="27"/>
        <v>95694</v>
      </c>
      <c r="N508" s="461"/>
      <c r="O508" s="462"/>
      <c r="P508" s="462"/>
    </row>
    <row r="509" spans="2:16">
      <c r="B509" s="455" t="s">
        <v>575</v>
      </c>
      <c r="C509" s="456"/>
      <c r="D509" s="457"/>
      <c r="E509" s="458" t="s">
        <v>576</v>
      </c>
      <c r="F509" s="459"/>
      <c r="G509" s="459"/>
      <c r="H509" s="459"/>
      <c r="I509" s="459"/>
      <c r="J509" s="456">
        <v>44333</v>
      </c>
      <c r="K509" s="459">
        <v>0</v>
      </c>
      <c r="L509" s="459">
        <v>3065355</v>
      </c>
      <c r="M509" s="459">
        <f t="shared" si="27"/>
        <v>3065355</v>
      </c>
      <c r="N509" s="461"/>
      <c r="O509" s="462"/>
      <c r="P509" s="462"/>
    </row>
    <row r="510" spans="2:16">
      <c r="B510" s="455" t="s">
        <v>586</v>
      </c>
      <c r="C510" s="456"/>
      <c r="D510" s="457"/>
      <c r="E510" s="458" t="s">
        <v>576</v>
      </c>
      <c r="F510" s="459"/>
      <c r="G510" s="459"/>
      <c r="H510" s="459"/>
      <c r="I510" s="459"/>
      <c r="J510" s="456">
        <v>44333</v>
      </c>
      <c r="K510" s="459">
        <v>0</v>
      </c>
      <c r="L510" s="459">
        <v>180000</v>
      </c>
      <c r="M510" s="459">
        <f t="shared" si="27"/>
        <v>180000</v>
      </c>
      <c r="N510" s="461"/>
      <c r="O510" s="462"/>
      <c r="P510" s="462"/>
    </row>
    <row r="511" spans="2:16">
      <c r="B511" s="455" t="s">
        <v>580</v>
      </c>
      <c r="C511" s="456"/>
      <c r="D511" s="457"/>
      <c r="E511" s="458" t="s">
        <v>576</v>
      </c>
      <c r="F511" s="459"/>
      <c r="G511" s="459"/>
      <c r="H511" s="459"/>
      <c r="I511" s="459"/>
      <c r="J511" s="456">
        <v>44333</v>
      </c>
      <c r="K511" s="459">
        <v>0</v>
      </c>
      <c r="L511" s="459">
        <v>4036095</v>
      </c>
      <c r="M511" s="459">
        <f t="shared" si="27"/>
        <v>4036095</v>
      </c>
      <c r="N511" s="461"/>
      <c r="O511" s="462"/>
      <c r="P511" s="462"/>
    </row>
    <row r="512" spans="2:16">
      <c r="B512" s="455" t="s">
        <v>582</v>
      </c>
      <c r="C512" s="456"/>
      <c r="D512" s="457"/>
      <c r="E512" s="458" t="s">
        <v>576</v>
      </c>
      <c r="F512" s="459"/>
      <c r="G512" s="459"/>
      <c r="H512" s="459"/>
      <c r="I512" s="459"/>
      <c r="J512" s="456">
        <v>44333</v>
      </c>
      <c r="K512" s="459">
        <v>0</v>
      </c>
      <c r="L512" s="459">
        <v>175000</v>
      </c>
      <c r="M512" s="459">
        <f t="shared" si="27"/>
        <v>175000</v>
      </c>
      <c r="N512" s="461"/>
      <c r="O512" s="462"/>
      <c r="P512" s="462"/>
    </row>
    <row r="513" spans="2:16">
      <c r="B513" s="455" t="s">
        <v>577</v>
      </c>
      <c r="C513" s="456"/>
      <c r="D513" s="457"/>
      <c r="E513" s="458" t="s">
        <v>576</v>
      </c>
      <c r="F513" s="459"/>
      <c r="G513" s="459"/>
      <c r="H513" s="459"/>
      <c r="I513" s="459"/>
      <c r="J513" s="456">
        <v>44333</v>
      </c>
      <c r="K513" s="459">
        <v>0</v>
      </c>
      <c r="L513" s="459">
        <v>4432553</v>
      </c>
      <c r="M513" s="459">
        <f t="shared" si="27"/>
        <v>4432553</v>
      </c>
      <c r="N513" s="461"/>
      <c r="O513" s="462"/>
      <c r="P513" s="462"/>
    </row>
    <row r="514" spans="2:16">
      <c r="B514" s="455" t="s">
        <v>577</v>
      </c>
      <c r="C514" s="456"/>
      <c r="D514" s="457"/>
      <c r="E514" s="458" t="s">
        <v>576</v>
      </c>
      <c r="F514" s="459"/>
      <c r="G514" s="459"/>
      <c r="H514" s="459"/>
      <c r="I514" s="459"/>
      <c r="J514" s="456">
        <v>44334</v>
      </c>
      <c r="K514" s="459">
        <v>0</v>
      </c>
      <c r="L514" s="459">
        <v>5785013</v>
      </c>
      <c r="M514" s="459">
        <f t="shared" si="27"/>
        <v>5785013</v>
      </c>
      <c r="N514" s="461"/>
      <c r="O514" s="462"/>
      <c r="P514" s="462"/>
    </row>
    <row r="515" spans="2:16">
      <c r="B515" s="455" t="s">
        <v>575</v>
      </c>
      <c r="C515" s="456"/>
      <c r="D515" s="457"/>
      <c r="E515" s="458" t="s">
        <v>576</v>
      </c>
      <c r="F515" s="459"/>
      <c r="G515" s="459"/>
      <c r="H515" s="459"/>
      <c r="I515" s="459"/>
      <c r="J515" s="456">
        <v>44334</v>
      </c>
      <c r="K515" s="459">
        <v>0</v>
      </c>
      <c r="L515" s="459">
        <v>1508395</v>
      </c>
      <c r="M515" s="459">
        <f t="shared" si="27"/>
        <v>1508395</v>
      </c>
      <c r="N515" s="461"/>
      <c r="O515" s="462"/>
      <c r="P515" s="462"/>
    </row>
    <row r="516" spans="2:16">
      <c r="B516" s="455" t="s">
        <v>580</v>
      </c>
      <c r="C516" s="456"/>
      <c r="D516" s="457"/>
      <c r="E516" s="458" t="s">
        <v>576</v>
      </c>
      <c r="F516" s="459"/>
      <c r="G516" s="459"/>
      <c r="H516" s="459"/>
      <c r="I516" s="459"/>
      <c r="J516" s="456">
        <v>44334</v>
      </c>
      <c r="K516" s="459">
        <v>0</v>
      </c>
      <c r="L516" s="459">
        <v>2503993</v>
      </c>
      <c r="M516" s="459">
        <f t="shared" si="27"/>
        <v>2503993</v>
      </c>
      <c r="N516" s="461"/>
      <c r="O516" s="462"/>
      <c r="P516" s="462"/>
    </row>
    <row r="517" spans="2:16">
      <c r="B517" s="455" t="s">
        <v>583</v>
      </c>
      <c r="C517" s="456"/>
      <c r="D517" s="457"/>
      <c r="E517" s="458" t="s">
        <v>576</v>
      </c>
      <c r="F517" s="459"/>
      <c r="G517" s="459"/>
      <c r="H517" s="459"/>
      <c r="I517" s="459"/>
      <c r="J517" s="456">
        <v>44336</v>
      </c>
      <c r="K517" s="459">
        <v>0</v>
      </c>
      <c r="L517" s="459">
        <v>61250</v>
      </c>
      <c r="M517" s="459">
        <f t="shared" si="27"/>
        <v>61250</v>
      </c>
      <c r="N517" s="461"/>
      <c r="O517" s="462"/>
      <c r="P517" s="462"/>
    </row>
    <row r="518" spans="2:16">
      <c r="B518" s="455" t="s">
        <v>582</v>
      </c>
      <c r="C518" s="456"/>
      <c r="D518" s="457"/>
      <c r="E518" s="458" t="s">
        <v>576</v>
      </c>
      <c r="F518" s="459"/>
      <c r="G518" s="459"/>
      <c r="H518" s="459"/>
      <c r="I518" s="459"/>
      <c r="J518" s="456">
        <v>44336</v>
      </c>
      <c r="K518" s="459">
        <v>0</v>
      </c>
      <c r="L518" s="459">
        <v>77</v>
      </c>
      <c r="M518" s="459">
        <f t="shared" si="27"/>
        <v>77</v>
      </c>
      <c r="N518" s="461"/>
      <c r="O518" s="462"/>
      <c r="P518" s="462"/>
    </row>
    <row r="519" spans="2:16">
      <c r="B519" s="455" t="s">
        <v>582</v>
      </c>
      <c r="C519" s="456"/>
      <c r="D519" s="457"/>
      <c r="E519" s="458" t="s">
        <v>576</v>
      </c>
      <c r="F519" s="459"/>
      <c r="G519" s="459"/>
      <c r="H519" s="459"/>
      <c r="I519" s="459"/>
      <c r="J519" s="456">
        <v>44336</v>
      </c>
      <c r="K519" s="459">
        <v>0</v>
      </c>
      <c r="L519" s="459">
        <v>6125</v>
      </c>
      <c r="M519" s="459">
        <f t="shared" si="27"/>
        <v>6125</v>
      </c>
      <c r="N519" s="461"/>
      <c r="O519" s="462"/>
      <c r="P519" s="462"/>
    </row>
    <row r="520" spans="2:16">
      <c r="B520" s="455" t="s">
        <v>585</v>
      </c>
      <c r="C520" s="456"/>
      <c r="D520" s="457"/>
      <c r="E520" s="458" t="s">
        <v>576</v>
      </c>
      <c r="F520" s="459"/>
      <c r="G520" s="459"/>
      <c r="H520" s="459"/>
      <c r="I520" s="459"/>
      <c r="J520" s="456">
        <v>44336</v>
      </c>
      <c r="K520" s="459">
        <v>0</v>
      </c>
      <c r="L520" s="459">
        <v>3592833</v>
      </c>
      <c r="M520" s="459">
        <f t="shared" si="27"/>
        <v>3592833</v>
      </c>
      <c r="N520" s="461"/>
      <c r="O520" s="462"/>
      <c r="P520" s="462"/>
    </row>
    <row r="521" spans="2:16">
      <c r="B521" s="455" t="s">
        <v>578</v>
      </c>
      <c r="C521" s="456"/>
      <c r="D521" s="457"/>
      <c r="E521" s="458" t="s">
        <v>576</v>
      </c>
      <c r="F521" s="459"/>
      <c r="G521" s="459"/>
      <c r="H521" s="459"/>
      <c r="I521" s="459"/>
      <c r="J521" s="456">
        <v>44336</v>
      </c>
      <c r="K521" s="459">
        <v>0</v>
      </c>
      <c r="L521" s="459">
        <v>164318</v>
      </c>
      <c r="M521" s="459">
        <f t="shared" si="27"/>
        <v>164318</v>
      </c>
      <c r="N521" s="461"/>
      <c r="O521" s="462"/>
      <c r="P521" s="462"/>
    </row>
    <row r="522" spans="2:16">
      <c r="B522" s="455" t="s">
        <v>577</v>
      </c>
      <c r="C522" s="456"/>
      <c r="D522" s="457"/>
      <c r="E522" s="458" t="s">
        <v>576</v>
      </c>
      <c r="F522" s="459"/>
      <c r="G522" s="459"/>
      <c r="H522" s="459"/>
      <c r="I522" s="459"/>
      <c r="J522" s="456">
        <v>44336</v>
      </c>
      <c r="K522" s="459">
        <v>0</v>
      </c>
      <c r="L522" s="459">
        <v>3592833</v>
      </c>
      <c r="M522" s="459">
        <f t="shared" ref="M522:M541" si="28">+K522+L522</f>
        <v>3592833</v>
      </c>
      <c r="N522" s="461"/>
      <c r="O522" s="462"/>
      <c r="P522" s="462"/>
    </row>
    <row r="523" spans="2:16">
      <c r="B523" s="455" t="s">
        <v>580</v>
      </c>
      <c r="C523" s="456"/>
      <c r="D523" s="457"/>
      <c r="E523" s="458" t="s">
        <v>576</v>
      </c>
      <c r="F523" s="459"/>
      <c r="G523" s="459"/>
      <c r="H523" s="459"/>
      <c r="I523" s="459"/>
      <c r="J523" s="456">
        <v>44336</v>
      </c>
      <c r="K523" s="459">
        <v>0</v>
      </c>
      <c r="L523" s="459">
        <v>388432</v>
      </c>
      <c r="M523" s="459">
        <f t="shared" si="28"/>
        <v>388432</v>
      </c>
      <c r="N523" s="461"/>
      <c r="O523" s="462"/>
      <c r="P523" s="462"/>
    </row>
    <row r="524" spans="2:16">
      <c r="B524" s="455" t="s">
        <v>575</v>
      </c>
      <c r="C524" s="456"/>
      <c r="D524" s="457"/>
      <c r="E524" s="458" t="s">
        <v>576</v>
      </c>
      <c r="F524" s="459"/>
      <c r="G524" s="459"/>
      <c r="H524" s="459"/>
      <c r="I524" s="459"/>
      <c r="J524" s="456">
        <v>44336</v>
      </c>
      <c r="K524" s="459">
        <v>0</v>
      </c>
      <c r="L524" s="459">
        <v>224083</v>
      </c>
      <c r="M524" s="459">
        <f t="shared" si="28"/>
        <v>224083</v>
      </c>
      <c r="N524" s="461"/>
      <c r="O524" s="462"/>
      <c r="P524" s="462"/>
    </row>
    <row r="525" spans="2:16">
      <c r="B525" s="455" t="s">
        <v>577</v>
      </c>
      <c r="C525" s="456"/>
      <c r="D525" s="457"/>
      <c r="E525" s="458" t="s">
        <v>576</v>
      </c>
      <c r="F525" s="459"/>
      <c r="G525" s="459"/>
      <c r="H525" s="459"/>
      <c r="I525" s="459"/>
      <c r="J525" s="456">
        <v>44340</v>
      </c>
      <c r="K525" s="459">
        <v>0</v>
      </c>
      <c r="L525" s="459">
        <v>6609375</v>
      </c>
      <c r="M525" s="459">
        <f t="shared" si="28"/>
        <v>6609375</v>
      </c>
      <c r="N525" s="461"/>
      <c r="O525" s="462"/>
      <c r="P525" s="462"/>
    </row>
    <row r="526" spans="2:16">
      <c r="B526" s="455" t="s">
        <v>575</v>
      </c>
      <c r="C526" s="456"/>
      <c r="D526" s="457"/>
      <c r="E526" s="458" t="s">
        <v>576</v>
      </c>
      <c r="F526" s="459"/>
      <c r="G526" s="459"/>
      <c r="H526" s="459"/>
      <c r="I526" s="459"/>
      <c r="J526" s="456">
        <v>44340</v>
      </c>
      <c r="K526" s="459">
        <v>0</v>
      </c>
      <c r="L526" s="459">
        <v>371064</v>
      </c>
      <c r="M526" s="459">
        <f t="shared" si="28"/>
        <v>371064</v>
      </c>
      <c r="N526" s="461"/>
      <c r="O526" s="462"/>
      <c r="P526" s="462"/>
    </row>
    <row r="527" spans="2:16">
      <c r="B527" s="455" t="s">
        <v>577</v>
      </c>
      <c r="C527" s="456"/>
      <c r="D527" s="457"/>
      <c r="E527" s="458" t="s">
        <v>576</v>
      </c>
      <c r="F527" s="459"/>
      <c r="G527" s="459"/>
      <c r="H527" s="459"/>
      <c r="I527" s="459"/>
      <c r="J527" s="456">
        <v>44340</v>
      </c>
      <c r="K527" s="459">
        <v>0</v>
      </c>
      <c r="L527" s="459">
        <v>3706091</v>
      </c>
      <c r="M527" s="459">
        <f t="shared" si="28"/>
        <v>3706091</v>
      </c>
      <c r="N527" s="461"/>
      <c r="O527" s="462"/>
      <c r="P527" s="462"/>
    </row>
    <row r="528" spans="2:16">
      <c r="B528" s="455" t="s">
        <v>577</v>
      </c>
      <c r="C528" s="456"/>
      <c r="D528" s="457"/>
      <c r="E528" s="458" t="s">
        <v>576</v>
      </c>
      <c r="F528" s="459"/>
      <c r="G528" s="459"/>
      <c r="H528" s="459"/>
      <c r="I528" s="459"/>
      <c r="J528" s="456">
        <v>44340</v>
      </c>
      <c r="K528" s="459">
        <v>0</v>
      </c>
      <c r="L528" s="459">
        <v>9153298</v>
      </c>
      <c r="M528" s="459">
        <f t="shared" si="28"/>
        <v>9153298</v>
      </c>
      <c r="N528" s="461"/>
      <c r="O528" s="462"/>
      <c r="P528" s="462"/>
    </row>
    <row r="529" spans="2:16">
      <c r="B529" s="455" t="s">
        <v>575</v>
      </c>
      <c r="C529" s="456"/>
      <c r="D529" s="457"/>
      <c r="E529" s="458" t="s">
        <v>576</v>
      </c>
      <c r="F529" s="459"/>
      <c r="G529" s="459"/>
      <c r="H529" s="459"/>
      <c r="I529" s="459"/>
      <c r="J529" s="456">
        <v>44340</v>
      </c>
      <c r="K529" s="459">
        <v>0</v>
      </c>
      <c r="L529" s="459">
        <v>2826671</v>
      </c>
      <c r="M529" s="459">
        <f t="shared" si="28"/>
        <v>2826671</v>
      </c>
      <c r="N529" s="461"/>
      <c r="O529" s="462"/>
      <c r="P529" s="462"/>
    </row>
    <row r="530" spans="2:16">
      <c r="B530" s="455" t="s">
        <v>582</v>
      </c>
      <c r="C530" s="456"/>
      <c r="D530" s="457"/>
      <c r="E530" s="458" t="s">
        <v>576</v>
      </c>
      <c r="F530" s="459"/>
      <c r="G530" s="459"/>
      <c r="H530" s="459"/>
      <c r="I530" s="459"/>
      <c r="J530" s="456">
        <v>44340</v>
      </c>
      <c r="K530" s="459">
        <v>0</v>
      </c>
      <c r="L530" s="459">
        <v>140625</v>
      </c>
      <c r="M530" s="459">
        <f t="shared" si="28"/>
        <v>140625</v>
      </c>
      <c r="N530" s="461"/>
      <c r="O530" s="462"/>
      <c r="P530" s="462"/>
    </row>
    <row r="531" spans="2:16">
      <c r="B531" s="455" t="s">
        <v>582</v>
      </c>
      <c r="C531" s="456"/>
      <c r="D531" s="457"/>
      <c r="E531" s="458" t="s">
        <v>576</v>
      </c>
      <c r="F531" s="459"/>
      <c r="G531" s="459"/>
      <c r="H531" s="459"/>
      <c r="I531" s="459"/>
      <c r="J531" s="456">
        <v>44340</v>
      </c>
      <c r="K531" s="459">
        <v>0</v>
      </c>
      <c r="L531" s="459">
        <v>287500</v>
      </c>
      <c r="M531" s="459">
        <f t="shared" si="28"/>
        <v>287500</v>
      </c>
      <c r="N531" s="461"/>
      <c r="O531" s="462"/>
      <c r="P531" s="462"/>
    </row>
    <row r="532" spans="2:16">
      <c r="B532" s="455" t="s">
        <v>580</v>
      </c>
      <c r="C532" s="456"/>
      <c r="D532" s="457"/>
      <c r="E532" s="458" t="s">
        <v>576</v>
      </c>
      <c r="F532" s="459"/>
      <c r="G532" s="459"/>
      <c r="H532" s="459"/>
      <c r="I532" s="459"/>
      <c r="J532" s="456">
        <v>44342</v>
      </c>
      <c r="K532" s="459">
        <v>0</v>
      </c>
      <c r="L532" s="459">
        <v>6562509</v>
      </c>
      <c r="M532" s="459">
        <f t="shared" si="28"/>
        <v>6562509</v>
      </c>
      <c r="N532" s="461"/>
      <c r="O532" s="462"/>
      <c r="P532" s="462"/>
    </row>
    <row r="533" spans="2:16">
      <c r="B533" s="455" t="s">
        <v>577</v>
      </c>
      <c r="C533" s="456"/>
      <c r="D533" s="457"/>
      <c r="E533" s="458" t="s">
        <v>576</v>
      </c>
      <c r="F533" s="459"/>
      <c r="G533" s="459"/>
      <c r="H533" s="459"/>
      <c r="I533" s="459"/>
      <c r="J533" s="456">
        <v>44344</v>
      </c>
      <c r="K533" s="459">
        <v>0</v>
      </c>
      <c r="L533" s="459">
        <v>4505552</v>
      </c>
      <c r="M533" s="459">
        <f t="shared" si="28"/>
        <v>4505552</v>
      </c>
      <c r="N533" s="461"/>
      <c r="O533" s="462"/>
      <c r="P533" s="462"/>
    </row>
    <row r="534" spans="2:16">
      <c r="B534" s="455" t="s">
        <v>583</v>
      </c>
      <c r="C534" s="456"/>
      <c r="D534" s="457"/>
      <c r="E534" s="458" t="s">
        <v>576</v>
      </c>
      <c r="F534" s="459"/>
      <c r="G534" s="459"/>
      <c r="H534" s="459"/>
      <c r="I534" s="459"/>
      <c r="J534" s="456">
        <v>44344</v>
      </c>
      <c r="K534" s="459">
        <v>0</v>
      </c>
      <c r="L534" s="459">
        <v>71094</v>
      </c>
      <c r="M534" s="459">
        <f t="shared" si="28"/>
        <v>71094</v>
      </c>
      <c r="N534" s="461"/>
      <c r="O534" s="462"/>
      <c r="P534" s="462"/>
    </row>
    <row r="535" spans="2:16">
      <c r="B535" s="455" t="s">
        <v>582</v>
      </c>
      <c r="C535" s="456"/>
      <c r="D535" s="457"/>
      <c r="E535" s="458" t="s">
        <v>576</v>
      </c>
      <c r="F535" s="459"/>
      <c r="G535" s="459"/>
      <c r="H535" s="459"/>
      <c r="I535" s="459"/>
      <c r="J535" s="456">
        <v>44344</v>
      </c>
      <c r="K535" s="459">
        <v>0</v>
      </c>
      <c r="L535" s="459">
        <v>71094</v>
      </c>
      <c r="M535" s="459">
        <f t="shared" si="28"/>
        <v>71094</v>
      </c>
      <c r="N535" s="461"/>
      <c r="O535" s="462"/>
      <c r="P535" s="462"/>
    </row>
    <row r="536" spans="2:16">
      <c r="B536" s="455" t="s">
        <v>583</v>
      </c>
      <c r="C536" s="456"/>
      <c r="D536" s="457"/>
      <c r="E536" s="458" t="s">
        <v>576</v>
      </c>
      <c r="F536" s="459"/>
      <c r="G536" s="459"/>
      <c r="H536" s="459"/>
      <c r="I536" s="459"/>
      <c r="J536" s="456">
        <v>44347</v>
      </c>
      <c r="K536" s="459">
        <v>0</v>
      </c>
      <c r="L536" s="459">
        <v>46250</v>
      </c>
      <c r="M536" s="459">
        <f t="shared" si="28"/>
        <v>46250</v>
      </c>
      <c r="N536" s="461"/>
      <c r="O536" s="462"/>
      <c r="P536" s="462"/>
    </row>
    <row r="537" spans="2:16">
      <c r="B537" s="455" t="s">
        <v>575</v>
      </c>
      <c r="C537" s="456"/>
      <c r="D537" s="457"/>
      <c r="E537" s="458" t="s">
        <v>576</v>
      </c>
      <c r="F537" s="459"/>
      <c r="G537" s="459"/>
      <c r="H537" s="459"/>
      <c r="I537" s="459"/>
      <c r="J537" s="456">
        <v>44347</v>
      </c>
      <c r="K537" s="459">
        <v>0</v>
      </c>
      <c r="L537" s="459">
        <v>1487671</v>
      </c>
      <c r="M537" s="459">
        <f t="shared" si="28"/>
        <v>1487671</v>
      </c>
      <c r="N537" s="461"/>
      <c r="O537" s="462"/>
      <c r="P537" s="462"/>
    </row>
    <row r="538" spans="2:16">
      <c r="B538" s="455" t="s">
        <v>575</v>
      </c>
      <c r="C538" s="456"/>
      <c r="D538" s="457"/>
      <c r="E538" s="458" t="s">
        <v>576</v>
      </c>
      <c r="F538" s="459"/>
      <c r="G538" s="459"/>
      <c r="H538" s="459"/>
      <c r="I538" s="459"/>
      <c r="J538" s="456">
        <v>44347</v>
      </c>
      <c r="K538" s="466">
        <v>50000000</v>
      </c>
      <c r="L538" s="466">
        <v>0</v>
      </c>
      <c r="M538" s="466">
        <f t="shared" si="28"/>
        <v>50000000</v>
      </c>
      <c r="N538" s="461"/>
      <c r="O538" s="462"/>
      <c r="P538" s="462"/>
    </row>
    <row r="539" spans="2:16">
      <c r="B539" s="455" t="s">
        <v>577</v>
      </c>
      <c r="C539" s="456"/>
      <c r="D539" s="457"/>
      <c r="E539" s="458" t="s">
        <v>576</v>
      </c>
      <c r="F539" s="459"/>
      <c r="G539" s="459"/>
      <c r="H539" s="459"/>
      <c r="I539" s="459"/>
      <c r="J539" s="456">
        <v>44347</v>
      </c>
      <c r="K539" s="459">
        <v>0</v>
      </c>
      <c r="L539" s="459">
        <v>1478058</v>
      </c>
      <c r="M539" s="459">
        <f t="shared" si="28"/>
        <v>1478058</v>
      </c>
      <c r="N539" s="461"/>
      <c r="O539" s="462"/>
      <c r="P539" s="462"/>
    </row>
    <row r="540" spans="2:16">
      <c r="B540" s="455" t="s">
        <v>585</v>
      </c>
      <c r="C540" s="456"/>
      <c r="D540" s="457"/>
      <c r="E540" s="458" t="s">
        <v>576</v>
      </c>
      <c r="F540" s="459"/>
      <c r="G540" s="459"/>
      <c r="H540" s="459"/>
      <c r="I540" s="459"/>
      <c r="J540" s="456">
        <v>44347</v>
      </c>
      <c r="K540" s="459">
        <v>0</v>
      </c>
      <c r="L540" s="459">
        <v>6088281</v>
      </c>
      <c r="M540" s="459">
        <f t="shared" si="28"/>
        <v>6088281</v>
      </c>
      <c r="N540" s="461"/>
      <c r="O540" s="462"/>
      <c r="P540" s="462"/>
    </row>
    <row r="541" spans="2:16">
      <c r="B541" s="455" t="s">
        <v>580</v>
      </c>
      <c r="C541" s="456"/>
      <c r="D541" s="457"/>
      <c r="E541" s="458" t="s">
        <v>576</v>
      </c>
      <c r="F541" s="459"/>
      <c r="G541" s="459"/>
      <c r="H541" s="459"/>
      <c r="I541" s="459"/>
      <c r="J541" s="456">
        <v>44347</v>
      </c>
      <c r="K541" s="459">
        <v>0</v>
      </c>
      <c r="L541" s="459">
        <v>1478058</v>
      </c>
      <c r="M541" s="459">
        <f t="shared" si="28"/>
        <v>1478058</v>
      </c>
      <c r="N541" s="461"/>
      <c r="O541" s="462"/>
      <c r="P541" s="462"/>
    </row>
    <row r="542" spans="2:16">
      <c r="B542" s="467" t="s">
        <v>588</v>
      </c>
      <c r="C542" s="468"/>
      <c r="D542" s="469"/>
      <c r="E542" s="470"/>
      <c r="F542" s="459"/>
      <c r="G542" s="471">
        <f>(H693-G693)*1000000</f>
        <v>0</v>
      </c>
      <c r="H542" s="465"/>
      <c r="I542" s="465"/>
      <c r="J542" s="472"/>
      <c r="K542" s="495"/>
      <c r="L542" s="495"/>
      <c r="M542" s="473"/>
      <c r="N542" s="461"/>
      <c r="O542" s="462"/>
      <c r="P542" s="462"/>
    </row>
    <row r="543" spans="2:16">
      <c r="B543" s="467" t="s">
        <v>589</v>
      </c>
      <c r="C543" s="468"/>
      <c r="D543" s="469"/>
      <c r="E543" s="470" t="s">
        <v>590</v>
      </c>
      <c r="F543" s="459">
        <f>SUBTOTAL(9,G543:H543)</f>
        <v>0</v>
      </c>
      <c r="G543" s="471"/>
      <c r="H543" s="465"/>
      <c r="I543" s="465"/>
      <c r="J543" s="472"/>
      <c r="K543" s="495"/>
      <c r="L543" s="495"/>
      <c r="M543" s="473"/>
      <c r="N543" s="461"/>
      <c r="O543" s="462"/>
      <c r="P543" s="462"/>
    </row>
    <row r="544" spans="2:16">
      <c r="B544" s="467" t="s">
        <v>591</v>
      </c>
      <c r="C544" s="468"/>
      <c r="D544" s="469"/>
      <c r="E544" s="470" t="s">
        <v>592</v>
      </c>
      <c r="F544" s="459">
        <f>SUBTOTAL(9,G544:H544)</f>
        <v>0</v>
      </c>
      <c r="G544" s="471"/>
      <c r="H544" s="465"/>
      <c r="I544" s="465"/>
      <c r="J544" s="472"/>
      <c r="K544" s="495"/>
      <c r="L544" s="495"/>
      <c r="M544" s="473"/>
      <c r="N544" s="461"/>
      <c r="O544" s="462"/>
      <c r="P544" s="462"/>
    </row>
    <row r="545" spans="2:16" ht="12.5">
      <c r="B545" s="770" t="s">
        <v>593</v>
      </c>
      <c r="C545" s="769"/>
      <c r="D545" s="769"/>
      <c r="E545" s="768"/>
      <c r="F545" s="767">
        <f>SUM(F444:F544)</f>
        <v>1704000000</v>
      </c>
      <c r="G545" s="767">
        <f>SUM(G444:G544)</f>
        <v>1701524752.4752474</v>
      </c>
      <c r="H545" s="767">
        <f>SUM(H444:H544)</f>
        <v>2475247.5247524679</v>
      </c>
      <c r="I545" s="767">
        <f>SUM(I444:I544)</f>
        <v>1704000000</v>
      </c>
      <c r="J545" s="767"/>
      <c r="K545" s="767">
        <f>SUM(K444:K544)</f>
        <v>466100000</v>
      </c>
      <c r="L545" s="767">
        <f>SUM(L444:L544)</f>
        <v>179748850</v>
      </c>
      <c r="M545" s="767">
        <f>SUM(M444:M544)</f>
        <v>645848850</v>
      </c>
      <c r="N545" s="762">
        <f>+G545-K545</f>
        <v>1235424752.4752474</v>
      </c>
      <c r="O545" s="762">
        <f>+(G683-F683)*1000000</f>
        <v>-1373775934.7210045</v>
      </c>
      <c r="P545" s="762">
        <f>N545-O545</f>
        <v>2609200687.1962519</v>
      </c>
    </row>
    <row r="546" spans="2:16" ht="12.5">
      <c r="B546" s="455" t="s">
        <v>594</v>
      </c>
      <c r="C546" s="479">
        <v>44323</v>
      </c>
      <c r="D546" s="457">
        <v>360</v>
      </c>
      <c r="E546" s="459" t="s">
        <v>579</v>
      </c>
      <c r="F546" s="459">
        <f>SUBTOTAL(9,G546:H546)</f>
        <v>250000000</v>
      </c>
      <c r="G546" s="459">
        <v>247524752.47524753</v>
      </c>
      <c r="H546" s="459">
        <v>2475247.5247524679</v>
      </c>
      <c r="I546" s="459">
        <f>+G546+H546</f>
        <v>250000000</v>
      </c>
      <c r="J546" s="489"/>
      <c r="K546" s="490"/>
      <c r="L546" s="490"/>
      <c r="M546" s="490"/>
      <c r="N546" s="502"/>
      <c r="O546" s="503"/>
      <c r="P546" s="503"/>
    </row>
    <row r="547" spans="2:16" ht="12.5">
      <c r="B547" s="455" t="s">
        <v>594</v>
      </c>
      <c r="C547" s="479">
        <v>44329</v>
      </c>
      <c r="D547" s="457">
        <v>3600</v>
      </c>
      <c r="E547" s="459" t="s">
        <v>576</v>
      </c>
      <c r="F547" s="459">
        <f>SUBTOTAL(9,G547:H547)</f>
        <v>500000000</v>
      </c>
      <c r="G547" s="459">
        <v>500000000</v>
      </c>
      <c r="H547" s="459">
        <v>0</v>
      </c>
      <c r="I547" s="459">
        <f>+G547+H547</f>
        <v>500000000</v>
      </c>
      <c r="J547" s="489"/>
      <c r="K547" s="490"/>
      <c r="L547" s="490"/>
      <c r="M547" s="490"/>
      <c r="N547" s="502"/>
      <c r="O547" s="503"/>
      <c r="P547" s="503"/>
    </row>
    <row r="548" spans="2:16" ht="12.5">
      <c r="B548" s="455" t="s">
        <v>594</v>
      </c>
      <c r="C548" s="493"/>
      <c r="D548" s="493"/>
      <c r="E548" s="459" t="s">
        <v>576</v>
      </c>
      <c r="F548" s="489"/>
      <c r="G548" s="489"/>
      <c r="H548" s="489"/>
      <c r="I548" s="489"/>
      <c r="J548" s="456">
        <v>44319</v>
      </c>
      <c r="K548" s="459">
        <v>0</v>
      </c>
      <c r="L548" s="459">
        <v>8248028</v>
      </c>
      <c r="M548" s="459">
        <f t="shared" ref="M548:M565" si="29">+K548+L548</f>
        <v>8248028</v>
      </c>
      <c r="N548" s="502"/>
      <c r="O548" s="503"/>
      <c r="P548" s="503"/>
    </row>
    <row r="549" spans="2:16" ht="12.5">
      <c r="B549" s="455" t="s">
        <v>594</v>
      </c>
      <c r="C549" s="493"/>
      <c r="D549" s="493"/>
      <c r="E549" s="459" t="s">
        <v>576</v>
      </c>
      <c r="F549" s="489"/>
      <c r="G549" s="489"/>
      <c r="H549" s="489"/>
      <c r="I549" s="489"/>
      <c r="J549" s="456">
        <v>44319</v>
      </c>
      <c r="K549" s="459">
        <v>0</v>
      </c>
      <c r="L549" s="459">
        <v>7036122</v>
      </c>
      <c r="M549" s="459">
        <f t="shared" si="29"/>
        <v>7036122</v>
      </c>
      <c r="N549" s="502"/>
      <c r="O549" s="503"/>
      <c r="P549" s="503"/>
    </row>
    <row r="550" spans="2:16" ht="12.5">
      <c r="B550" s="455" t="s">
        <v>594</v>
      </c>
      <c r="C550" s="493"/>
      <c r="D550" s="493"/>
      <c r="E550" s="459" t="s">
        <v>576</v>
      </c>
      <c r="F550" s="489"/>
      <c r="G550" s="489"/>
      <c r="H550" s="489"/>
      <c r="I550" s="489"/>
      <c r="J550" s="456">
        <v>44319</v>
      </c>
      <c r="K550" s="459">
        <v>0</v>
      </c>
      <c r="L550" s="459">
        <v>7098438</v>
      </c>
      <c r="M550" s="459">
        <f t="shared" si="29"/>
        <v>7098438</v>
      </c>
      <c r="N550" s="502"/>
      <c r="O550" s="503"/>
      <c r="P550" s="503"/>
    </row>
    <row r="551" spans="2:16" ht="12.5">
      <c r="B551" s="455" t="s">
        <v>594</v>
      </c>
      <c r="C551" s="493"/>
      <c r="D551" s="493"/>
      <c r="E551" s="459" t="s">
        <v>576</v>
      </c>
      <c r="F551" s="489"/>
      <c r="G551" s="489"/>
      <c r="H551" s="489"/>
      <c r="I551" s="489"/>
      <c r="J551" s="456">
        <v>44321</v>
      </c>
      <c r="K551" s="459">
        <v>0</v>
      </c>
      <c r="L551" s="459">
        <v>9562500</v>
      </c>
      <c r="M551" s="459">
        <f t="shared" si="29"/>
        <v>9562500</v>
      </c>
      <c r="N551" s="502"/>
      <c r="O551" s="503"/>
      <c r="P551" s="503"/>
    </row>
    <row r="552" spans="2:16" ht="12.5">
      <c r="B552" s="455" t="s">
        <v>594</v>
      </c>
      <c r="C552" s="493"/>
      <c r="D552" s="493"/>
      <c r="E552" s="459" t="s">
        <v>576</v>
      </c>
      <c r="F552" s="489"/>
      <c r="G552" s="489"/>
      <c r="H552" s="489"/>
      <c r="I552" s="489"/>
      <c r="J552" s="456">
        <v>44326</v>
      </c>
      <c r="K552" s="459">
        <v>0</v>
      </c>
      <c r="L552" s="459">
        <v>5296613</v>
      </c>
      <c r="M552" s="459">
        <f t="shared" si="29"/>
        <v>5296613</v>
      </c>
      <c r="N552" s="502"/>
      <c r="O552" s="503"/>
      <c r="P552" s="503"/>
    </row>
    <row r="553" spans="2:16" ht="12.5">
      <c r="B553" s="455" t="s">
        <v>594</v>
      </c>
      <c r="C553" s="493"/>
      <c r="D553" s="493"/>
      <c r="E553" s="459" t="s">
        <v>576</v>
      </c>
      <c r="F553" s="489"/>
      <c r="G553" s="489"/>
      <c r="H553" s="489"/>
      <c r="I553" s="489"/>
      <c r="J553" s="456">
        <v>44326</v>
      </c>
      <c r="K553" s="459">
        <v>0</v>
      </c>
      <c r="L553" s="459">
        <v>5797700</v>
      </c>
      <c r="M553" s="459">
        <f t="shared" si="29"/>
        <v>5797700</v>
      </c>
      <c r="N553" s="502"/>
      <c r="O553" s="503"/>
      <c r="P553" s="503"/>
    </row>
    <row r="554" spans="2:16" ht="12.5">
      <c r="B554" s="455" t="s">
        <v>594</v>
      </c>
      <c r="C554" s="493"/>
      <c r="D554" s="493"/>
      <c r="E554" s="459" t="s">
        <v>576</v>
      </c>
      <c r="F554" s="489"/>
      <c r="G554" s="489"/>
      <c r="H554" s="489"/>
      <c r="I554" s="489"/>
      <c r="J554" s="456">
        <v>44327</v>
      </c>
      <c r="K554" s="459">
        <v>0</v>
      </c>
      <c r="L554" s="459">
        <v>5349845</v>
      </c>
      <c r="M554" s="459">
        <f t="shared" si="29"/>
        <v>5349845</v>
      </c>
      <c r="N554" s="502"/>
      <c r="O554" s="503"/>
      <c r="P554" s="503"/>
    </row>
    <row r="555" spans="2:16" ht="12.5">
      <c r="B555" s="455" t="s">
        <v>594</v>
      </c>
      <c r="C555" s="493"/>
      <c r="D555" s="493"/>
      <c r="E555" s="459" t="s">
        <v>576</v>
      </c>
      <c r="F555" s="489"/>
      <c r="G555" s="489"/>
      <c r="H555" s="489"/>
      <c r="I555" s="489"/>
      <c r="J555" s="456">
        <v>44328</v>
      </c>
      <c r="K555" s="459">
        <v>0</v>
      </c>
      <c r="L555" s="459">
        <v>2455375</v>
      </c>
      <c r="M555" s="459">
        <f t="shared" si="29"/>
        <v>2455375</v>
      </c>
      <c r="N555" s="502"/>
      <c r="O555" s="503"/>
      <c r="P555" s="503"/>
    </row>
    <row r="556" spans="2:16" ht="12.5">
      <c r="B556" s="455" t="s">
        <v>594</v>
      </c>
      <c r="C556" s="493"/>
      <c r="D556" s="493"/>
      <c r="E556" s="459" t="s">
        <v>576</v>
      </c>
      <c r="F556" s="489"/>
      <c r="G556" s="489"/>
      <c r="H556" s="489"/>
      <c r="I556" s="489"/>
      <c r="J556" s="456">
        <v>44329</v>
      </c>
      <c r="K556" s="459">
        <v>0</v>
      </c>
      <c r="L556" s="459">
        <v>964104</v>
      </c>
      <c r="M556" s="459">
        <f t="shared" si="29"/>
        <v>964104</v>
      </c>
      <c r="N556" s="502"/>
      <c r="O556" s="503"/>
      <c r="P556" s="503"/>
    </row>
    <row r="557" spans="2:16" ht="12.5">
      <c r="B557" s="455" t="s">
        <v>594</v>
      </c>
      <c r="C557" s="493"/>
      <c r="D557" s="493"/>
      <c r="E557" s="459" t="s">
        <v>576</v>
      </c>
      <c r="F557" s="489"/>
      <c r="G557" s="489"/>
      <c r="H557" s="489"/>
      <c r="I557" s="489"/>
      <c r="J557" s="456">
        <v>44330</v>
      </c>
      <c r="K557" s="459">
        <v>0</v>
      </c>
      <c r="L557" s="459">
        <v>285194</v>
      </c>
      <c r="M557" s="459">
        <f t="shared" si="29"/>
        <v>285194</v>
      </c>
      <c r="N557" s="502"/>
      <c r="O557" s="503"/>
      <c r="P557" s="503"/>
    </row>
    <row r="558" spans="2:16" ht="12.5">
      <c r="B558" s="455" t="s">
        <v>594</v>
      </c>
      <c r="C558" s="493"/>
      <c r="D558" s="493"/>
      <c r="E558" s="459" t="s">
        <v>576</v>
      </c>
      <c r="F558" s="489"/>
      <c r="G558" s="489"/>
      <c r="H558" s="489"/>
      <c r="I558" s="489"/>
      <c r="J558" s="456">
        <v>44333</v>
      </c>
      <c r="K558" s="459">
        <v>0</v>
      </c>
      <c r="L558" s="459">
        <v>8648697</v>
      </c>
      <c r="M558" s="459">
        <f t="shared" si="29"/>
        <v>8648697</v>
      </c>
      <c r="N558" s="502"/>
      <c r="O558" s="503"/>
      <c r="P558" s="503"/>
    </row>
    <row r="559" spans="2:16" ht="12.5">
      <c r="B559" s="455" t="s">
        <v>594</v>
      </c>
      <c r="C559" s="493"/>
      <c r="D559" s="493"/>
      <c r="E559" s="459" t="s">
        <v>576</v>
      </c>
      <c r="F559" s="489"/>
      <c r="G559" s="489"/>
      <c r="H559" s="489"/>
      <c r="I559" s="489"/>
      <c r="J559" s="456">
        <v>44333</v>
      </c>
      <c r="K559" s="459">
        <v>0</v>
      </c>
      <c r="L559" s="459">
        <v>4036050</v>
      </c>
      <c r="M559" s="459">
        <f t="shared" si="29"/>
        <v>4036050</v>
      </c>
      <c r="N559" s="502"/>
      <c r="O559" s="503"/>
      <c r="P559" s="503"/>
    </row>
    <row r="560" spans="2:16" ht="12.5">
      <c r="B560" s="455" t="s">
        <v>594</v>
      </c>
      <c r="C560" s="493"/>
      <c r="D560" s="493"/>
      <c r="E560" s="459" t="s">
        <v>576</v>
      </c>
      <c r="F560" s="489"/>
      <c r="G560" s="489"/>
      <c r="H560" s="489"/>
      <c r="I560" s="489"/>
      <c r="J560" s="456">
        <v>44334</v>
      </c>
      <c r="K560" s="459">
        <v>0</v>
      </c>
      <c r="L560" s="459">
        <v>1251974</v>
      </c>
      <c r="M560" s="459">
        <f t="shared" si="29"/>
        <v>1251974</v>
      </c>
      <c r="N560" s="502"/>
      <c r="O560" s="503"/>
      <c r="P560" s="503"/>
    </row>
    <row r="561" spans="2:16" ht="12.5">
      <c r="B561" s="455" t="s">
        <v>594</v>
      </c>
      <c r="C561" s="493"/>
      <c r="D561" s="493"/>
      <c r="E561" s="459" t="s">
        <v>576</v>
      </c>
      <c r="F561" s="489"/>
      <c r="G561" s="489"/>
      <c r="H561" s="489"/>
      <c r="I561" s="489"/>
      <c r="J561" s="456">
        <v>44340</v>
      </c>
      <c r="K561" s="459">
        <v>0</v>
      </c>
      <c r="L561" s="459">
        <v>942238</v>
      </c>
      <c r="M561" s="459">
        <f t="shared" si="29"/>
        <v>942238</v>
      </c>
      <c r="N561" s="502"/>
      <c r="O561" s="503"/>
      <c r="P561" s="503"/>
    </row>
    <row r="562" spans="2:16" ht="12.5">
      <c r="B562" s="455" t="s">
        <v>594</v>
      </c>
      <c r="C562" s="493"/>
      <c r="D562" s="493"/>
      <c r="E562" s="459" t="s">
        <v>576</v>
      </c>
      <c r="F562" s="489"/>
      <c r="G562" s="489"/>
      <c r="H562" s="489"/>
      <c r="I562" s="489"/>
      <c r="J562" s="456">
        <v>44340</v>
      </c>
      <c r="K562" s="459">
        <v>0</v>
      </c>
      <c r="L562" s="459">
        <v>8181263</v>
      </c>
      <c r="M562" s="459">
        <f t="shared" si="29"/>
        <v>8181263</v>
      </c>
      <c r="N562" s="502"/>
      <c r="O562" s="503"/>
      <c r="P562" s="503"/>
    </row>
    <row r="563" spans="2:16" ht="12.5">
      <c r="B563" s="455" t="s">
        <v>594</v>
      </c>
      <c r="C563" s="493"/>
      <c r="D563" s="493"/>
      <c r="E563" s="459" t="s">
        <v>576</v>
      </c>
      <c r="F563" s="489"/>
      <c r="G563" s="489"/>
      <c r="H563" s="489"/>
      <c r="I563" s="489"/>
      <c r="J563" s="456">
        <v>44342</v>
      </c>
      <c r="K563" s="459">
        <v>0</v>
      </c>
      <c r="L563" s="459">
        <v>2624991</v>
      </c>
      <c r="M563" s="459">
        <f t="shared" si="29"/>
        <v>2624991</v>
      </c>
      <c r="N563" s="502"/>
      <c r="O563" s="503"/>
      <c r="P563" s="503"/>
    </row>
    <row r="564" spans="2:16" ht="12.5">
      <c r="B564" s="455" t="s">
        <v>594</v>
      </c>
      <c r="C564" s="493"/>
      <c r="D564" s="493"/>
      <c r="E564" s="459" t="s">
        <v>576</v>
      </c>
      <c r="F564" s="489"/>
      <c r="G564" s="489"/>
      <c r="H564" s="489"/>
      <c r="I564" s="489"/>
      <c r="J564" s="456">
        <v>44344</v>
      </c>
      <c r="K564" s="459">
        <v>0</v>
      </c>
      <c r="L564" s="459">
        <v>1039760</v>
      </c>
      <c r="M564" s="459">
        <f t="shared" si="29"/>
        <v>1039760</v>
      </c>
      <c r="N564" s="502"/>
      <c r="O564" s="503"/>
      <c r="P564" s="503"/>
    </row>
    <row r="565" spans="2:16" ht="12.5">
      <c r="B565" s="455" t="s">
        <v>594</v>
      </c>
      <c r="C565" s="493"/>
      <c r="D565" s="493"/>
      <c r="E565" s="459" t="s">
        <v>576</v>
      </c>
      <c r="F565" s="489"/>
      <c r="G565" s="489"/>
      <c r="H565" s="489"/>
      <c r="I565" s="489"/>
      <c r="J565" s="456">
        <v>44347</v>
      </c>
      <c r="K565" s="459">
        <v>0</v>
      </c>
      <c r="L565" s="459">
        <v>2448729</v>
      </c>
      <c r="M565" s="459">
        <f t="shared" si="29"/>
        <v>2448729</v>
      </c>
      <c r="N565" s="502"/>
      <c r="O565" s="503"/>
      <c r="P565" s="503"/>
    </row>
    <row r="566" spans="2:16" ht="12.5">
      <c r="B566" s="766" t="s">
        <v>595</v>
      </c>
      <c r="C566" s="765"/>
      <c r="D566" s="765"/>
      <c r="E566" s="764"/>
      <c r="F566" s="763">
        <f>SUM(F546:F565)</f>
        <v>750000000</v>
      </c>
      <c r="G566" s="763">
        <f>SUM(G546:G565)</f>
        <v>747524752.4752475</v>
      </c>
      <c r="H566" s="763">
        <f>SUM(H546:H565)</f>
        <v>2475247.5247524679</v>
      </c>
      <c r="I566" s="763">
        <f>SUM(I546:I565)</f>
        <v>750000000</v>
      </c>
      <c r="J566" s="763"/>
      <c r="K566" s="763">
        <f>SUM(K546:K565)</f>
        <v>0</v>
      </c>
      <c r="L566" s="763">
        <f>SUM(L546:L565)</f>
        <v>81267621</v>
      </c>
      <c r="M566" s="763">
        <f>SUM(M546:M565)</f>
        <v>81267621</v>
      </c>
      <c r="N566" s="762">
        <f>+G566-K566</f>
        <v>747524752.4752475</v>
      </c>
      <c r="O566" s="762"/>
      <c r="P566" s="762">
        <f>+N566-O566</f>
        <v>747524752.4752475</v>
      </c>
    </row>
    <row r="567" spans="2:16">
      <c r="B567" s="455" t="s">
        <v>578</v>
      </c>
      <c r="C567" s="456">
        <v>44350</v>
      </c>
      <c r="D567" s="457">
        <v>1440</v>
      </c>
      <c r="E567" s="458" t="s">
        <v>576</v>
      </c>
      <c r="F567" s="459">
        <f>SUBTOTAL(9,G567:H567)</f>
        <v>440000000</v>
      </c>
      <c r="G567" s="459">
        <v>440000000</v>
      </c>
      <c r="H567" s="459">
        <v>0</v>
      </c>
      <c r="I567" s="459">
        <f>+G567+H567</f>
        <v>440000000</v>
      </c>
      <c r="J567" s="460"/>
      <c r="K567" s="460"/>
      <c r="L567" s="460"/>
      <c r="M567" s="459"/>
      <c r="N567" s="461"/>
      <c r="O567" s="462"/>
      <c r="P567" s="462"/>
    </row>
    <row r="568" spans="2:16">
      <c r="B568" s="455" t="s">
        <v>582</v>
      </c>
      <c r="C568" s="456">
        <v>44358</v>
      </c>
      <c r="D568" s="457">
        <v>1080</v>
      </c>
      <c r="E568" s="458" t="s">
        <v>576</v>
      </c>
      <c r="F568" s="459">
        <f>SUBTOTAL(9,G568:H568)</f>
        <v>19000000</v>
      </c>
      <c r="G568" s="459">
        <v>19000000</v>
      </c>
      <c r="H568" s="459">
        <v>0</v>
      </c>
      <c r="I568" s="459">
        <f>+G568+H568</f>
        <v>19000000</v>
      </c>
      <c r="J568" s="460"/>
      <c r="K568" s="460"/>
      <c r="L568" s="460"/>
      <c r="M568" s="459"/>
      <c r="N568" s="461"/>
      <c r="O568" s="462"/>
      <c r="P568" s="462"/>
    </row>
    <row r="569" spans="2:16">
      <c r="B569" s="455" t="s">
        <v>583</v>
      </c>
      <c r="C569" s="456">
        <v>44358</v>
      </c>
      <c r="D569" s="457">
        <v>1080</v>
      </c>
      <c r="E569" s="458" t="s">
        <v>576</v>
      </c>
      <c r="F569" s="459">
        <f>SUBTOTAL(9,G569:H569)</f>
        <v>8000000</v>
      </c>
      <c r="G569" s="459">
        <v>8000000</v>
      </c>
      <c r="H569" s="459">
        <v>0</v>
      </c>
      <c r="I569" s="459">
        <f>+G569+H569</f>
        <v>8000000</v>
      </c>
      <c r="J569" s="460"/>
      <c r="K569" s="460"/>
      <c r="L569" s="460"/>
      <c r="M569" s="459"/>
      <c r="N569" s="461"/>
      <c r="O569" s="462"/>
      <c r="P569" s="462"/>
    </row>
    <row r="570" spans="2:16">
      <c r="B570" s="455" t="s">
        <v>578</v>
      </c>
      <c r="C570" s="456">
        <v>44371</v>
      </c>
      <c r="D570" s="457">
        <v>1800</v>
      </c>
      <c r="E570" s="458" t="s">
        <v>576</v>
      </c>
      <c r="F570" s="459">
        <f>SUBTOTAL(9,G570:H570)</f>
        <v>332500000</v>
      </c>
      <c r="G570" s="459">
        <v>332500000</v>
      </c>
      <c r="H570" s="459">
        <v>0</v>
      </c>
      <c r="I570" s="459">
        <f>+G570+H570</f>
        <v>332500000</v>
      </c>
      <c r="J570" s="460"/>
      <c r="K570" s="460"/>
      <c r="L570" s="460"/>
      <c r="M570" s="459"/>
      <c r="N570" s="461"/>
      <c r="O570" s="462"/>
      <c r="P570" s="462"/>
    </row>
    <row r="571" spans="2:16">
      <c r="B571" s="455" t="s">
        <v>587</v>
      </c>
      <c r="C571" s="456"/>
      <c r="D571" s="457"/>
      <c r="E571" s="458" t="s">
        <v>576</v>
      </c>
      <c r="F571" s="459"/>
      <c r="G571" s="459"/>
      <c r="H571" s="459"/>
      <c r="I571" s="459"/>
      <c r="J571" s="456">
        <v>44349</v>
      </c>
      <c r="K571" s="459">
        <v>0</v>
      </c>
      <c r="L571" s="459">
        <v>4438</v>
      </c>
      <c r="M571" s="459">
        <f t="shared" ref="M571:M602" si="30">+K571+L571</f>
        <v>4438</v>
      </c>
      <c r="N571" s="461"/>
      <c r="O571" s="462"/>
      <c r="P571" s="462"/>
    </row>
    <row r="572" spans="2:16">
      <c r="B572" s="455" t="s">
        <v>580</v>
      </c>
      <c r="C572" s="456"/>
      <c r="D572" s="457"/>
      <c r="E572" s="458" t="s">
        <v>576</v>
      </c>
      <c r="F572" s="459"/>
      <c r="G572" s="459"/>
      <c r="H572" s="459"/>
      <c r="I572" s="459"/>
      <c r="J572" s="456">
        <v>44349</v>
      </c>
      <c r="K572" s="459">
        <v>0</v>
      </c>
      <c r="L572" s="459">
        <v>1232738</v>
      </c>
      <c r="M572" s="459">
        <f t="shared" si="30"/>
        <v>1232738</v>
      </c>
      <c r="N572" s="461"/>
      <c r="O572" s="462"/>
      <c r="P572" s="462"/>
    </row>
    <row r="573" spans="2:16">
      <c r="B573" s="455" t="s">
        <v>582</v>
      </c>
      <c r="C573" s="456"/>
      <c r="D573" s="457"/>
      <c r="E573" s="458" t="s">
        <v>576</v>
      </c>
      <c r="F573" s="459"/>
      <c r="G573" s="459"/>
      <c r="H573" s="459"/>
      <c r="I573" s="459"/>
      <c r="J573" s="456">
        <v>44349</v>
      </c>
      <c r="K573" s="459">
        <v>0</v>
      </c>
      <c r="L573" s="459">
        <v>11094</v>
      </c>
      <c r="M573" s="459">
        <f t="shared" si="30"/>
        <v>11094</v>
      </c>
      <c r="N573" s="461"/>
      <c r="O573" s="462"/>
      <c r="P573" s="462"/>
    </row>
    <row r="574" spans="2:16">
      <c r="B574" s="455" t="s">
        <v>582</v>
      </c>
      <c r="C574" s="456"/>
      <c r="D574" s="457"/>
      <c r="E574" s="458" t="s">
        <v>576</v>
      </c>
      <c r="F574" s="459"/>
      <c r="G574" s="459"/>
      <c r="H574" s="459"/>
      <c r="I574" s="459"/>
      <c r="J574" s="456">
        <v>44349</v>
      </c>
      <c r="K574" s="459">
        <v>0</v>
      </c>
      <c r="L574" s="459">
        <v>44375</v>
      </c>
      <c r="M574" s="459">
        <f t="shared" si="30"/>
        <v>44375</v>
      </c>
      <c r="N574" s="461"/>
      <c r="O574" s="462"/>
      <c r="P574" s="462"/>
    </row>
    <row r="575" spans="2:16">
      <c r="B575" s="455" t="s">
        <v>575</v>
      </c>
      <c r="C575" s="456"/>
      <c r="D575" s="457"/>
      <c r="E575" s="458" t="s">
        <v>576</v>
      </c>
      <c r="F575" s="459"/>
      <c r="G575" s="459"/>
      <c r="H575" s="459"/>
      <c r="I575" s="459"/>
      <c r="J575" s="456">
        <v>44349</v>
      </c>
      <c r="K575" s="459">
        <v>0</v>
      </c>
      <c r="L575" s="459">
        <v>1232715</v>
      </c>
      <c r="M575" s="459">
        <f t="shared" si="30"/>
        <v>1232715</v>
      </c>
      <c r="N575" s="461"/>
      <c r="O575" s="462"/>
      <c r="P575" s="462"/>
    </row>
    <row r="576" spans="2:16">
      <c r="B576" s="455" t="s">
        <v>577</v>
      </c>
      <c r="C576" s="456"/>
      <c r="D576" s="457"/>
      <c r="E576" s="458" t="s">
        <v>576</v>
      </c>
      <c r="F576" s="459"/>
      <c r="G576" s="459"/>
      <c r="H576" s="459"/>
      <c r="I576" s="459"/>
      <c r="J576" s="456">
        <v>44349</v>
      </c>
      <c r="K576" s="459">
        <v>0</v>
      </c>
      <c r="L576" s="459">
        <v>2913707</v>
      </c>
      <c r="M576" s="459">
        <f t="shared" si="30"/>
        <v>2913707</v>
      </c>
      <c r="N576" s="461"/>
      <c r="O576" s="462"/>
      <c r="P576" s="462"/>
    </row>
    <row r="577" spans="2:16">
      <c r="B577" s="455" t="s">
        <v>586</v>
      </c>
      <c r="C577" s="456"/>
      <c r="D577" s="457"/>
      <c r="E577" s="458" t="s">
        <v>576</v>
      </c>
      <c r="F577" s="459"/>
      <c r="G577" s="459"/>
      <c r="H577" s="459"/>
      <c r="I577" s="459"/>
      <c r="J577" s="456">
        <v>44350</v>
      </c>
      <c r="K577" s="459">
        <v>0</v>
      </c>
      <c r="L577" s="459">
        <v>368750</v>
      </c>
      <c r="M577" s="459">
        <f t="shared" si="30"/>
        <v>368750</v>
      </c>
      <c r="N577" s="461"/>
      <c r="O577" s="462"/>
      <c r="P577" s="462"/>
    </row>
    <row r="578" spans="2:16">
      <c r="B578" s="455" t="s">
        <v>583</v>
      </c>
      <c r="C578" s="456"/>
      <c r="D578" s="457"/>
      <c r="E578" s="458" t="s">
        <v>576</v>
      </c>
      <c r="F578" s="459"/>
      <c r="G578" s="459"/>
      <c r="H578" s="459"/>
      <c r="I578" s="459"/>
      <c r="J578" s="456">
        <v>44350</v>
      </c>
      <c r="K578" s="459">
        <v>0</v>
      </c>
      <c r="L578" s="459">
        <v>1844</v>
      </c>
      <c r="M578" s="459">
        <f t="shared" si="30"/>
        <v>1844</v>
      </c>
      <c r="N578" s="461"/>
      <c r="O578" s="462"/>
      <c r="P578" s="462"/>
    </row>
    <row r="579" spans="2:16">
      <c r="B579" s="455" t="s">
        <v>582</v>
      </c>
      <c r="C579" s="456"/>
      <c r="D579" s="457"/>
      <c r="E579" s="458" t="s">
        <v>576</v>
      </c>
      <c r="F579" s="459"/>
      <c r="G579" s="459"/>
      <c r="H579" s="459"/>
      <c r="I579" s="459"/>
      <c r="J579" s="456">
        <v>44350</v>
      </c>
      <c r="K579" s="459">
        <v>0</v>
      </c>
      <c r="L579" s="459">
        <v>885000</v>
      </c>
      <c r="M579" s="459">
        <f t="shared" si="30"/>
        <v>885000</v>
      </c>
      <c r="N579" s="461"/>
      <c r="O579" s="462"/>
      <c r="P579" s="462"/>
    </row>
    <row r="580" spans="2:16">
      <c r="B580" s="455" t="s">
        <v>575</v>
      </c>
      <c r="C580" s="456"/>
      <c r="D580" s="457"/>
      <c r="E580" s="458" t="s">
        <v>576</v>
      </c>
      <c r="F580" s="459"/>
      <c r="G580" s="459"/>
      <c r="H580" s="459"/>
      <c r="I580" s="459"/>
      <c r="J580" s="456">
        <v>44350</v>
      </c>
      <c r="K580" s="459">
        <v>0</v>
      </c>
      <c r="L580" s="459">
        <v>1258924</v>
      </c>
      <c r="M580" s="459">
        <f t="shared" si="30"/>
        <v>1258924</v>
      </c>
      <c r="N580" s="461"/>
      <c r="O580" s="462"/>
      <c r="P580" s="462"/>
    </row>
    <row r="581" spans="2:16">
      <c r="B581" s="455" t="s">
        <v>585</v>
      </c>
      <c r="C581" s="456"/>
      <c r="D581" s="457"/>
      <c r="E581" s="458" t="s">
        <v>576</v>
      </c>
      <c r="F581" s="459"/>
      <c r="G581" s="459"/>
      <c r="H581" s="459"/>
      <c r="I581" s="459"/>
      <c r="J581" s="456">
        <v>44350</v>
      </c>
      <c r="K581" s="459">
        <v>0</v>
      </c>
      <c r="L581" s="459">
        <v>3457031</v>
      </c>
      <c r="M581" s="459">
        <f t="shared" si="30"/>
        <v>3457031</v>
      </c>
      <c r="N581" s="461"/>
      <c r="O581" s="462"/>
      <c r="P581" s="462"/>
    </row>
    <row r="582" spans="2:16">
      <c r="B582" s="455" t="s">
        <v>575</v>
      </c>
      <c r="C582" s="456"/>
      <c r="D582" s="457"/>
      <c r="E582" s="458" t="s">
        <v>576</v>
      </c>
      <c r="F582" s="459"/>
      <c r="G582" s="459"/>
      <c r="H582" s="459"/>
      <c r="I582" s="459"/>
      <c r="J582" s="456">
        <v>44350</v>
      </c>
      <c r="K582" s="459">
        <v>0</v>
      </c>
      <c r="L582" s="459">
        <v>2074219</v>
      </c>
      <c r="M582" s="459">
        <f t="shared" si="30"/>
        <v>2074219</v>
      </c>
      <c r="N582" s="461"/>
      <c r="O582" s="462"/>
      <c r="P582" s="462"/>
    </row>
    <row r="583" spans="2:16">
      <c r="B583" s="455" t="s">
        <v>577</v>
      </c>
      <c r="C583" s="456"/>
      <c r="D583" s="457"/>
      <c r="E583" s="458" t="s">
        <v>576</v>
      </c>
      <c r="F583" s="459"/>
      <c r="G583" s="459"/>
      <c r="H583" s="459"/>
      <c r="I583" s="459"/>
      <c r="J583" s="456">
        <v>44350</v>
      </c>
      <c r="K583" s="459">
        <v>0</v>
      </c>
      <c r="L583" s="459">
        <v>6084811</v>
      </c>
      <c r="M583" s="459">
        <f t="shared" si="30"/>
        <v>6084811</v>
      </c>
      <c r="N583" s="461"/>
      <c r="O583" s="462"/>
      <c r="P583" s="462"/>
    </row>
    <row r="584" spans="2:16">
      <c r="B584" s="455" t="s">
        <v>577</v>
      </c>
      <c r="C584" s="456"/>
      <c r="D584" s="457"/>
      <c r="E584" s="458" t="s">
        <v>579</v>
      </c>
      <c r="F584" s="459"/>
      <c r="G584" s="459"/>
      <c r="H584" s="459"/>
      <c r="I584" s="459"/>
      <c r="J584" s="456">
        <v>44354</v>
      </c>
      <c r="K584" s="771">
        <v>59850374.06483791</v>
      </c>
      <c r="L584" s="771">
        <v>149625.93516208977</v>
      </c>
      <c r="M584" s="771">
        <f t="shared" si="30"/>
        <v>60000000</v>
      </c>
      <c r="N584" s="461"/>
      <c r="O584" s="462"/>
      <c r="P584" s="462"/>
    </row>
    <row r="585" spans="2:16">
      <c r="B585" s="455" t="s">
        <v>581</v>
      </c>
      <c r="C585" s="456"/>
      <c r="D585" s="457"/>
      <c r="E585" s="458" t="s">
        <v>579</v>
      </c>
      <c r="F585" s="459"/>
      <c r="G585" s="459"/>
      <c r="H585" s="459"/>
      <c r="I585" s="459"/>
      <c r="J585" s="456">
        <v>44354</v>
      </c>
      <c r="K585" s="771">
        <v>59850374.06483791</v>
      </c>
      <c r="L585" s="771">
        <v>149625.93516208977</v>
      </c>
      <c r="M585" s="771">
        <f t="shared" si="30"/>
        <v>60000000</v>
      </c>
      <c r="N585" s="461"/>
      <c r="O585" s="462"/>
      <c r="P585" s="462"/>
    </row>
    <row r="586" spans="2:16">
      <c r="B586" s="455" t="s">
        <v>580</v>
      </c>
      <c r="C586" s="456"/>
      <c r="D586" s="457"/>
      <c r="E586" s="458" t="s">
        <v>579</v>
      </c>
      <c r="F586" s="459"/>
      <c r="G586" s="459"/>
      <c r="H586" s="459"/>
      <c r="I586" s="459"/>
      <c r="J586" s="456">
        <v>44354</v>
      </c>
      <c r="K586" s="771">
        <v>59850374.06483791</v>
      </c>
      <c r="L586" s="771">
        <v>149625.93516208977</v>
      </c>
      <c r="M586" s="771">
        <f t="shared" si="30"/>
        <v>60000000</v>
      </c>
      <c r="N586" s="461"/>
      <c r="O586" s="462"/>
      <c r="P586" s="462"/>
    </row>
    <row r="587" spans="2:16">
      <c r="B587" s="455" t="s">
        <v>578</v>
      </c>
      <c r="C587" s="456"/>
      <c r="D587" s="457"/>
      <c r="E587" s="458" t="s">
        <v>579</v>
      </c>
      <c r="F587" s="459"/>
      <c r="G587" s="459"/>
      <c r="H587" s="459"/>
      <c r="I587" s="459"/>
      <c r="J587" s="456">
        <v>44354</v>
      </c>
      <c r="K587" s="771">
        <v>59850374.06483791</v>
      </c>
      <c r="L587" s="771">
        <v>149625.93516208977</v>
      </c>
      <c r="M587" s="771">
        <f t="shared" si="30"/>
        <v>60000000</v>
      </c>
      <c r="N587" s="461"/>
      <c r="O587" s="462"/>
      <c r="P587" s="462"/>
    </row>
    <row r="588" spans="2:16">
      <c r="B588" s="455" t="s">
        <v>577</v>
      </c>
      <c r="C588" s="456"/>
      <c r="D588" s="457"/>
      <c r="E588" s="458" t="s">
        <v>576</v>
      </c>
      <c r="F588" s="459"/>
      <c r="G588" s="459"/>
      <c r="H588" s="459"/>
      <c r="I588" s="459"/>
      <c r="J588" s="456">
        <v>44354</v>
      </c>
      <c r="K588" s="459">
        <v>0</v>
      </c>
      <c r="L588" s="459">
        <v>1458333</v>
      </c>
      <c r="M588" s="459">
        <f t="shared" si="30"/>
        <v>1458333</v>
      </c>
      <c r="N588" s="461"/>
      <c r="O588" s="462"/>
      <c r="P588" s="462"/>
    </row>
    <row r="589" spans="2:16">
      <c r="B589" s="455" t="s">
        <v>575</v>
      </c>
      <c r="C589" s="456"/>
      <c r="D589" s="457"/>
      <c r="E589" s="458" t="s">
        <v>576</v>
      </c>
      <c r="F589" s="459"/>
      <c r="G589" s="459"/>
      <c r="H589" s="459"/>
      <c r="I589" s="459"/>
      <c r="J589" s="456">
        <v>44354</v>
      </c>
      <c r="K589" s="459">
        <v>0</v>
      </c>
      <c r="L589" s="459">
        <v>9479167</v>
      </c>
      <c r="M589" s="459">
        <f t="shared" si="30"/>
        <v>9479167</v>
      </c>
      <c r="N589" s="461"/>
      <c r="O589" s="462"/>
      <c r="P589" s="462"/>
    </row>
    <row r="590" spans="2:16">
      <c r="B590" s="455" t="s">
        <v>577</v>
      </c>
      <c r="C590" s="456"/>
      <c r="D590" s="457"/>
      <c r="E590" s="458" t="s">
        <v>576</v>
      </c>
      <c r="F590" s="459"/>
      <c r="G590" s="459"/>
      <c r="H590" s="459"/>
      <c r="I590" s="459"/>
      <c r="J590" s="456">
        <v>44354</v>
      </c>
      <c r="K590" s="459">
        <v>0</v>
      </c>
      <c r="L590" s="459">
        <v>2187500</v>
      </c>
      <c r="M590" s="459">
        <f t="shared" si="30"/>
        <v>2187500</v>
      </c>
      <c r="N590" s="461"/>
      <c r="O590" s="462"/>
      <c r="P590" s="462"/>
    </row>
    <row r="591" spans="2:16">
      <c r="B591" s="455" t="s">
        <v>582</v>
      </c>
      <c r="C591" s="456"/>
      <c r="D591" s="457"/>
      <c r="E591" s="458" t="s">
        <v>576</v>
      </c>
      <c r="F591" s="459"/>
      <c r="G591" s="459"/>
      <c r="H591" s="459"/>
      <c r="I591" s="459"/>
      <c r="J591" s="456">
        <v>44355</v>
      </c>
      <c r="K591" s="459">
        <v>0</v>
      </c>
      <c r="L591" s="459">
        <v>69375</v>
      </c>
      <c r="M591" s="459">
        <f t="shared" si="30"/>
        <v>69375</v>
      </c>
      <c r="N591" s="461"/>
      <c r="O591" s="462"/>
      <c r="P591" s="462"/>
    </row>
    <row r="592" spans="2:16">
      <c r="B592" s="455" t="s">
        <v>577</v>
      </c>
      <c r="C592" s="456"/>
      <c r="D592" s="457"/>
      <c r="E592" s="458" t="s">
        <v>576</v>
      </c>
      <c r="F592" s="459"/>
      <c r="G592" s="459"/>
      <c r="H592" s="459"/>
      <c r="I592" s="459"/>
      <c r="J592" s="456">
        <v>44355</v>
      </c>
      <c r="K592" s="459">
        <v>0</v>
      </c>
      <c r="L592" s="459">
        <v>4625000</v>
      </c>
      <c r="M592" s="459">
        <f t="shared" si="30"/>
        <v>4625000</v>
      </c>
      <c r="N592" s="461"/>
      <c r="O592" s="462"/>
      <c r="P592" s="462"/>
    </row>
    <row r="593" spans="2:16">
      <c r="B593" s="455" t="s">
        <v>585</v>
      </c>
      <c r="C593" s="456"/>
      <c r="D593" s="457"/>
      <c r="E593" s="458" t="s">
        <v>576</v>
      </c>
      <c r="F593" s="459"/>
      <c r="G593" s="459"/>
      <c r="H593" s="459"/>
      <c r="I593" s="459"/>
      <c r="J593" s="456">
        <v>44355</v>
      </c>
      <c r="K593" s="459">
        <v>0</v>
      </c>
      <c r="L593" s="459">
        <v>6868125</v>
      </c>
      <c r="M593" s="459">
        <f t="shared" si="30"/>
        <v>6868125</v>
      </c>
      <c r="N593" s="461"/>
      <c r="O593" s="462"/>
      <c r="P593" s="462"/>
    </row>
    <row r="594" spans="2:16">
      <c r="B594" s="455" t="s">
        <v>583</v>
      </c>
      <c r="C594" s="456"/>
      <c r="D594" s="457"/>
      <c r="E594" s="458" t="s">
        <v>576</v>
      </c>
      <c r="F594" s="459"/>
      <c r="G594" s="459"/>
      <c r="H594" s="459"/>
      <c r="I594" s="459"/>
      <c r="J594" s="456">
        <v>44355</v>
      </c>
      <c r="K594" s="459">
        <v>0</v>
      </c>
      <c r="L594" s="459">
        <v>221875</v>
      </c>
      <c r="M594" s="459">
        <f t="shared" si="30"/>
        <v>221875</v>
      </c>
      <c r="N594" s="461"/>
      <c r="O594" s="462"/>
      <c r="P594" s="462"/>
    </row>
    <row r="595" spans="2:16">
      <c r="B595" s="455" t="s">
        <v>586</v>
      </c>
      <c r="C595" s="456"/>
      <c r="D595" s="457"/>
      <c r="E595" s="458" t="s">
        <v>576</v>
      </c>
      <c r="F595" s="459"/>
      <c r="G595" s="459"/>
      <c r="H595" s="459"/>
      <c r="I595" s="459"/>
      <c r="J595" s="456">
        <v>44355</v>
      </c>
      <c r="K595" s="459">
        <v>0</v>
      </c>
      <c r="L595" s="459">
        <v>9250</v>
      </c>
      <c r="M595" s="459">
        <f t="shared" si="30"/>
        <v>9250</v>
      </c>
      <c r="N595" s="461"/>
      <c r="O595" s="462"/>
      <c r="P595" s="462"/>
    </row>
    <row r="596" spans="2:16">
      <c r="B596" s="455" t="s">
        <v>586</v>
      </c>
      <c r="C596" s="456"/>
      <c r="D596" s="457"/>
      <c r="E596" s="458" t="s">
        <v>576</v>
      </c>
      <c r="F596" s="459"/>
      <c r="G596" s="459"/>
      <c r="H596" s="459"/>
      <c r="I596" s="459"/>
      <c r="J596" s="456">
        <v>44355</v>
      </c>
      <c r="K596" s="459">
        <v>0</v>
      </c>
      <c r="L596" s="459">
        <v>110938</v>
      </c>
      <c r="M596" s="459">
        <f t="shared" si="30"/>
        <v>110938</v>
      </c>
      <c r="N596" s="461"/>
      <c r="O596" s="462"/>
      <c r="P596" s="462"/>
    </row>
    <row r="597" spans="2:16">
      <c r="B597" s="455" t="s">
        <v>575</v>
      </c>
      <c r="C597" s="456"/>
      <c r="D597" s="457"/>
      <c r="E597" s="458" t="s">
        <v>576</v>
      </c>
      <c r="F597" s="459"/>
      <c r="G597" s="459"/>
      <c r="H597" s="459"/>
      <c r="I597" s="459"/>
      <c r="J597" s="456">
        <v>44355</v>
      </c>
      <c r="K597" s="459">
        <v>0</v>
      </c>
      <c r="L597" s="459">
        <v>7103195</v>
      </c>
      <c r="M597" s="459">
        <f t="shared" si="30"/>
        <v>7103195</v>
      </c>
      <c r="N597" s="461"/>
      <c r="O597" s="462"/>
      <c r="P597" s="462"/>
    </row>
    <row r="598" spans="2:16">
      <c r="B598" s="455" t="s">
        <v>581</v>
      </c>
      <c r="C598" s="456"/>
      <c r="D598" s="457"/>
      <c r="E598" s="458" t="s">
        <v>576</v>
      </c>
      <c r="F598" s="459"/>
      <c r="G598" s="459"/>
      <c r="H598" s="459"/>
      <c r="I598" s="459"/>
      <c r="J598" s="456">
        <v>44358</v>
      </c>
      <c r="K598" s="459">
        <v>0</v>
      </c>
      <c r="L598" s="459">
        <v>3404010</v>
      </c>
      <c r="M598" s="459">
        <f t="shared" si="30"/>
        <v>3404010</v>
      </c>
      <c r="N598" s="461"/>
      <c r="O598" s="462"/>
      <c r="P598" s="462"/>
    </row>
    <row r="599" spans="2:16">
      <c r="B599" s="455" t="s">
        <v>575</v>
      </c>
      <c r="C599" s="456"/>
      <c r="D599" s="457"/>
      <c r="E599" s="458" t="s">
        <v>576</v>
      </c>
      <c r="F599" s="459"/>
      <c r="G599" s="459"/>
      <c r="H599" s="459"/>
      <c r="I599" s="459"/>
      <c r="J599" s="456">
        <v>44358</v>
      </c>
      <c r="K599" s="459">
        <v>0</v>
      </c>
      <c r="L599" s="459">
        <v>1451895</v>
      </c>
      <c r="M599" s="459">
        <f t="shared" si="30"/>
        <v>1451895</v>
      </c>
      <c r="N599" s="461"/>
      <c r="O599" s="462"/>
      <c r="P599" s="462"/>
    </row>
    <row r="600" spans="2:16">
      <c r="B600" s="455" t="s">
        <v>582</v>
      </c>
      <c r="C600" s="456"/>
      <c r="D600" s="457"/>
      <c r="E600" s="458" t="s">
        <v>576</v>
      </c>
      <c r="F600" s="459"/>
      <c r="G600" s="459"/>
      <c r="H600" s="459"/>
      <c r="I600" s="459"/>
      <c r="J600" s="456">
        <v>44358</v>
      </c>
      <c r="K600" s="459">
        <v>0</v>
      </c>
      <c r="L600" s="459">
        <v>142969</v>
      </c>
      <c r="M600" s="459">
        <f t="shared" si="30"/>
        <v>142969</v>
      </c>
      <c r="N600" s="461"/>
      <c r="O600" s="462"/>
      <c r="P600" s="462"/>
    </row>
    <row r="601" spans="2:16">
      <c r="B601" s="455" t="s">
        <v>583</v>
      </c>
      <c r="C601" s="456"/>
      <c r="D601" s="457"/>
      <c r="E601" s="458" t="s">
        <v>576</v>
      </c>
      <c r="F601" s="459"/>
      <c r="G601" s="459"/>
      <c r="H601" s="459"/>
      <c r="I601" s="459"/>
      <c r="J601" s="456">
        <v>44358</v>
      </c>
      <c r="K601" s="459">
        <v>0</v>
      </c>
      <c r="L601" s="459">
        <v>95</v>
      </c>
      <c r="M601" s="459">
        <f t="shared" si="30"/>
        <v>95</v>
      </c>
      <c r="N601" s="461"/>
      <c r="O601" s="462"/>
      <c r="P601" s="462"/>
    </row>
    <row r="602" spans="2:16">
      <c r="B602" s="455" t="s">
        <v>575</v>
      </c>
      <c r="C602" s="456"/>
      <c r="D602" s="457"/>
      <c r="E602" s="458" t="s">
        <v>576</v>
      </c>
      <c r="F602" s="459"/>
      <c r="G602" s="459"/>
      <c r="H602" s="459"/>
      <c r="I602" s="459"/>
      <c r="J602" s="456">
        <v>44358</v>
      </c>
      <c r="K602" s="459">
        <v>0</v>
      </c>
      <c r="L602" s="459">
        <v>8625000</v>
      </c>
      <c r="M602" s="459">
        <f t="shared" si="30"/>
        <v>8625000</v>
      </c>
      <c r="N602" s="461"/>
      <c r="O602" s="462"/>
      <c r="P602" s="462"/>
    </row>
    <row r="603" spans="2:16">
      <c r="B603" s="455" t="s">
        <v>577</v>
      </c>
      <c r="C603" s="456"/>
      <c r="D603" s="457"/>
      <c r="E603" s="458" t="s">
        <v>576</v>
      </c>
      <c r="F603" s="459"/>
      <c r="G603" s="459"/>
      <c r="H603" s="459"/>
      <c r="I603" s="459"/>
      <c r="J603" s="456">
        <v>44358</v>
      </c>
      <c r="K603" s="459">
        <v>0</v>
      </c>
      <c r="L603" s="459">
        <v>756190</v>
      </c>
      <c r="M603" s="459">
        <f t="shared" ref="M603:M625" si="31">+K603+L603</f>
        <v>756190</v>
      </c>
      <c r="N603" s="461"/>
      <c r="O603" s="462"/>
      <c r="P603" s="462"/>
    </row>
    <row r="604" spans="2:16">
      <c r="B604" s="455" t="s">
        <v>577</v>
      </c>
      <c r="C604" s="456"/>
      <c r="D604" s="457"/>
      <c r="E604" s="458" t="s">
        <v>576</v>
      </c>
      <c r="F604" s="459"/>
      <c r="G604" s="459"/>
      <c r="H604" s="459"/>
      <c r="I604" s="459"/>
      <c r="J604" s="456">
        <v>44361</v>
      </c>
      <c r="K604" s="459">
        <v>0</v>
      </c>
      <c r="L604" s="459">
        <v>1684665</v>
      </c>
      <c r="M604" s="459">
        <f t="shared" si="31"/>
        <v>1684665</v>
      </c>
      <c r="N604" s="461"/>
      <c r="O604" s="462"/>
      <c r="P604" s="462"/>
    </row>
    <row r="605" spans="2:16">
      <c r="B605" s="455" t="s">
        <v>583</v>
      </c>
      <c r="C605" s="456"/>
      <c r="D605" s="457"/>
      <c r="E605" s="458" t="s">
        <v>576</v>
      </c>
      <c r="F605" s="459"/>
      <c r="G605" s="459"/>
      <c r="H605" s="459"/>
      <c r="I605" s="459"/>
      <c r="J605" s="456">
        <v>44361</v>
      </c>
      <c r="K605" s="459">
        <v>0</v>
      </c>
      <c r="L605" s="459">
        <v>2625</v>
      </c>
      <c r="M605" s="459">
        <f t="shared" si="31"/>
        <v>2625</v>
      </c>
      <c r="N605" s="461"/>
      <c r="O605" s="462"/>
      <c r="P605" s="462"/>
    </row>
    <row r="606" spans="2:16">
      <c r="B606" s="455" t="s">
        <v>575</v>
      </c>
      <c r="C606" s="456"/>
      <c r="D606" s="457"/>
      <c r="E606" s="458" t="s">
        <v>576</v>
      </c>
      <c r="F606" s="459"/>
      <c r="G606" s="459"/>
      <c r="H606" s="459"/>
      <c r="I606" s="459"/>
      <c r="J606" s="456">
        <v>44361</v>
      </c>
      <c r="K606" s="459">
        <v>0</v>
      </c>
      <c r="L606" s="459">
        <v>2541660</v>
      </c>
      <c r="M606" s="459">
        <f t="shared" si="31"/>
        <v>2541660</v>
      </c>
      <c r="N606" s="461"/>
      <c r="O606" s="462"/>
      <c r="P606" s="462"/>
    </row>
    <row r="607" spans="2:16">
      <c r="B607" s="455" t="s">
        <v>586</v>
      </c>
      <c r="C607" s="456"/>
      <c r="D607" s="457"/>
      <c r="E607" s="458" t="s">
        <v>576</v>
      </c>
      <c r="F607" s="459"/>
      <c r="G607" s="459"/>
      <c r="H607" s="459"/>
      <c r="I607" s="459"/>
      <c r="J607" s="456">
        <v>44361</v>
      </c>
      <c r="K607" s="459">
        <v>0</v>
      </c>
      <c r="L607" s="459">
        <v>2234993</v>
      </c>
      <c r="M607" s="459">
        <f t="shared" si="31"/>
        <v>2234993</v>
      </c>
      <c r="N607" s="461"/>
      <c r="O607" s="462"/>
      <c r="P607" s="462"/>
    </row>
    <row r="608" spans="2:16">
      <c r="B608" s="455" t="s">
        <v>575</v>
      </c>
      <c r="C608" s="456"/>
      <c r="D608" s="457"/>
      <c r="E608" s="458" t="s">
        <v>576</v>
      </c>
      <c r="F608" s="459"/>
      <c r="G608" s="459"/>
      <c r="H608" s="459"/>
      <c r="I608" s="459"/>
      <c r="J608" s="456">
        <v>44362</v>
      </c>
      <c r="K608" s="459">
        <v>0</v>
      </c>
      <c r="L608" s="459">
        <v>1976760</v>
      </c>
      <c r="M608" s="459">
        <f t="shared" si="31"/>
        <v>1976760</v>
      </c>
      <c r="N608" s="461"/>
      <c r="O608" s="462"/>
      <c r="P608" s="462"/>
    </row>
    <row r="609" spans="2:16">
      <c r="B609" s="455" t="s">
        <v>580</v>
      </c>
      <c r="C609" s="456"/>
      <c r="D609" s="457"/>
      <c r="E609" s="458" t="s">
        <v>576</v>
      </c>
      <c r="F609" s="459"/>
      <c r="G609" s="459"/>
      <c r="H609" s="459"/>
      <c r="I609" s="459"/>
      <c r="J609" s="456">
        <v>44362</v>
      </c>
      <c r="K609" s="459">
        <v>0</v>
      </c>
      <c r="L609" s="459">
        <v>2975000</v>
      </c>
      <c r="M609" s="459">
        <f t="shared" si="31"/>
        <v>2975000</v>
      </c>
      <c r="N609" s="461"/>
      <c r="O609" s="462"/>
      <c r="P609" s="462"/>
    </row>
    <row r="610" spans="2:16">
      <c r="B610" s="455" t="s">
        <v>580</v>
      </c>
      <c r="C610" s="456"/>
      <c r="D610" s="457"/>
      <c r="E610" s="458" t="s">
        <v>576</v>
      </c>
      <c r="F610" s="459"/>
      <c r="G610" s="459"/>
      <c r="H610" s="459"/>
      <c r="I610" s="459"/>
      <c r="J610" s="456">
        <v>44362</v>
      </c>
      <c r="K610" s="459">
        <v>0</v>
      </c>
      <c r="L610" s="459">
        <v>554625</v>
      </c>
      <c r="M610" s="459">
        <f t="shared" si="31"/>
        <v>554625</v>
      </c>
      <c r="N610" s="461"/>
      <c r="O610" s="462"/>
      <c r="P610" s="462"/>
    </row>
    <row r="611" spans="2:16">
      <c r="B611" s="455" t="s">
        <v>580</v>
      </c>
      <c r="C611" s="456"/>
      <c r="D611" s="457"/>
      <c r="E611" s="458" t="s">
        <v>576</v>
      </c>
      <c r="F611" s="459"/>
      <c r="G611" s="459"/>
      <c r="H611" s="459"/>
      <c r="I611" s="459"/>
      <c r="J611" s="456">
        <v>44362</v>
      </c>
      <c r="K611" s="459">
        <v>0</v>
      </c>
      <c r="L611" s="459">
        <v>572114</v>
      </c>
      <c r="M611" s="459">
        <f t="shared" si="31"/>
        <v>572114</v>
      </c>
      <c r="N611" s="461"/>
      <c r="O611" s="462"/>
      <c r="P611" s="462"/>
    </row>
    <row r="612" spans="2:16">
      <c r="B612" s="455" t="s">
        <v>577</v>
      </c>
      <c r="C612" s="456"/>
      <c r="D612" s="457"/>
      <c r="E612" s="458" t="s">
        <v>576</v>
      </c>
      <c r="F612" s="459"/>
      <c r="G612" s="459"/>
      <c r="H612" s="459"/>
      <c r="I612" s="459"/>
      <c r="J612" s="456">
        <v>44362</v>
      </c>
      <c r="K612" s="459">
        <v>0</v>
      </c>
      <c r="L612" s="459">
        <v>1536471</v>
      </c>
      <c r="M612" s="459">
        <f t="shared" si="31"/>
        <v>1536471</v>
      </c>
      <c r="N612" s="461"/>
      <c r="O612" s="462"/>
      <c r="P612" s="462"/>
    </row>
    <row r="613" spans="2:16">
      <c r="B613" s="455" t="s">
        <v>580</v>
      </c>
      <c r="C613" s="456"/>
      <c r="D613" s="457"/>
      <c r="E613" s="458" t="s">
        <v>576</v>
      </c>
      <c r="F613" s="459"/>
      <c r="G613" s="459"/>
      <c r="H613" s="459"/>
      <c r="I613" s="459"/>
      <c r="J613" s="456">
        <v>44362</v>
      </c>
      <c r="K613" s="459">
        <v>0</v>
      </c>
      <c r="L613" s="459">
        <v>768236</v>
      </c>
      <c r="M613" s="459">
        <f t="shared" si="31"/>
        <v>768236</v>
      </c>
      <c r="N613" s="461"/>
      <c r="O613" s="462"/>
      <c r="P613" s="462"/>
    </row>
    <row r="614" spans="2:16">
      <c r="B614" s="455" t="s">
        <v>584</v>
      </c>
      <c r="C614" s="456"/>
      <c r="D614" s="457"/>
      <c r="E614" s="458" t="s">
        <v>576</v>
      </c>
      <c r="F614" s="459"/>
      <c r="G614" s="459"/>
      <c r="H614" s="459"/>
      <c r="I614" s="459"/>
      <c r="J614" s="456">
        <v>44362</v>
      </c>
      <c r="K614" s="459">
        <v>0</v>
      </c>
      <c r="L614" s="459">
        <v>296501</v>
      </c>
      <c r="M614" s="459">
        <f t="shared" si="31"/>
        <v>296501</v>
      </c>
      <c r="N614" s="461"/>
      <c r="O614" s="462"/>
      <c r="P614" s="462"/>
    </row>
    <row r="615" spans="2:16">
      <c r="B615" s="455" t="s">
        <v>585</v>
      </c>
      <c r="C615" s="456"/>
      <c r="D615" s="457"/>
      <c r="E615" s="458" t="s">
        <v>576</v>
      </c>
      <c r="F615" s="459"/>
      <c r="G615" s="459"/>
      <c r="H615" s="459"/>
      <c r="I615" s="459"/>
      <c r="J615" s="456">
        <v>44362</v>
      </c>
      <c r="K615" s="459">
        <v>0</v>
      </c>
      <c r="L615" s="459">
        <v>2281744</v>
      </c>
      <c r="M615" s="459">
        <f t="shared" si="31"/>
        <v>2281744</v>
      </c>
      <c r="N615" s="461"/>
      <c r="O615" s="462"/>
      <c r="P615" s="462"/>
    </row>
    <row r="616" spans="2:16">
      <c r="B616" s="455" t="s">
        <v>577</v>
      </c>
      <c r="C616" s="456"/>
      <c r="D616" s="457"/>
      <c r="E616" s="458" t="s">
        <v>576</v>
      </c>
      <c r="F616" s="459"/>
      <c r="G616" s="459"/>
      <c r="H616" s="459"/>
      <c r="I616" s="459"/>
      <c r="J616" s="456">
        <v>44365</v>
      </c>
      <c r="K616" s="459">
        <v>0</v>
      </c>
      <c r="L616" s="459">
        <v>1536971</v>
      </c>
      <c r="M616" s="459">
        <f t="shared" si="31"/>
        <v>1536971</v>
      </c>
      <c r="N616" s="461"/>
      <c r="O616" s="462"/>
      <c r="P616" s="462"/>
    </row>
    <row r="617" spans="2:16">
      <c r="B617" s="455" t="s">
        <v>581</v>
      </c>
      <c r="C617" s="456"/>
      <c r="D617" s="457"/>
      <c r="E617" s="458" t="s">
        <v>576</v>
      </c>
      <c r="F617" s="459"/>
      <c r="G617" s="459"/>
      <c r="H617" s="459"/>
      <c r="I617" s="459"/>
      <c r="J617" s="456">
        <v>44365</v>
      </c>
      <c r="K617" s="459">
        <v>0</v>
      </c>
      <c r="L617" s="459">
        <v>2218341</v>
      </c>
      <c r="M617" s="459">
        <f t="shared" si="31"/>
        <v>2218341</v>
      </c>
      <c r="N617" s="461"/>
      <c r="O617" s="462"/>
      <c r="P617" s="462"/>
    </row>
    <row r="618" spans="2:16">
      <c r="B618" s="455" t="s">
        <v>575</v>
      </c>
      <c r="C618" s="456"/>
      <c r="D618" s="457"/>
      <c r="E618" s="458" t="s">
        <v>576</v>
      </c>
      <c r="F618" s="459"/>
      <c r="G618" s="459"/>
      <c r="H618" s="459"/>
      <c r="I618" s="459"/>
      <c r="J618" s="456">
        <v>44368</v>
      </c>
      <c r="K618" s="466">
        <v>100000000</v>
      </c>
      <c r="L618" s="466">
        <v>0</v>
      </c>
      <c r="M618" s="466">
        <f t="shared" si="31"/>
        <v>100000000</v>
      </c>
      <c r="N618" s="461"/>
      <c r="O618" s="462"/>
      <c r="P618" s="462"/>
    </row>
    <row r="619" spans="2:16">
      <c r="B619" s="455" t="s">
        <v>575</v>
      </c>
      <c r="C619" s="456"/>
      <c r="D619" s="457"/>
      <c r="E619" s="458" t="s">
        <v>576</v>
      </c>
      <c r="F619" s="459"/>
      <c r="G619" s="459"/>
      <c r="H619" s="459"/>
      <c r="I619" s="459"/>
      <c r="J619" s="456">
        <v>44368</v>
      </c>
      <c r="K619" s="459">
        <v>0</v>
      </c>
      <c r="L619" s="459">
        <v>2929452</v>
      </c>
      <c r="M619" s="459">
        <f t="shared" si="31"/>
        <v>2929452</v>
      </c>
      <c r="N619" s="461"/>
      <c r="O619" s="462"/>
      <c r="P619" s="462"/>
    </row>
    <row r="620" spans="2:16">
      <c r="B620" s="455" t="s">
        <v>575</v>
      </c>
      <c r="C620" s="456"/>
      <c r="D620" s="457"/>
      <c r="E620" s="458" t="s">
        <v>576</v>
      </c>
      <c r="F620" s="459"/>
      <c r="G620" s="459"/>
      <c r="H620" s="459"/>
      <c r="I620" s="459"/>
      <c r="J620" s="456">
        <v>44368</v>
      </c>
      <c r="K620" s="459">
        <v>0</v>
      </c>
      <c r="L620" s="459">
        <v>2898288</v>
      </c>
      <c r="M620" s="459">
        <f t="shared" si="31"/>
        <v>2898288</v>
      </c>
      <c r="N620" s="461"/>
      <c r="O620" s="462"/>
      <c r="P620" s="462"/>
    </row>
    <row r="621" spans="2:16">
      <c r="B621" s="455" t="s">
        <v>575</v>
      </c>
      <c r="C621" s="456"/>
      <c r="D621" s="457"/>
      <c r="E621" s="458" t="s">
        <v>576</v>
      </c>
      <c r="F621" s="459"/>
      <c r="G621" s="459"/>
      <c r="H621" s="459"/>
      <c r="I621" s="459"/>
      <c r="J621" s="456">
        <v>44368</v>
      </c>
      <c r="K621" s="466">
        <v>100000000</v>
      </c>
      <c r="L621" s="466">
        <v>0</v>
      </c>
      <c r="M621" s="466">
        <f t="shared" si="31"/>
        <v>100000000</v>
      </c>
      <c r="N621" s="461"/>
      <c r="O621" s="462"/>
      <c r="P621" s="462"/>
    </row>
    <row r="622" spans="2:16">
      <c r="B622" s="455" t="s">
        <v>575</v>
      </c>
      <c r="C622" s="456"/>
      <c r="D622" s="457"/>
      <c r="E622" s="458" t="s">
        <v>576</v>
      </c>
      <c r="F622" s="459"/>
      <c r="G622" s="459"/>
      <c r="H622" s="459"/>
      <c r="I622" s="459"/>
      <c r="J622" s="456">
        <v>44375</v>
      </c>
      <c r="K622" s="459">
        <v>0</v>
      </c>
      <c r="L622" s="459">
        <v>5330889</v>
      </c>
      <c r="M622" s="459">
        <f t="shared" si="31"/>
        <v>5330889</v>
      </c>
      <c r="N622" s="461"/>
      <c r="O622" s="462"/>
      <c r="P622" s="462"/>
    </row>
    <row r="623" spans="2:16">
      <c r="B623" s="455" t="s">
        <v>581</v>
      </c>
      <c r="C623" s="456"/>
      <c r="D623" s="457"/>
      <c r="E623" s="458" t="s">
        <v>576</v>
      </c>
      <c r="F623" s="459"/>
      <c r="G623" s="459"/>
      <c r="H623" s="459"/>
      <c r="I623" s="459"/>
      <c r="J623" s="456">
        <v>44375</v>
      </c>
      <c r="K623" s="459">
        <v>0</v>
      </c>
      <c r="L623" s="459">
        <v>3731611</v>
      </c>
      <c r="M623" s="459">
        <f t="shared" si="31"/>
        <v>3731611</v>
      </c>
      <c r="N623" s="461"/>
      <c r="O623" s="462"/>
      <c r="P623" s="462"/>
    </row>
    <row r="624" spans="2:16">
      <c r="B624" s="455" t="s">
        <v>583</v>
      </c>
      <c r="C624" s="456"/>
      <c r="D624" s="457"/>
      <c r="E624" s="458" t="s">
        <v>576</v>
      </c>
      <c r="F624" s="459"/>
      <c r="G624" s="459"/>
      <c r="H624" s="459"/>
      <c r="I624" s="459"/>
      <c r="J624" s="456">
        <v>44377</v>
      </c>
      <c r="K624" s="459">
        <v>0</v>
      </c>
      <c r="L624" s="459">
        <v>112500</v>
      </c>
      <c r="M624" s="459">
        <f t="shared" si="31"/>
        <v>112500</v>
      </c>
      <c r="N624" s="461"/>
      <c r="O624" s="462"/>
      <c r="P624" s="462"/>
    </row>
    <row r="625" spans="2:16">
      <c r="B625" s="455" t="s">
        <v>575</v>
      </c>
      <c r="C625" s="456"/>
      <c r="D625" s="457"/>
      <c r="E625" s="458" t="s">
        <v>576</v>
      </c>
      <c r="F625" s="459"/>
      <c r="G625" s="459"/>
      <c r="H625" s="459"/>
      <c r="I625" s="459"/>
      <c r="J625" s="456">
        <v>44377</v>
      </c>
      <c r="K625" s="459">
        <v>0</v>
      </c>
      <c r="L625" s="459">
        <v>11137500</v>
      </c>
      <c r="M625" s="459">
        <f t="shared" si="31"/>
        <v>11137500</v>
      </c>
      <c r="N625" s="461"/>
      <c r="O625" s="462"/>
      <c r="P625" s="462"/>
    </row>
    <row r="626" spans="2:16">
      <c r="B626" s="467" t="s">
        <v>588</v>
      </c>
      <c r="C626" s="468"/>
      <c r="D626" s="469"/>
      <c r="E626" s="470"/>
      <c r="F626" s="459"/>
      <c r="G626" s="471">
        <f>(I693-H693)*1000000</f>
        <v>0</v>
      </c>
      <c r="H626" s="465"/>
      <c r="I626" s="465"/>
      <c r="J626" s="472"/>
      <c r="K626" s="495"/>
      <c r="L626" s="495"/>
      <c r="M626" s="473"/>
      <c r="N626" s="461"/>
      <c r="O626" s="462"/>
      <c r="P626" s="462"/>
    </row>
    <row r="627" spans="2:16">
      <c r="B627" s="467" t="s">
        <v>589</v>
      </c>
      <c r="C627" s="468"/>
      <c r="D627" s="469"/>
      <c r="E627" s="470" t="s">
        <v>590</v>
      </c>
      <c r="F627" s="459">
        <f>SUBTOTAL(9,G627:H627)</f>
        <v>0</v>
      </c>
      <c r="G627" s="471"/>
      <c r="H627" s="465"/>
      <c r="I627" s="465"/>
      <c r="J627" s="472"/>
      <c r="K627" s="495"/>
      <c r="L627" s="495"/>
      <c r="M627" s="473"/>
      <c r="N627" s="461"/>
      <c r="O627" s="462"/>
      <c r="P627" s="462"/>
    </row>
    <row r="628" spans="2:16">
      <c r="B628" s="467" t="s">
        <v>591</v>
      </c>
      <c r="C628" s="468"/>
      <c r="D628" s="469"/>
      <c r="E628" s="470" t="s">
        <v>592</v>
      </c>
      <c r="F628" s="459">
        <f>SUBTOTAL(9,G628:H628)</f>
        <v>0</v>
      </c>
      <c r="G628" s="471"/>
      <c r="H628" s="465"/>
      <c r="I628" s="465"/>
      <c r="J628" s="472"/>
      <c r="K628" s="495"/>
      <c r="L628" s="495"/>
      <c r="M628" s="473"/>
      <c r="N628" s="461"/>
      <c r="O628" s="462"/>
      <c r="P628" s="462"/>
    </row>
    <row r="629" spans="2:16" ht="12.5">
      <c r="B629" s="770" t="s">
        <v>593</v>
      </c>
      <c r="C629" s="769"/>
      <c r="D629" s="769"/>
      <c r="E629" s="768"/>
      <c r="F629" s="767">
        <f>SUM(F567:F628)</f>
        <v>799500000</v>
      </c>
      <c r="G629" s="767">
        <f>SUM(G567:G628)</f>
        <v>799500000</v>
      </c>
      <c r="H629" s="767">
        <f>SUM(H567:H628)</f>
        <v>0</v>
      </c>
      <c r="I629" s="767">
        <f>SUM(I567:I628)</f>
        <v>799500000</v>
      </c>
      <c r="J629" s="767"/>
      <c r="K629" s="767">
        <f>SUM(K567:K628)</f>
        <v>439401496.25935161</v>
      </c>
      <c r="L629" s="767">
        <f>SUM(L567:L628)</f>
        <v>114002012.74064836</v>
      </c>
      <c r="M629" s="767">
        <f>SUM(M567:M628)</f>
        <v>553403509</v>
      </c>
      <c r="N629" s="762">
        <f>+G629-K629</f>
        <v>360098503.74064839</v>
      </c>
      <c r="O629" s="762">
        <f>+(I683-H683)*1000000</f>
        <v>-717950126.97455513</v>
      </c>
      <c r="P629" s="762">
        <f>N629-O629</f>
        <v>1078048630.7152035</v>
      </c>
    </row>
    <row r="630" spans="2:16" ht="12.5">
      <c r="B630" s="455" t="s">
        <v>594</v>
      </c>
      <c r="C630" s="479">
        <v>44358</v>
      </c>
      <c r="D630" s="457">
        <v>1080</v>
      </c>
      <c r="E630" s="458" t="s">
        <v>576</v>
      </c>
      <c r="F630" s="459">
        <f>SUBTOTAL(9,G630:H630)</f>
        <v>340500000</v>
      </c>
      <c r="G630" s="459">
        <v>340500000</v>
      </c>
      <c r="H630" s="459">
        <v>0</v>
      </c>
      <c r="I630" s="459">
        <f>+G630+H630</f>
        <v>340500000</v>
      </c>
      <c r="J630" s="456"/>
      <c r="K630" s="459"/>
      <c r="L630" s="459"/>
      <c r="M630" s="459"/>
      <c r="N630" s="502"/>
      <c r="O630" s="503"/>
      <c r="P630" s="503"/>
    </row>
    <row r="631" spans="2:16" ht="12.5">
      <c r="B631" s="455" t="s">
        <v>594</v>
      </c>
      <c r="C631" s="479"/>
      <c r="D631" s="457"/>
      <c r="E631" s="458" t="s">
        <v>576</v>
      </c>
      <c r="F631" s="459"/>
      <c r="G631" s="459"/>
      <c r="H631" s="459"/>
      <c r="I631" s="459"/>
      <c r="J631" s="456">
        <v>44349</v>
      </c>
      <c r="K631" s="459">
        <v>0</v>
      </c>
      <c r="L631" s="459">
        <v>1232715</v>
      </c>
      <c r="M631" s="459">
        <f t="shared" ref="M631:M650" si="32">+K631+L631</f>
        <v>1232715</v>
      </c>
      <c r="N631" s="502"/>
      <c r="O631" s="503"/>
      <c r="P631" s="503"/>
    </row>
    <row r="632" spans="2:16" ht="12.5">
      <c r="B632" s="455" t="s">
        <v>594</v>
      </c>
      <c r="C632" s="479"/>
      <c r="D632" s="457"/>
      <c r="E632" s="458" t="s">
        <v>576</v>
      </c>
      <c r="F632" s="459"/>
      <c r="G632" s="459"/>
      <c r="H632" s="459"/>
      <c r="I632" s="459"/>
      <c r="J632" s="456">
        <v>44350</v>
      </c>
      <c r="K632" s="459">
        <v>0</v>
      </c>
      <c r="L632" s="459">
        <v>2937515</v>
      </c>
      <c r="M632" s="459">
        <f t="shared" si="32"/>
        <v>2937515</v>
      </c>
      <c r="N632" s="502"/>
      <c r="O632" s="503"/>
      <c r="P632" s="503"/>
    </row>
    <row r="633" spans="2:16" ht="12.5">
      <c r="B633" s="455" t="s">
        <v>594</v>
      </c>
      <c r="C633" s="479"/>
      <c r="D633" s="457"/>
      <c r="E633" s="458" t="s">
        <v>576</v>
      </c>
      <c r="F633" s="459"/>
      <c r="G633" s="459"/>
      <c r="H633" s="459"/>
      <c r="I633" s="459"/>
      <c r="J633" s="456">
        <v>44350</v>
      </c>
      <c r="K633" s="459">
        <v>0</v>
      </c>
      <c r="L633" s="459">
        <v>9187500</v>
      </c>
      <c r="M633" s="459">
        <f t="shared" si="32"/>
        <v>9187500</v>
      </c>
      <c r="N633" s="502"/>
      <c r="O633" s="503"/>
      <c r="P633" s="503"/>
    </row>
    <row r="634" spans="2:16" ht="12.5">
      <c r="B634" s="455" t="s">
        <v>594</v>
      </c>
      <c r="C634" s="479"/>
      <c r="D634" s="457"/>
      <c r="E634" s="458" t="s">
        <v>579</v>
      </c>
      <c r="F634" s="459"/>
      <c r="G634" s="459"/>
      <c r="H634" s="459"/>
      <c r="I634" s="459"/>
      <c r="J634" s="456">
        <v>44354</v>
      </c>
      <c r="K634" s="459">
        <v>59850374.06483791</v>
      </c>
      <c r="L634" s="459">
        <v>149625.93516208977</v>
      </c>
      <c r="M634" s="459">
        <f t="shared" si="32"/>
        <v>60000000</v>
      </c>
      <c r="N634" s="502"/>
      <c r="O634" s="503"/>
      <c r="P634" s="503"/>
    </row>
    <row r="635" spans="2:16" ht="12.5">
      <c r="B635" s="455" t="s">
        <v>594</v>
      </c>
      <c r="C635" s="479"/>
      <c r="D635" s="457"/>
      <c r="E635" s="458" t="s">
        <v>576</v>
      </c>
      <c r="F635" s="459"/>
      <c r="G635" s="459"/>
      <c r="H635" s="459"/>
      <c r="I635" s="459"/>
      <c r="J635" s="456">
        <v>44354</v>
      </c>
      <c r="K635" s="459">
        <v>0</v>
      </c>
      <c r="L635" s="459">
        <v>7425000</v>
      </c>
      <c r="M635" s="459">
        <f t="shared" si="32"/>
        <v>7425000</v>
      </c>
      <c r="N635" s="502"/>
      <c r="O635" s="503"/>
      <c r="P635" s="503"/>
    </row>
    <row r="636" spans="2:16" ht="12.5">
      <c r="B636" s="455" t="s">
        <v>594</v>
      </c>
      <c r="C636" s="479"/>
      <c r="D636" s="457"/>
      <c r="E636" s="458" t="s">
        <v>576</v>
      </c>
      <c r="F636" s="459"/>
      <c r="G636" s="459"/>
      <c r="H636" s="459"/>
      <c r="I636" s="459"/>
      <c r="J636" s="456">
        <v>44355</v>
      </c>
      <c r="K636" s="459">
        <v>0</v>
      </c>
      <c r="L636" s="459">
        <v>8694863</v>
      </c>
      <c r="M636" s="459">
        <f t="shared" si="32"/>
        <v>8694863</v>
      </c>
      <c r="N636" s="502"/>
      <c r="O636" s="503"/>
      <c r="P636" s="503"/>
    </row>
    <row r="637" spans="2:16" ht="12.5">
      <c r="B637" s="455" t="s">
        <v>594</v>
      </c>
      <c r="C637" s="479"/>
      <c r="D637" s="457"/>
      <c r="E637" s="458" t="s">
        <v>576</v>
      </c>
      <c r="F637" s="459"/>
      <c r="G637" s="459"/>
      <c r="H637" s="459"/>
      <c r="I637" s="459"/>
      <c r="J637" s="456">
        <v>44355</v>
      </c>
      <c r="K637" s="459">
        <v>0</v>
      </c>
      <c r="L637" s="459">
        <v>3324930</v>
      </c>
      <c r="M637" s="459">
        <f t="shared" si="32"/>
        <v>3324930</v>
      </c>
      <c r="N637" s="502"/>
      <c r="O637" s="503"/>
      <c r="P637" s="503"/>
    </row>
    <row r="638" spans="2:16" ht="12.5">
      <c r="B638" s="455" t="s">
        <v>594</v>
      </c>
      <c r="C638" s="479"/>
      <c r="D638" s="457"/>
      <c r="E638" s="458" t="s">
        <v>576</v>
      </c>
      <c r="F638" s="459"/>
      <c r="G638" s="459"/>
      <c r="H638" s="459"/>
      <c r="I638" s="459"/>
      <c r="J638" s="456">
        <v>44355</v>
      </c>
      <c r="K638" s="459">
        <v>300000000</v>
      </c>
      <c r="L638" s="459">
        <v>0</v>
      </c>
      <c r="M638" s="459">
        <f t="shared" si="32"/>
        <v>300000000</v>
      </c>
      <c r="N638" s="502"/>
      <c r="O638" s="503"/>
      <c r="P638" s="503"/>
    </row>
    <row r="639" spans="2:16" ht="12.5">
      <c r="B639" s="455" t="s">
        <v>594</v>
      </c>
      <c r="C639" s="479"/>
      <c r="D639" s="457"/>
      <c r="E639" s="458" t="s">
        <v>576</v>
      </c>
      <c r="F639" s="459"/>
      <c r="G639" s="459"/>
      <c r="H639" s="459"/>
      <c r="I639" s="459"/>
      <c r="J639" s="456">
        <v>44356</v>
      </c>
      <c r="K639" s="459">
        <v>0</v>
      </c>
      <c r="L639" s="459">
        <v>9187500</v>
      </c>
      <c r="M639" s="459">
        <f t="shared" si="32"/>
        <v>9187500</v>
      </c>
      <c r="N639" s="502"/>
      <c r="O639" s="503"/>
      <c r="P639" s="503"/>
    </row>
    <row r="640" spans="2:16" ht="12.5">
      <c r="B640" s="455" t="s">
        <v>594</v>
      </c>
      <c r="C640" s="479"/>
      <c r="D640" s="457"/>
      <c r="E640" s="458" t="s">
        <v>576</v>
      </c>
      <c r="F640" s="459"/>
      <c r="G640" s="459"/>
      <c r="H640" s="459"/>
      <c r="I640" s="459"/>
      <c r="J640" s="456">
        <v>44357</v>
      </c>
      <c r="K640" s="459">
        <v>0</v>
      </c>
      <c r="L640" s="459">
        <v>9000000</v>
      </c>
      <c r="M640" s="459">
        <f t="shared" si="32"/>
        <v>9000000</v>
      </c>
      <c r="N640" s="502"/>
      <c r="O640" s="503"/>
      <c r="P640" s="503"/>
    </row>
    <row r="641" spans="2:16" ht="12.5">
      <c r="B641" s="455" t="s">
        <v>594</v>
      </c>
      <c r="C641" s="479"/>
      <c r="D641" s="457"/>
      <c r="E641" s="458" t="s">
        <v>576</v>
      </c>
      <c r="F641" s="459"/>
      <c r="G641" s="459"/>
      <c r="H641" s="459"/>
      <c r="I641" s="459"/>
      <c r="J641" s="456">
        <v>44358</v>
      </c>
      <c r="K641" s="459">
        <v>0</v>
      </c>
      <c r="L641" s="459">
        <v>4312500</v>
      </c>
      <c r="M641" s="459">
        <f t="shared" si="32"/>
        <v>4312500</v>
      </c>
      <c r="N641" s="502"/>
      <c r="O641" s="503"/>
      <c r="P641" s="503"/>
    </row>
    <row r="642" spans="2:16" ht="12.5">
      <c r="B642" s="455" t="s">
        <v>594</v>
      </c>
      <c r="C642" s="479"/>
      <c r="D642" s="457"/>
      <c r="E642" s="458" t="s">
        <v>576</v>
      </c>
      <c r="F642" s="459"/>
      <c r="G642" s="459"/>
      <c r="H642" s="459"/>
      <c r="I642" s="459"/>
      <c r="J642" s="456">
        <v>44358</v>
      </c>
      <c r="K642" s="459">
        <v>0</v>
      </c>
      <c r="L642" s="459">
        <v>4220990</v>
      </c>
      <c r="M642" s="459">
        <f t="shared" si="32"/>
        <v>4220990</v>
      </c>
      <c r="N642" s="502"/>
      <c r="O642" s="503"/>
      <c r="P642" s="503"/>
    </row>
    <row r="643" spans="2:16" ht="12.5">
      <c r="B643" s="455" t="s">
        <v>594</v>
      </c>
      <c r="C643" s="479"/>
      <c r="D643" s="457"/>
      <c r="E643" s="458" t="s">
        <v>576</v>
      </c>
      <c r="F643" s="459"/>
      <c r="G643" s="459"/>
      <c r="H643" s="459"/>
      <c r="I643" s="459"/>
      <c r="J643" s="456">
        <v>44358</v>
      </c>
      <c r="K643" s="459">
        <v>0</v>
      </c>
      <c r="L643" s="459">
        <v>1451914</v>
      </c>
      <c r="M643" s="459">
        <f t="shared" si="32"/>
        <v>1451914</v>
      </c>
      <c r="N643" s="502"/>
      <c r="O643" s="503"/>
      <c r="P643" s="503"/>
    </row>
    <row r="644" spans="2:16" ht="12.5">
      <c r="B644" s="455" t="s">
        <v>594</v>
      </c>
      <c r="C644" s="479"/>
      <c r="D644" s="457"/>
      <c r="E644" s="458" t="s">
        <v>576</v>
      </c>
      <c r="F644" s="459"/>
      <c r="G644" s="459"/>
      <c r="H644" s="459"/>
      <c r="I644" s="459"/>
      <c r="J644" s="456">
        <v>44358</v>
      </c>
      <c r="K644" s="459">
        <v>0</v>
      </c>
      <c r="L644" s="459">
        <v>11790625</v>
      </c>
      <c r="M644" s="459">
        <f t="shared" si="32"/>
        <v>11790625</v>
      </c>
      <c r="N644" s="502"/>
      <c r="O644" s="503"/>
      <c r="P644" s="503"/>
    </row>
    <row r="645" spans="2:16" ht="12.5">
      <c r="B645" s="455" t="s">
        <v>594</v>
      </c>
      <c r="C645" s="479"/>
      <c r="D645" s="457"/>
      <c r="E645" s="458" t="s">
        <v>576</v>
      </c>
      <c r="F645" s="459"/>
      <c r="G645" s="459"/>
      <c r="H645" s="459"/>
      <c r="I645" s="459"/>
      <c r="J645" s="456">
        <v>44361</v>
      </c>
      <c r="K645" s="459">
        <v>0</v>
      </c>
      <c r="L645" s="459">
        <v>5020335</v>
      </c>
      <c r="M645" s="459">
        <f t="shared" si="32"/>
        <v>5020335</v>
      </c>
      <c r="N645" s="502"/>
      <c r="O645" s="503"/>
      <c r="P645" s="503"/>
    </row>
    <row r="646" spans="2:16" ht="12.5">
      <c r="B646" s="455" t="s">
        <v>594</v>
      </c>
      <c r="C646" s="479"/>
      <c r="D646" s="457"/>
      <c r="E646" s="458" t="s">
        <v>576</v>
      </c>
      <c r="F646" s="459"/>
      <c r="G646" s="459"/>
      <c r="H646" s="459"/>
      <c r="I646" s="459"/>
      <c r="J646" s="456">
        <v>44361</v>
      </c>
      <c r="K646" s="459">
        <v>0</v>
      </c>
      <c r="L646" s="459">
        <v>10421250</v>
      </c>
      <c r="M646" s="459">
        <f t="shared" si="32"/>
        <v>10421250</v>
      </c>
      <c r="N646" s="502"/>
      <c r="O646" s="503"/>
      <c r="P646" s="503"/>
    </row>
    <row r="647" spans="2:16" ht="12.5">
      <c r="B647" s="455" t="s">
        <v>594</v>
      </c>
      <c r="C647" s="479"/>
      <c r="D647" s="457"/>
      <c r="E647" s="458" t="s">
        <v>576</v>
      </c>
      <c r="F647" s="459"/>
      <c r="G647" s="459"/>
      <c r="H647" s="459"/>
      <c r="I647" s="459"/>
      <c r="J647" s="456">
        <v>44361</v>
      </c>
      <c r="K647" s="459">
        <v>0</v>
      </c>
      <c r="L647" s="459">
        <v>5083340</v>
      </c>
      <c r="M647" s="459">
        <f t="shared" si="32"/>
        <v>5083340</v>
      </c>
      <c r="N647" s="502"/>
      <c r="O647" s="503"/>
      <c r="P647" s="503"/>
    </row>
    <row r="648" spans="2:16" ht="12.5">
      <c r="B648" s="455" t="s">
        <v>594</v>
      </c>
      <c r="C648" s="479"/>
      <c r="D648" s="457"/>
      <c r="E648" s="458" t="s">
        <v>576</v>
      </c>
      <c r="F648" s="459"/>
      <c r="G648" s="459"/>
      <c r="H648" s="459"/>
      <c r="I648" s="459"/>
      <c r="J648" s="456">
        <v>44362</v>
      </c>
      <c r="K648" s="459">
        <v>0</v>
      </c>
      <c r="L648" s="459">
        <v>10912500</v>
      </c>
      <c r="M648" s="459">
        <f t="shared" si="32"/>
        <v>10912500</v>
      </c>
      <c r="N648" s="502"/>
      <c r="O648" s="503"/>
      <c r="P648" s="503"/>
    </row>
    <row r="649" spans="2:16" ht="12.5">
      <c r="B649" s="455" t="s">
        <v>594</v>
      </c>
      <c r="C649" s="479"/>
      <c r="D649" s="457"/>
      <c r="E649" s="458" t="s">
        <v>576</v>
      </c>
      <c r="F649" s="459"/>
      <c r="G649" s="459"/>
      <c r="H649" s="459"/>
      <c r="I649" s="459"/>
      <c r="J649" s="456">
        <v>44362</v>
      </c>
      <c r="K649" s="459">
        <v>0</v>
      </c>
      <c r="L649" s="459">
        <v>2281674</v>
      </c>
      <c r="M649" s="459">
        <f t="shared" si="32"/>
        <v>2281674</v>
      </c>
      <c r="N649" s="502"/>
      <c r="O649" s="503"/>
      <c r="P649" s="503"/>
    </row>
    <row r="650" spans="2:16" ht="12.5">
      <c r="B650" s="455" t="s">
        <v>594</v>
      </c>
      <c r="C650" s="479"/>
      <c r="D650" s="457"/>
      <c r="E650" s="458" t="s">
        <v>576</v>
      </c>
      <c r="F650" s="459"/>
      <c r="G650" s="459"/>
      <c r="H650" s="459"/>
      <c r="I650" s="459"/>
      <c r="J650" s="456">
        <v>44370</v>
      </c>
      <c r="K650" s="459">
        <v>0</v>
      </c>
      <c r="L650" s="459">
        <v>7656250</v>
      </c>
      <c r="M650" s="459">
        <f t="shared" si="32"/>
        <v>7656250</v>
      </c>
      <c r="N650" s="502"/>
      <c r="O650" s="503"/>
      <c r="P650" s="503"/>
    </row>
    <row r="651" spans="2:16" ht="12.5">
      <c r="B651" s="766" t="s">
        <v>595</v>
      </c>
      <c r="C651" s="765"/>
      <c r="D651" s="765"/>
      <c r="E651" s="764"/>
      <c r="F651" s="763">
        <f>SUM(F630:F650)</f>
        <v>340500000</v>
      </c>
      <c r="G651" s="763">
        <f>SUM(G630:G650)</f>
        <v>340500000</v>
      </c>
      <c r="H651" s="763">
        <f>SUM(H630:H650)</f>
        <v>0</v>
      </c>
      <c r="I651" s="763">
        <f>SUM(I630:I650)</f>
        <v>340500000</v>
      </c>
      <c r="J651" s="763"/>
      <c r="K651" s="763">
        <f>SUM(K631:K650)</f>
        <v>359850374.06483793</v>
      </c>
      <c r="L651" s="763">
        <f>SUM(L631:L650)</f>
        <v>114291026.9351621</v>
      </c>
      <c r="M651" s="763">
        <f>SUM(M631:M650)</f>
        <v>474141401</v>
      </c>
      <c r="N651" s="762">
        <f>+G651-K651</f>
        <v>-19350374.064837933</v>
      </c>
      <c r="O651" s="762"/>
      <c r="P651" s="762">
        <f>+N651-O651</f>
        <v>-19350374.064837933</v>
      </c>
    </row>
    <row r="652" spans="2:16" ht="12.5">
      <c r="B652" s="467"/>
      <c r="C652" s="504"/>
      <c r="D652" s="504"/>
      <c r="E652" s="505"/>
      <c r="F652" s="506"/>
      <c r="G652" s="506"/>
      <c r="H652" s="506"/>
      <c r="I652" s="506"/>
      <c r="J652" s="506"/>
      <c r="K652" s="506"/>
      <c r="L652" s="506"/>
      <c r="M652" s="506"/>
      <c r="N652" s="506"/>
      <c r="O652" s="506"/>
      <c r="P652" s="506"/>
    </row>
    <row r="653" spans="2:16" ht="12.5">
      <c r="B653" s="467"/>
      <c r="C653" s="504"/>
      <c r="D653" s="504"/>
      <c r="E653" s="505"/>
      <c r="F653" s="506"/>
      <c r="G653" s="506"/>
      <c r="H653" s="506"/>
      <c r="I653" s="506"/>
      <c r="J653" s="506"/>
      <c r="K653" s="506"/>
      <c r="L653" s="506"/>
      <c r="M653" s="506"/>
      <c r="N653" s="506"/>
      <c r="O653" s="506"/>
      <c r="P653" s="506"/>
    </row>
    <row r="654" spans="2:16" ht="12.5">
      <c r="B654" s="504"/>
      <c r="C654" s="504"/>
      <c r="D654" s="504"/>
      <c r="E654" s="505"/>
      <c r="F654" s="506"/>
      <c r="G654" s="506"/>
      <c r="H654" s="506"/>
      <c r="I654" s="506"/>
      <c r="J654" s="506"/>
      <c r="K654" s="506"/>
      <c r="L654" s="506"/>
      <c r="M654" s="506"/>
      <c r="N654" s="506"/>
      <c r="O654" s="506"/>
      <c r="P654" s="506"/>
    </row>
    <row r="655" spans="2:16" ht="13">
      <c r="B655" s="504"/>
      <c r="C655" s="504"/>
      <c r="D655" s="504"/>
      <c r="E655" s="505"/>
      <c r="F655" s="506"/>
      <c r="G655" s="506"/>
      <c r="H655" s="506"/>
      <c r="I655" s="506"/>
      <c r="J655" s="506"/>
      <c r="K655" s="506"/>
      <c r="L655" s="506"/>
      <c r="M655" s="761" t="s">
        <v>593</v>
      </c>
      <c r="N655" s="759">
        <f>SUMIF($B$7:$B$651,M655,$N$7:$N$651)</f>
        <v>6595887740.011796</v>
      </c>
      <c r="O655" s="759">
        <f>SUM(O7:O651)</f>
        <v>-1150810086.5974469</v>
      </c>
      <c r="P655" s="759">
        <f>SUMIF($B$7:$B$651,M655,$P$7:$P$651)</f>
        <v>7746697826.6092424</v>
      </c>
    </row>
    <row r="656" spans="2:16" ht="12.5">
      <c r="B656" s="504"/>
      <c r="C656" s="504"/>
      <c r="D656" s="504"/>
      <c r="E656" s="505"/>
      <c r="F656" s="506"/>
      <c r="G656" s="506"/>
      <c r="H656" s="506"/>
      <c r="I656" s="506"/>
      <c r="J656" s="506"/>
      <c r="K656" s="506"/>
      <c r="L656" s="506"/>
      <c r="M656" s="760" t="s">
        <v>604</v>
      </c>
      <c r="N656" s="759"/>
      <c r="O656" s="759"/>
      <c r="P656" s="759"/>
    </row>
    <row r="657" spans="2:16" ht="12.5">
      <c r="B657" s="504"/>
      <c r="C657" s="504"/>
      <c r="D657" s="504"/>
      <c r="E657" s="505"/>
      <c r="F657" s="506"/>
      <c r="G657" s="506"/>
      <c r="H657" s="506"/>
      <c r="I657" s="506"/>
      <c r="J657" s="506"/>
      <c r="K657" s="506"/>
      <c r="L657" s="506"/>
      <c r="M657" s="760" t="s">
        <v>605</v>
      </c>
      <c r="N657" s="759"/>
      <c r="O657" s="759"/>
      <c r="P657" s="759"/>
    </row>
    <row r="658" spans="2:16" ht="13">
      <c r="B658" s="504"/>
      <c r="C658" s="504"/>
      <c r="D658" s="504"/>
      <c r="E658" s="505"/>
      <c r="F658" s="506"/>
      <c r="G658" s="506"/>
      <c r="H658" s="506"/>
      <c r="I658" s="506"/>
      <c r="J658" s="506"/>
      <c r="K658" s="506"/>
      <c r="L658" s="506"/>
      <c r="M658" s="761" t="s">
        <v>595</v>
      </c>
      <c r="N658" s="759">
        <f>SUMIF($B$7:$B$651,M658,$N$7:$N$651)</f>
        <v>3877817644.5121202</v>
      </c>
      <c r="O658" s="759"/>
      <c r="P658" s="759">
        <f>SUMIF($B$7:$B$651,M658,$P$7:$P$651)</f>
        <v>3877817644.5121202</v>
      </c>
    </row>
    <row r="659" spans="2:16" ht="12.5">
      <c r="B659" s="504"/>
      <c r="C659" s="504"/>
      <c r="D659" s="504"/>
      <c r="E659" s="505"/>
      <c r="F659" s="506"/>
      <c r="G659" s="506"/>
      <c r="H659" s="506"/>
      <c r="I659" s="506"/>
      <c r="J659" s="506"/>
      <c r="K659" s="506"/>
      <c r="L659" s="506"/>
      <c r="M659" s="760" t="s">
        <v>588</v>
      </c>
      <c r="N659" s="759"/>
      <c r="O659" s="759"/>
      <c r="P659" s="759"/>
    </row>
    <row r="660" spans="2:16" ht="12.5">
      <c r="B660" s="504"/>
      <c r="C660" s="504"/>
      <c r="D660" s="504"/>
      <c r="E660" s="505"/>
      <c r="F660" s="506"/>
      <c r="G660" s="506"/>
      <c r="H660" s="506"/>
      <c r="I660" s="506"/>
      <c r="J660" s="506"/>
      <c r="K660" s="506"/>
      <c r="L660" s="506"/>
      <c r="M660" s="760" t="s">
        <v>576</v>
      </c>
      <c r="N660" s="759"/>
      <c r="O660" s="759"/>
      <c r="P660" s="759"/>
    </row>
    <row r="661" spans="2:16" ht="12.5">
      <c r="B661" s="504"/>
      <c r="C661" s="504"/>
      <c r="D661" s="504"/>
      <c r="E661" s="505"/>
      <c r="F661" s="506"/>
      <c r="G661" s="506"/>
      <c r="H661" s="506"/>
      <c r="I661" s="506"/>
      <c r="J661" s="506"/>
      <c r="K661" s="506"/>
      <c r="L661" s="506"/>
      <c r="M661" s="760" t="s">
        <v>579</v>
      </c>
      <c r="N661" s="759"/>
      <c r="O661" s="759"/>
      <c r="P661" s="759"/>
    </row>
    <row r="662" spans="2:16" ht="12.5">
      <c r="B662" s="467"/>
      <c r="C662" s="504"/>
      <c r="D662" s="504"/>
      <c r="E662" s="505"/>
      <c r="F662" s="506"/>
      <c r="G662" s="506"/>
      <c r="H662" s="506"/>
      <c r="I662" s="506"/>
      <c r="J662" s="506"/>
      <c r="K662" s="506"/>
      <c r="L662" s="506"/>
      <c r="M662" s="760"/>
      <c r="N662" s="759"/>
      <c r="O662" s="759"/>
      <c r="P662" s="758">
        <f>+P655+P658</f>
        <v>11624515471.121363</v>
      </c>
    </row>
    <row r="663" spans="2:16" ht="12.5">
      <c r="B663" s="467"/>
      <c r="C663" s="504"/>
      <c r="D663" s="504"/>
      <c r="E663" s="505"/>
      <c r="F663" s="506"/>
      <c r="G663" s="506"/>
      <c r="H663" s="506"/>
      <c r="I663" s="506"/>
      <c r="J663" s="506"/>
      <c r="K663" s="506"/>
      <c r="L663" s="506"/>
      <c r="M663" s="506"/>
      <c r="N663" s="511"/>
      <c r="P663" s="441" t="s">
        <v>606</v>
      </c>
    </row>
    <row r="664" spans="2:16" ht="12.5">
      <c r="C664" s="441"/>
      <c r="D664" s="441"/>
      <c r="E664" s="441"/>
      <c r="F664" s="441"/>
      <c r="G664" s="441"/>
      <c r="H664" s="441"/>
      <c r="I664" s="441"/>
      <c r="J664" s="506"/>
      <c r="K664" s="441"/>
      <c r="L664" s="441"/>
      <c r="M664" s="441"/>
    </row>
    <row r="665" spans="2:16" ht="13">
      <c r="C665" s="441"/>
      <c r="D665" s="441"/>
      <c r="E665" s="441"/>
      <c r="F665" s="441"/>
      <c r="G665" s="441"/>
      <c r="H665" s="441"/>
      <c r="I665" s="441"/>
      <c r="J665" s="441"/>
      <c r="K665" s="441"/>
      <c r="L665" s="441"/>
      <c r="M665" s="512"/>
      <c r="P665" s="513"/>
    </row>
    <row r="666" spans="2:16" ht="13">
      <c r="C666" s="441"/>
      <c r="D666" s="441"/>
      <c r="E666" s="441"/>
      <c r="F666" s="441"/>
      <c r="G666" s="441"/>
      <c r="H666" s="441"/>
      <c r="I666" s="441"/>
      <c r="J666" s="441"/>
      <c r="K666" s="514"/>
      <c r="L666" s="441"/>
      <c r="M666" s="512"/>
    </row>
    <row r="667" spans="2:16" ht="12.5">
      <c r="B667" s="515" t="s">
        <v>593</v>
      </c>
      <c r="C667" s="516"/>
      <c r="D667" s="516"/>
      <c r="E667" s="517"/>
      <c r="F667" s="516"/>
      <c r="G667" s="518">
        <f>SUMIF($B$7:$B$651,$B667,$G$7:$G$651)</f>
        <v>9191481761.0112839</v>
      </c>
      <c r="H667" s="518">
        <f>SUMIF($B$7:$B$651,$B667,$H$7:$H$651)</f>
        <v>14035337.988717236</v>
      </c>
      <c r="I667" s="516"/>
      <c r="J667" s="516"/>
      <c r="K667" s="518">
        <f>SUMIF($B$7:$B$651,$B667,$K$7:$K$651)</f>
        <v>2595594020.9994874</v>
      </c>
      <c r="L667" s="518">
        <f>SUMIF($B$7:$B$651,$B667,$L$7:$L$651)</f>
        <v>1020392337.5758873</v>
      </c>
      <c r="M667" s="519"/>
      <c r="N667" s="520"/>
      <c r="O667" s="521"/>
    </row>
    <row r="668" spans="2:16" ht="12.5">
      <c r="B668" s="522" t="s">
        <v>604</v>
      </c>
      <c r="C668" s="516"/>
      <c r="D668" s="516"/>
      <c r="E668" s="517"/>
      <c r="F668" s="516"/>
      <c r="G668" s="518">
        <f>SUMIF($B$7:$B$651,B668,$F$7:$F$651)</f>
        <v>0</v>
      </c>
      <c r="H668" s="518">
        <f>SUMIF($B$7:$B$651,$B668,$G$7:$G$651)</f>
        <v>0</v>
      </c>
      <c r="I668" s="517"/>
      <c r="J668" s="517"/>
      <c r="K668" s="518">
        <f>SUMIF($B$7:$B$651,$B668,$K$7:$K$651)</f>
        <v>0</v>
      </c>
      <c r="L668" s="518">
        <f>SUMIF($B$7:$B$651,$B668,$K$7:$K$651)</f>
        <v>0</v>
      </c>
      <c r="M668" s="519"/>
      <c r="N668" s="521"/>
      <c r="O668" s="521"/>
    </row>
    <row r="669" spans="2:16" ht="12.5">
      <c r="B669" s="522" t="s">
        <v>605</v>
      </c>
      <c r="C669" s="516"/>
      <c r="D669" s="516"/>
      <c r="E669" s="517"/>
      <c r="F669" s="516"/>
      <c r="G669" s="518">
        <f>SUMIF($B$7:$B$651,$B669,$F$7:$F$651)</f>
        <v>0</v>
      </c>
      <c r="H669" s="518">
        <f>SUMIF($B$7:$B$651,$B669,$G$7:$G$651)</f>
        <v>0</v>
      </c>
      <c r="I669" s="517"/>
      <c r="J669" s="517"/>
      <c r="K669" s="518">
        <f>SUMIF($B$7:$B$651,$B669,$K$7:$K$651)</f>
        <v>0</v>
      </c>
      <c r="L669" s="518">
        <f>SUMIF($B$7:$B$651,$B669,$K$7:$K$651)</f>
        <v>0</v>
      </c>
      <c r="M669" s="519"/>
      <c r="N669" s="521"/>
      <c r="O669" s="521"/>
    </row>
    <row r="670" spans="2:16" ht="12.5">
      <c r="B670" s="485" t="s">
        <v>595</v>
      </c>
      <c r="C670" s="517"/>
      <c r="D670" s="517"/>
      <c r="E670" s="517"/>
      <c r="F670" s="517"/>
      <c r="G670" s="518">
        <f>SUMIF($B$7:$B$651,$B670,$G$7:$G$651)</f>
        <v>4837668018.5769587</v>
      </c>
      <c r="H670" s="518">
        <f>SUMIF($B$7:$B$651,$B670,$H$7:$H$651)</f>
        <v>5238981.4230418503</v>
      </c>
      <c r="I670" s="517"/>
      <c r="J670" s="519"/>
      <c r="K670" s="518">
        <f>SUMIF($B$7:$B$651,$B670,$K$7:$K$651)</f>
        <v>959850374.06483793</v>
      </c>
      <c r="L670" s="518">
        <f>SUMIF($B$7:$B$651,$B670,$L$7:$L$651)</f>
        <v>547034455.93516207</v>
      </c>
      <c r="M670" s="519"/>
      <c r="N670" s="520"/>
      <c r="O670" s="521"/>
    </row>
    <row r="671" spans="2:16" ht="12.5">
      <c r="B671" s="467" t="s">
        <v>588</v>
      </c>
      <c r="C671" s="517"/>
      <c r="D671" s="517"/>
      <c r="E671" s="517"/>
      <c r="F671" s="517"/>
      <c r="G671" s="518">
        <f>SUMIF($B$7:$B$651,$B671,$G$7:$G$651)</f>
        <v>9724099.0000003688</v>
      </c>
      <c r="H671" s="518">
        <f>SUMIF($B$7:$B$651,$B671,$H$7:$H$651)</f>
        <v>0</v>
      </c>
      <c r="I671" s="517"/>
      <c r="J671" s="519"/>
      <c r="K671" s="518">
        <f>SUMIF($B$7:$B$651,$B671,$K$7:$K$651)</f>
        <v>0</v>
      </c>
      <c r="L671" s="518">
        <f>SUMIF($B$7:$B$651,$B671,$L$7:$L$651)</f>
        <v>0</v>
      </c>
      <c r="M671" s="519"/>
      <c r="N671" s="523"/>
      <c r="O671" s="523"/>
    </row>
    <row r="672" spans="2:16" ht="12.5">
      <c r="B672" s="524" t="s">
        <v>590</v>
      </c>
      <c r="C672" s="517"/>
      <c r="D672" s="517"/>
      <c r="E672" s="517"/>
      <c r="F672" s="517"/>
      <c r="G672" s="518">
        <f>SUMIF($E$7:$E$651,$B672,$G$7:$G$651)</f>
        <v>0</v>
      </c>
      <c r="H672" s="518">
        <f>SUMIF($E$7:$E$651,$B672,$H$7:$H$651)</f>
        <v>0</v>
      </c>
      <c r="I672" s="517"/>
      <c r="J672" s="519"/>
      <c r="K672" s="518">
        <f>SUMIF($E$7:$E$651,$B672,$K$7:$K$651)</f>
        <v>114690928.48122571</v>
      </c>
      <c r="L672" s="518">
        <f>SUMIF($E$7:$E$651,$B672,$L$7:$L$651)</f>
        <v>30885023.837352224</v>
      </c>
      <c r="M672" s="519"/>
      <c r="N672" s="523"/>
      <c r="O672" s="523"/>
    </row>
    <row r="673" spans="2:16" ht="12.5">
      <c r="B673" s="524" t="s">
        <v>592</v>
      </c>
      <c r="C673" s="517"/>
      <c r="D673" s="517"/>
      <c r="E673" s="517"/>
      <c r="F673" s="517"/>
      <c r="G673" s="518">
        <f>SUMIF($E$7:$E$651,$B673,$G$7:$G$651)</f>
        <v>0</v>
      </c>
      <c r="H673" s="518">
        <f>SUMIF($E$7:$E$651,$B673,$H$7:$H$651)</f>
        <v>0</v>
      </c>
      <c r="I673" s="517"/>
      <c r="J673" s="519"/>
      <c r="K673" s="518">
        <f>SUMIF($E$7:$E$651,$B673,$K$7:$K$651)</f>
        <v>35801596.258909971</v>
      </c>
      <c r="L673" s="518">
        <f>SUMIF($E$7:$E$651,$B673,$L$7:$L$651)</f>
        <v>17450064.997886777</v>
      </c>
      <c r="M673" s="519"/>
      <c r="N673" s="523"/>
      <c r="O673" s="523"/>
    </row>
    <row r="674" spans="2:16" ht="12.5">
      <c r="B674" s="524" t="s">
        <v>576</v>
      </c>
      <c r="C674" s="517"/>
      <c r="D674" s="517"/>
      <c r="E674" s="517"/>
      <c r="F674" s="517"/>
      <c r="G674" s="518">
        <f>SUMIF($E$7:$E$651,$B674,$G$7:$G$651)</f>
        <v>11138700000</v>
      </c>
      <c r="H674" s="518">
        <f>SUMIF($E$7:$E$651,$B674,$H$7:$H$651)</f>
        <v>0</v>
      </c>
      <c r="I674" s="517"/>
      <c r="J674" s="517"/>
      <c r="K674" s="518">
        <f>SUMIF($E$7:$E$651,$B674,$K$7:$K$651)</f>
        <v>3105700000</v>
      </c>
      <c r="L674" s="518">
        <f>SUMIF($E$7:$E$651,$B674,$L$7:$L$651)</f>
        <v>1518343575</v>
      </c>
      <c r="M674" s="519"/>
      <c r="N674" s="523"/>
      <c r="O674" s="523"/>
    </row>
    <row r="675" spans="2:16" ht="12.5">
      <c r="B675" s="524" t="s">
        <v>579</v>
      </c>
      <c r="C675" s="517"/>
      <c r="D675" s="519"/>
      <c r="E675" s="517"/>
      <c r="F675" s="517"/>
      <c r="G675" s="518">
        <f>SUMIF($E$7:$E$651,$B675,$G$7:$G$651)</f>
        <v>2880725680.5882411</v>
      </c>
      <c r="H675" s="518">
        <f>SUMIF($E$7:$E$651,$B675,$H$7:$H$651)</f>
        <v>19274319.411759086</v>
      </c>
      <c r="I675" s="517"/>
      <c r="J675" s="519"/>
      <c r="K675" s="518">
        <f>SUMIF($E$7:$E$651,$B675,$K$7:$K$651)</f>
        <v>299251870.32418954</v>
      </c>
      <c r="L675" s="518">
        <f>SUMIF($E$7:$E651,$B675,$L$7:$L$651)</f>
        <v>748129.67581044883</v>
      </c>
      <c r="M675" s="519"/>
      <c r="N675" s="523"/>
      <c r="O675" s="523"/>
    </row>
    <row r="676" spans="2:16">
      <c r="B676" s="525"/>
      <c r="C676" s="525"/>
      <c r="D676" s="525"/>
      <c r="E676" s="525"/>
      <c r="F676" s="526"/>
      <c r="G676" s="527">
        <f>SUM(G671:G675)</f>
        <v>14029149779.588242</v>
      </c>
      <c r="H676" s="527">
        <f>SUM(H671:H675)</f>
        <v>19274319.411759086</v>
      </c>
      <c r="I676" s="528"/>
      <c r="J676" s="525"/>
      <c r="K676" s="527">
        <f>SUM(K671:K675)</f>
        <v>3555444395.0643253</v>
      </c>
      <c r="L676" s="527">
        <f>SUM(L671:L675)</f>
        <v>1567426793.5110493</v>
      </c>
      <c r="M676" s="529"/>
      <c r="N676" s="529"/>
      <c r="O676" s="530"/>
    </row>
    <row r="677" spans="2:16" ht="12.5">
      <c r="C677" s="441"/>
      <c r="D677" s="441"/>
      <c r="E677" s="441"/>
      <c r="F677" s="441"/>
      <c r="G677" s="441"/>
      <c r="H677" s="441"/>
      <c r="I677" s="441"/>
      <c r="J677" s="441"/>
      <c r="K677" s="441"/>
      <c r="L677" s="441"/>
      <c r="M677" s="441"/>
      <c r="O677" s="511"/>
    </row>
    <row r="678" spans="2:16" ht="12.5">
      <c r="C678" s="441"/>
      <c r="D678" s="531"/>
      <c r="E678" s="531"/>
      <c r="F678" s="531"/>
      <c r="G678" s="531"/>
      <c r="H678" s="532"/>
      <c r="I678" s="531"/>
      <c r="J678" s="441"/>
      <c r="K678" s="441"/>
      <c r="L678" s="441"/>
      <c r="M678" s="441"/>
    </row>
    <row r="679" spans="2:16">
      <c r="C679" s="441"/>
      <c r="D679" s="533"/>
      <c r="E679" s="533"/>
      <c r="F679" s="533"/>
      <c r="G679" s="534"/>
      <c r="I679" s="533"/>
      <c r="J679" s="536"/>
      <c r="K679" s="441">
        <f>+G676-K676</f>
        <v>10473705384.523916</v>
      </c>
      <c r="L679" s="441"/>
      <c r="M679" s="532"/>
      <c r="N679" s="532"/>
    </row>
    <row r="680" spans="2:16" ht="12.5">
      <c r="C680" s="441"/>
      <c r="D680" s="532"/>
      <c r="E680" s="532"/>
      <c r="F680" s="532"/>
      <c r="G680" s="532"/>
      <c r="H680" s="532"/>
      <c r="I680" s="532"/>
      <c r="J680" s="536"/>
      <c r="K680" s="533"/>
      <c r="L680" s="533"/>
      <c r="M680" s="533"/>
      <c r="N680" s="533"/>
    </row>
    <row r="681" spans="2:16" ht="13">
      <c r="C681" s="441"/>
      <c r="D681" s="537"/>
      <c r="E681" s="537"/>
      <c r="F681" s="537"/>
      <c r="G681" s="537"/>
      <c r="H681" s="537"/>
      <c r="I681" s="537"/>
      <c r="J681" s="537"/>
      <c r="K681" s="537"/>
      <c r="L681" s="537"/>
      <c r="M681" s="537"/>
      <c r="N681" s="537"/>
      <c r="O681" s="537"/>
      <c r="P681" s="538"/>
    </row>
    <row r="682" spans="2:16" ht="13">
      <c r="B682" s="757"/>
      <c r="C682" s="756" t="s">
        <v>607</v>
      </c>
      <c r="D682" s="756" t="s">
        <v>608</v>
      </c>
      <c r="E682" s="756" t="s">
        <v>609</v>
      </c>
      <c r="F682" s="541" t="s">
        <v>610</v>
      </c>
      <c r="G682" s="756" t="s">
        <v>4</v>
      </c>
      <c r="H682" s="541" t="s">
        <v>5</v>
      </c>
      <c r="I682" s="756" t="s">
        <v>24</v>
      </c>
      <c r="J682" s="541" t="s">
        <v>11</v>
      </c>
      <c r="K682" s="756" t="s">
        <v>12</v>
      </c>
      <c r="L682" s="541" t="s">
        <v>611</v>
      </c>
      <c r="M682" s="756" t="s">
        <v>612</v>
      </c>
      <c r="N682" s="541" t="s">
        <v>14</v>
      </c>
      <c r="O682" s="756" t="s">
        <v>26</v>
      </c>
    </row>
    <row r="683" spans="2:16" ht="12.5">
      <c r="B683" s="754" t="s">
        <v>613</v>
      </c>
      <c r="C683" s="753">
        <f t="shared" ref="C683:O683" si="33">SUM(C684:C692)</f>
        <v>3003.7292627694519</v>
      </c>
      <c r="D683" s="753">
        <f t="shared" si="33"/>
        <v>4302.9523161930283</v>
      </c>
      <c r="E683" s="753">
        <f t="shared" si="33"/>
        <v>4668.919790517356</v>
      </c>
      <c r="F683" s="753">
        <f t="shared" si="33"/>
        <v>5318.4211725885689</v>
      </c>
      <c r="G683" s="753">
        <f t="shared" si="33"/>
        <v>3944.6452378675644</v>
      </c>
      <c r="H683" s="881">
        <f t="shared" si="33"/>
        <v>4837.8516218421191</v>
      </c>
      <c r="I683" s="752">
        <f>SUM(I684:I692)</f>
        <v>4119.901494867564</v>
      </c>
      <c r="J683" s="755">
        <f t="shared" si="33"/>
        <v>0</v>
      </c>
      <c r="K683" s="755">
        <f t="shared" si="33"/>
        <v>0</v>
      </c>
      <c r="L683" s="755">
        <f t="shared" si="33"/>
        <v>0</v>
      </c>
      <c r="M683" s="755">
        <f t="shared" si="33"/>
        <v>0</v>
      </c>
      <c r="N683" s="755">
        <f t="shared" si="33"/>
        <v>0</v>
      </c>
      <c r="O683" s="755">
        <f t="shared" si="33"/>
        <v>0</v>
      </c>
    </row>
    <row r="684" spans="2:16" ht="12.5">
      <c r="B684" s="754" t="s">
        <v>614</v>
      </c>
      <c r="C684" s="753">
        <f t="shared" ref="C684:K684" si="34">C697+C705</f>
        <v>633.20852100000002</v>
      </c>
      <c r="D684" s="753">
        <f t="shared" si="34"/>
        <v>1355.4944909999999</v>
      </c>
      <c r="E684" s="753">
        <f t="shared" si="34"/>
        <v>1791.8114639999999</v>
      </c>
      <c r="F684" s="753">
        <f t="shared" si="34"/>
        <v>2367.5126059999998</v>
      </c>
      <c r="G684" s="753">
        <f t="shared" si="34"/>
        <v>997.60404300000005</v>
      </c>
      <c r="H684" s="881">
        <f t="shared" si="34"/>
        <v>1739.8897179999999</v>
      </c>
      <c r="I684" s="752">
        <f t="shared" si="34"/>
        <v>1172.8603000000001</v>
      </c>
      <c r="J684" s="755">
        <f t="shared" si="34"/>
        <v>0</v>
      </c>
      <c r="K684" s="755">
        <f t="shared" si="34"/>
        <v>0</v>
      </c>
      <c r="L684" s="755">
        <f>+L697+L705</f>
        <v>0</v>
      </c>
      <c r="M684" s="755">
        <f>+M697+M705</f>
        <v>0</v>
      </c>
      <c r="N684" s="755">
        <f>+N697+N705</f>
        <v>0</v>
      </c>
      <c r="O684" s="755">
        <f>+O697+O705</f>
        <v>0</v>
      </c>
    </row>
    <row r="685" spans="2:16" ht="12.5">
      <c r="B685" s="754" t="s">
        <v>615</v>
      </c>
      <c r="C685" s="753">
        <f t="shared" ref="C685:K685" si="35">C700+C706</f>
        <v>1154.15935425</v>
      </c>
      <c r="D685" s="753">
        <f t="shared" si="35"/>
        <v>1155.0254312499999</v>
      </c>
      <c r="E685" s="753">
        <f t="shared" si="35"/>
        <v>1146.55082025</v>
      </c>
      <c r="F685" s="753">
        <f t="shared" si="35"/>
        <v>1001.97241225</v>
      </c>
      <c r="G685" s="753">
        <f t="shared" si="35"/>
        <v>988.98749224999995</v>
      </c>
      <c r="H685" s="881">
        <f t="shared" si="35"/>
        <v>981.61541124999997</v>
      </c>
      <c r="I685" s="752">
        <f t="shared" si="35"/>
        <v>988.98749224999995</v>
      </c>
      <c r="J685" s="755">
        <f t="shared" si="35"/>
        <v>0</v>
      </c>
      <c r="K685" s="755">
        <f t="shared" si="35"/>
        <v>0</v>
      </c>
      <c r="L685" s="755">
        <f>+L700+L706</f>
        <v>0</v>
      </c>
      <c r="M685" s="755">
        <f>+M700+M706</f>
        <v>0</v>
      </c>
      <c r="N685" s="755">
        <f>+N700+N706</f>
        <v>0</v>
      </c>
      <c r="O685" s="755">
        <f>+O700+O706</f>
        <v>0</v>
      </c>
    </row>
    <row r="686" spans="2:16" ht="12.5">
      <c r="B686" s="754" t="s">
        <v>616</v>
      </c>
      <c r="C686" s="753">
        <f t="shared" ref="C686:K686" si="36">C707</f>
        <v>28.763525959999996</v>
      </c>
      <c r="D686" s="753">
        <f t="shared" si="36"/>
        <v>32.267119959999995</v>
      </c>
      <c r="E686" s="753">
        <f t="shared" si="36"/>
        <v>34.665655960000002</v>
      </c>
      <c r="F686" s="753">
        <f t="shared" si="36"/>
        <v>37.417906959999996</v>
      </c>
      <c r="G686" s="753">
        <f t="shared" si="36"/>
        <v>39.731059960000003</v>
      </c>
      <c r="H686" s="881">
        <f t="shared" si="36"/>
        <v>49.63166296</v>
      </c>
      <c r="I686" s="752">
        <f t="shared" si="36"/>
        <v>39.731059960000003</v>
      </c>
      <c r="J686" s="755">
        <f t="shared" si="36"/>
        <v>0</v>
      </c>
      <c r="K686" s="755">
        <f t="shared" si="36"/>
        <v>0</v>
      </c>
      <c r="L686" s="755">
        <f t="shared" ref="L686:O687" si="37">+L707</f>
        <v>0</v>
      </c>
      <c r="M686" s="755">
        <f t="shared" si="37"/>
        <v>0</v>
      </c>
      <c r="N686" s="755">
        <f t="shared" si="37"/>
        <v>0</v>
      </c>
      <c r="O686" s="755">
        <f t="shared" si="37"/>
        <v>0</v>
      </c>
    </row>
    <row r="687" spans="2:16" ht="12.5">
      <c r="B687" s="754" t="s">
        <v>617</v>
      </c>
      <c r="C687" s="753">
        <f t="shared" ref="C687:K687" si="38">C708</f>
        <v>569.53716655945198</v>
      </c>
      <c r="D687" s="753">
        <f t="shared" si="38"/>
        <v>597.425140983029</v>
      </c>
      <c r="E687" s="753">
        <f t="shared" si="38"/>
        <v>565.39987930735572</v>
      </c>
      <c r="F687" s="753">
        <f t="shared" si="38"/>
        <v>549.13630437856864</v>
      </c>
      <c r="G687" s="753">
        <f t="shared" si="38"/>
        <v>559.68931265756396</v>
      </c>
      <c r="H687" s="881">
        <f t="shared" si="38"/>
        <v>548.14147263211942</v>
      </c>
      <c r="I687" s="752">
        <f t="shared" si="38"/>
        <v>559.68931265756396</v>
      </c>
      <c r="J687" s="755">
        <f t="shared" si="38"/>
        <v>0</v>
      </c>
      <c r="K687" s="755">
        <f t="shared" si="38"/>
        <v>0</v>
      </c>
      <c r="L687" s="755">
        <f t="shared" si="37"/>
        <v>0</v>
      </c>
      <c r="M687" s="755">
        <f t="shared" si="37"/>
        <v>0</v>
      </c>
      <c r="N687" s="755">
        <f t="shared" si="37"/>
        <v>0</v>
      </c>
      <c r="O687" s="755">
        <f t="shared" si="37"/>
        <v>0</v>
      </c>
    </row>
    <row r="688" spans="2:16" ht="12.5">
      <c r="B688" s="754" t="s">
        <v>62</v>
      </c>
      <c r="C688" s="753">
        <f t="shared" ref="C688:O688" si="39">C709+C703</f>
        <v>118.717609</v>
      </c>
      <c r="D688" s="753">
        <f t="shared" si="39"/>
        <v>118.774462</v>
      </c>
      <c r="E688" s="753">
        <f t="shared" si="39"/>
        <v>118.920469</v>
      </c>
      <c r="F688" s="753">
        <f t="shared" si="39"/>
        <v>119.090925</v>
      </c>
      <c r="G688" s="753">
        <f t="shared" si="39"/>
        <v>118.40392199999999</v>
      </c>
      <c r="H688" s="881">
        <f t="shared" si="39"/>
        <v>118.532484</v>
      </c>
      <c r="I688" s="752">
        <f t="shared" si="39"/>
        <v>118.40392199999999</v>
      </c>
      <c r="J688" s="755">
        <f t="shared" si="39"/>
        <v>0</v>
      </c>
      <c r="K688" s="755">
        <f t="shared" si="39"/>
        <v>0</v>
      </c>
      <c r="L688" s="755">
        <f t="shared" si="39"/>
        <v>0</v>
      </c>
      <c r="M688" s="755">
        <f t="shared" si="39"/>
        <v>0</v>
      </c>
      <c r="N688" s="755">
        <f t="shared" si="39"/>
        <v>0</v>
      </c>
      <c r="O688" s="755">
        <f t="shared" si="39"/>
        <v>0</v>
      </c>
    </row>
    <row r="689" spans="2:16" ht="12.5">
      <c r="B689" s="754" t="s">
        <v>618</v>
      </c>
      <c r="C689" s="753">
        <f t="shared" ref="C689:K689" si="40">C698+C710</f>
        <v>477.16078399999998</v>
      </c>
      <c r="D689" s="753">
        <f t="shared" si="40"/>
        <v>1021.783369</v>
      </c>
      <c r="E689" s="753">
        <f t="shared" si="40"/>
        <v>989.38919999999996</v>
      </c>
      <c r="F689" s="753">
        <f t="shared" si="40"/>
        <v>1221.108716</v>
      </c>
      <c r="G689" s="753">
        <f t="shared" si="40"/>
        <v>1218.047106</v>
      </c>
      <c r="H689" s="881">
        <f t="shared" si="40"/>
        <v>1377.858571</v>
      </c>
      <c r="I689" s="752">
        <f t="shared" si="40"/>
        <v>1218.047106</v>
      </c>
      <c r="J689" s="755">
        <f t="shared" si="40"/>
        <v>0</v>
      </c>
      <c r="K689" s="755">
        <f t="shared" si="40"/>
        <v>0</v>
      </c>
      <c r="L689" s="755">
        <f>+L698+L710</f>
        <v>0</v>
      </c>
      <c r="M689" s="755">
        <f>+M698+M710</f>
        <v>0</v>
      </c>
      <c r="N689" s="755">
        <f>+N698+N710</f>
        <v>0</v>
      </c>
      <c r="O689" s="755">
        <f>+O698+O710</f>
        <v>0</v>
      </c>
    </row>
    <row r="690" spans="2:16" ht="12.5">
      <c r="B690" s="754" t="s">
        <v>619</v>
      </c>
      <c r="C690" s="753">
        <f t="shared" ref="C690:K690" si="41">C701+C711</f>
        <v>0</v>
      </c>
      <c r="D690" s="753">
        <f t="shared" si="41"/>
        <v>0</v>
      </c>
      <c r="E690" s="753">
        <f t="shared" si="41"/>
        <v>0</v>
      </c>
      <c r="F690" s="753">
        <f t="shared" si="41"/>
        <v>0</v>
      </c>
      <c r="G690" s="753">
        <f t="shared" si="41"/>
        <v>0</v>
      </c>
      <c r="H690" s="881">
        <f t="shared" si="41"/>
        <v>0</v>
      </c>
      <c r="I690" s="752">
        <f t="shared" si="41"/>
        <v>0</v>
      </c>
      <c r="J690" s="755">
        <f t="shared" si="41"/>
        <v>0</v>
      </c>
      <c r="K690" s="755">
        <f t="shared" si="41"/>
        <v>0</v>
      </c>
      <c r="L690" s="755">
        <f>+L701+L711</f>
        <v>0</v>
      </c>
      <c r="M690" s="755">
        <f>+M701+M711</f>
        <v>0</v>
      </c>
      <c r="N690" s="755">
        <f>+N701+N711</f>
        <v>0</v>
      </c>
      <c r="O690" s="755">
        <f>+O701+O711</f>
        <v>0</v>
      </c>
    </row>
    <row r="691" spans="2:16" ht="12.5">
      <c r="B691" s="754" t="s">
        <v>620</v>
      </c>
      <c r="C691" s="753">
        <f t="shared" ref="C691:K691" si="42">C699</f>
        <v>22.182302</v>
      </c>
      <c r="D691" s="753">
        <f t="shared" si="42"/>
        <v>22.182302</v>
      </c>
      <c r="E691" s="753">
        <f t="shared" si="42"/>
        <v>22.182302</v>
      </c>
      <c r="F691" s="753">
        <f t="shared" si="42"/>
        <v>22.182302</v>
      </c>
      <c r="G691" s="753">
        <f t="shared" si="42"/>
        <v>22.182302</v>
      </c>
      <c r="H691" s="881">
        <f t="shared" si="42"/>
        <v>22.182302</v>
      </c>
      <c r="I691" s="752">
        <f t="shared" si="42"/>
        <v>22.182302</v>
      </c>
      <c r="J691" s="755">
        <f t="shared" si="42"/>
        <v>0</v>
      </c>
      <c r="K691" s="755">
        <f t="shared" si="42"/>
        <v>0</v>
      </c>
      <c r="L691" s="755">
        <f>+L699</f>
        <v>0</v>
      </c>
      <c r="M691" s="755">
        <f>+M699</f>
        <v>0</v>
      </c>
      <c r="N691" s="755">
        <f>+N699</f>
        <v>0</v>
      </c>
      <c r="O691" s="755">
        <f>+O699</f>
        <v>0</v>
      </c>
    </row>
    <row r="692" spans="2:16" ht="12.5">
      <c r="B692" s="754" t="s">
        <v>621</v>
      </c>
      <c r="C692" s="753">
        <f t="shared" ref="C692:K692" si="43">C702</f>
        <v>0</v>
      </c>
      <c r="D692" s="753">
        <f t="shared" si="43"/>
        <v>0</v>
      </c>
      <c r="E692" s="753">
        <f t="shared" si="43"/>
        <v>0</v>
      </c>
      <c r="F692" s="753">
        <f t="shared" si="43"/>
        <v>0</v>
      </c>
      <c r="G692" s="753">
        <f t="shared" si="43"/>
        <v>0</v>
      </c>
      <c r="H692" s="881">
        <f t="shared" si="43"/>
        <v>0</v>
      </c>
      <c r="I692" s="752">
        <f t="shared" si="43"/>
        <v>0</v>
      </c>
      <c r="J692" s="755">
        <f t="shared" si="43"/>
        <v>0</v>
      </c>
      <c r="K692" s="755">
        <f t="shared" si="43"/>
        <v>0</v>
      </c>
      <c r="L692" s="755">
        <f>+L702</f>
        <v>0</v>
      </c>
      <c r="M692" s="755">
        <f>+M702</f>
        <v>0</v>
      </c>
      <c r="N692" s="755">
        <f>+N702</f>
        <v>0</v>
      </c>
      <c r="O692" s="755">
        <f>+O702</f>
        <v>0</v>
      </c>
    </row>
    <row r="693" spans="2:16" ht="12.5">
      <c r="B693" s="754" t="s">
        <v>622</v>
      </c>
      <c r="C693" s="753">
        <f t="shared" ref="C693:L693" si="44">C715</f>
        <v>947.63845087999937</v>
      </c>
      <c r="D693" s="753">
        <f t="shared" si="44"/>
        <v>997.5397268800001</v>
      </c>
      <c r="E693" s="753">
        <f t="shared" si="44"/>
        <v>964.85291287999917</v>
      </c>
      <c r="F693" s="753">
        <f t="shared" si="44"/>
        <v>957.36254987999973</v>
      </c>
      <c r="G693" s="753">
        <f t="shared" si="44"/>
        <v>957.36254987999973</v>
      </c>
      <c r="H693" s="881">
        <f t="shared" si="44"/>
        <v>957.36254987999973</v>
      </c>
      <c r="I693" s="752">
        <f t="shared" si="44"/>
        <v>957.36254987999973</v>
      </c>
      <c r="J693" s="752">
        <f t="shared" si="44"/>
        <v>0</v>
      </c>
      <c r="K693" s="752">
        <f t="shared" si="44"/>
        <v>0</v>
      </c>
      <c r="L693" s="752">
        <f t="shared" si="44"/>
        <v>0</v>
      </c>
      <c r="M693" s="752">
        <v>0</v>
      </c>
      <c r="N693" s="752">
        <f>N715</f>
        <v>0</v>
      </c>
      <c r="O693" s="752">
        <f>O715</f>
        <v>0</v>
      </c>
    </row>
    <row r="694" spans="2:16" ht="12.5">
      <c r="C694" s="441"/>
      <c r="D694" s="441"/>
      <c r="E694" s="441"/>
      <c r="F694" s="441"/>
      <c r="G694" s="441"/>
      <c r="H694" s="441"/>
      <c r="I694" s="441"/>
      <c r="J694" s="546"/>
      <c r="K694" s="441"/>
      <c r="L694" s="441"/>
      <c r="M694" s="547"/>
    </row>
    <row r="695" spans="2:16" ht="13">
      <c r="C695" s="548"/>
      <c r="D695" s="441"/>
      <c r="E695" s="441"/>
      <c r="F695" s="441"/>
      <c r="G695" s="441"/>
      <c r="H695" s="441"/>
      <c r="I695" s="441"/>
      <c r="J695" s="441"/>
      <c r="K695" s="441"/>
      <c r="L695" s="441"/>
      <c r="M695" s="441"/>
    </row>
    <row r="696" spans="2:16" ht="12.5">
      <c r="C696" s="441"/>
      <c r="D696" s="441"/>
      <c r="E696" s="441"/>
      <c r="F696" s="441"/>
      <c r="G696" s="441"/>
      <c r="H696" s="441"/>
      <c r="I696" s="441"/>
      <c r="J696" s="441"/>
      <c r="K696" s="441"/>
      <c r="L696" s="441"/>
      <c r="M696" s="441"/>
      <c r="O696" s="549"/>
      <c r="P696" s="441" t="s">
        <v>623</v>
      </c>
    </row>
    <row r="697" spans="2:16" ht="13">
      <c r="B697" s="550" t="s">
        <v>624</v>
      </c>
      <c r="C697" s="880">
        <v>633.20852100000002</v>
      </c>
      <c r="D697" s="880">
        <v>1355.4944909999999</v>
      </c>
      <c r="E697" s="880">
        <v>1791.8114639999999</v>
      </c>
      <c r="F697" s="880">
        <v>2367.5126059999998</v>
      </c>
      <c r="G697" s="880">
        <v>997.60404300000005</v>
      </c>
      <c r="H697" s="880">
        <v>1739.8897179999999</v>
      </c>
      <c r="I697" s="554">
        <v>1172.8603000000001</v>
      </c>
      <c r="J697" s="553"/>
      <c r="K697" s="553"/>
      <c r="L697" s="551"/>
      <c r="M697" s="551"/>
      <c r="N697" s="551"/>
      <c r="O697" s="551"/>
    </row>
    <row r="698" spans="2:16" ht="13">
      <c r="B698" s="550" t="s">
        <v>625</v>
      </c>
      <c r="C698" s="880">
        <v>477.16078399999998</v>
      </c>
      <c r="D698" s="880">
        <v>1021.783369</v>
      </c>
      <c r="E698" s="880">
        <v>989.38919999999996</v>
      </c>
      <c r="F698" s="880">
        <v>1221.108716</v>
      </c>
      <c r="G698" s="880">
        <v>1218.047106</v>
      </c>
      <c r="H698" s="880">
        <v>1377.858571</v>
      </c>
      <c r="I698" s="554">
        <v>1218.047106</v>
      </c>
      <c r="J698" s="553"/>
      <c r="K698" s="553"/>
      <c r="L698" s="551"/>
      <c r="M698" s="551"/>
      <c r="N698" s="551"/>
      <c r="O698" s="551"/>
    </row>
    <row r="699" spans="2:16" ht="13">
      <c r="B699" s="550" t="s">
        <v>626</v>
      </c>
      <c r="C699" s="880">
        <v>22.182302</v>
      </c>
      <c r="D699" s="880">
        <v>22.182302</v>
      </c>
      <c r="E699" s="880">
        <v>22.182302</v>
      </c>
      <c r="F699" s="880">
        <v>22.182302</v>
      </c>
      <c r="G699" s="880">
        <v>22.182302</v>
      </c>
      <c r="H699" s="880">
        <v>22.182302</v>
      </c>
      <c r="I699" s="554">
        <v>22.182302</v>
      </c>
      <c r="J699" s="553"/>
      <c r="K699" s="553"/>
      <c r="L699" s="551"/>
      <c r="M699" s="551"/>
      <c r="N699" s="551"/>
      <c r="O699" s="551"/>
    </row>
    <row r="700" spans="2:16" ht="13">
      <c r="B700" s="550" t="s">
        <v>627</v>
      </c>
      <c r="C700" s="880">
        <v>1139.4508269999999</v>
      </c>
      <c r="D700" s="880">
        <v>1140.8789859999999</v>
      </c>
      <c r="E700" s="880">
        <v>1132.1875030000001</v>
      </c>
      <c r="F700" s="880">
        <v>988.543994</v>
      </c>
      <c r="G700" s="880">
        <v>976.083168</v>
      </c>
      <c r="H700" s="880">
        <v>969.33268299999997</v>
      </c>
      <c r="I700" s="554">
        <v>976.083168</v>
      </c>
      <c r="J700" s="553"/>
      <c r="K700" s="553"/>
      <c r="L700" s="551"/>
      <c r="M700" s="551"/>
      <c r="N700" s="551"/>
      <c r="O700" s="551"/>
    </row>
    <row r="701" spans="2:16" ht="13">
      <c r="B701" s="550" t="s">
        <v>628</v>
      </c>
      <c r="C701" s="880">
        <v>0</v>
      </c>
      <c r="D701" s="880">
        <v>0</v>
      </c>
      <c r="E701" s="880">
        <v>0</v>
      </c>
      <c r="F701" s="880">
        <v>0</v>
      </c>
      <c r="G701" s="880">
        <v>0</v>
      </c>
      <c r="H701" s="880">
        <v>0</v>
      </c>
      <c r="I701" s="554">
        <v>0</v>
      </c>
      <c r="J701" s="553"/>
      <c r="K701" s="553"/>
      <c r="L701" s="551"/>
      <c r="M701" s="551"/>
      <c r="N701" s="551"/>
      <c r="O701" s="551"/>
    </row>
    <row r="702" spans="2:16" ht="13">
      <c r="B702" s="550" t="s">
        <v>629</v>
      </c>
      <c r="C702" s="880">
        <v>0</v>
      </c>
      <c r="D702" s="880">
        <v>0</v>
      </c>
      <c r="E702" s="880">
        <v>0</v>
      </c>
      <c r="F702" s="880">
        <v>0</v>
      </c>
      <c r="G702" s="880">
        <v>0</v>
      </c>
      <c r="H702" s="880">
        <v>0</v>
      </c>
      <c r="I702" s="554">
        <v>0</v>
      </c>
      <c r="J702" s="553"/>
      <c r="K702" s="553"/>
      <c r="L702" s="551"/>
      <c r="M702" s="551"/>
      <c r="N702" s="551"/>
      <c r="O702" s="551"/>
    </row>
    <row r="703" spans="2:16" ht="13">
      <c r="B703" s="550" t="s">
        <v>630</v>
      </c>
      <c r="C703" s="880">
        <v>118.717609</v>
      </c>
      <c r="D703" s="880">
        <v>118.774462</v>
      </c>
      <c r="E703" s="880">
        <v>118.920469</v>
      </c>
      <c r="F703" s="880">
        <v>119.090925</v>
      </c>
      <c r="G703" s="880">
        <v>118.40392199999999</v>
      </c>
      <c r="H703" s="880">
        <v>118.532484</v>
      </c>
      <c r="I703" s="554">
        <v>118.40392199999999</v>
      </c>
      <c r="J703" s="553"/>
      <c r="K703" s="553"/>
      <c r="L703" s="551"/>
      <c r="M703" s="551"/>
      <c r="N703" s="551"/>
      <c r="O703" s="551"/>
    </row>
    <row r="704" spans="2:16">
      <c r="B704" s="526"/>
      <c r="C704" s="526"/>
      <c r="D704" s="526"/>
      <c r="E704" s="526"/>
      <c r="F704" s="525"/>
      <c r="G704" s="879"/>
      <c r="H704" s="879"/>
      <c r="I704" s="555"/>
      <c r="J704" s="553"/>
      <c r="K704" s="551"/>
      <c r="L704" s="491"/>
      <c r="M704" s="441"/>
      <c r="N704" s="491"/>
    </row>
    <row r="705" spans="2:15" ht="12.5">
      <c r="B705" s="560" t="s">
        <v>631</v>
      </c>
      <c r="C705" s="751"/>
      <c r="D705" s="751"/>
      <c r="E705" s="751"/>
      <c r="F705" s="751"/>
      <c r="G705" s="751"/>
      <c r="H705" s="751"/>
      <c r="I705" s="751"/>
      <c r="J705" s="553"/>
      <c r="K705" s="553"/>
      <c r="L705" s="551"/>
      <c r="M705" s="561"/>
      <c r="N705" s="561"/>
      <c r="O705" s="551"/>
    </row>
    <row r="706" spans="2:15" ht="12.5">
      <c r="B706" s="560" t="s">
        <v>632</v>
      </c>
      <c r="C706" s="882">
        <v>14.708527249999999</v>
      </c>
      <c r="D706" s="882">
        <v>14.146445249999999</v>
      </c>
      <c r="E706" s="882">
        <v>14.36331725</v>
      </c>
      <c r="F706" s="882">
        <v>13.42841825</v>
      </c>
      <c r="G706" s="882">
        <v>12.904324249999998</v>
      </c>
      <c r="H706" s="882">
        <v>12.28272825</v>
      </c>
      <c r="I706" s="554">
        <v>12.904324249999998</v>
      </c>
      <c r="J706" s="553"/>
      <c r="K706" s="553"/>
      <c r="L706" s="551"/>
      <c r="M706" s="561"/>
      <c r="N706" s="561"/>
      <c r="O706" s="551"/>
    </row>
    <row r="707" spans="2:15" ht="12.5">
      <c r="B707" s="560" t="s">
        <v>633</v>
      </c>
      <c r="C707" s="882">
        <v>28.763525959999996</v>
      </c>
      <c r="D707" s="882">
        <v>32.267119959999995</v>
      </c>
      <c r="E707" s="882">
        <v>34.665655960000002</v>
      </c>
      <c r="F707" s="882">
        <v>37.417906959999996</v>
      </c>
      <c r="G707" s="882">
        <v>39.731059960000003</v>
      </c>
      <c r="H707" s="882">
        <v>49.63166296</v>
      </c>
      <c r="I707" s="554">
        <v>39.731059960000003</v>
      </c>
      <c r="J707" s="553"/>
      <c r="K707" s="553"/>
      <c r="L707" s="551"/>
      <c r="M707" s="561"/>
      <c r="N707" s="561"/>
      <c r="O707" s="551"/>
    </row>
    <row r="708" spans="2:15" ht="12.5">
      <c r="B708" s="560" t="s">
        <v>634</v>
      </c>
      <c r="C708" s="882">
        <v>569.53716655945198</v>
      </c>
      <c r="D708" s="882">
        <v>597.425140983029</v>
      </c>
      <c r="E708" s="882">
        <v>565.39987930735572</v>
      </c>
      <c r="F708" s="882">
        <v>549.13630437856864</v>
      </c>
      <c r="G708" s="882">
        <v>559.68931265756396</v>
      </c>
      <c r="H708" s="882">
        <v>548.14147263211942</v>
      </c>
      <c r="I708" s="554">
        <v>559.68931265756396</v>
      </c>
      <c r="J708" s="553"/>
      <c r="K708" s="553"/>
      <c r="L708" s="551"/>
      <c r="M708" s="561"/>
      <c r="N708" s="561"/>
      <c r="O708" s="551"/>
    </row>
    <row r="709" spans="2:15" ht="12.5">
      <c r="B709" s="560" t="s">
        <v>635</v>
      </c>
      <c r="C709" s="751"/>
      <c r="D709" s="751"/>
      <c r="E709" s="751"/>
      <c r="F709" s="751"/>
      <c r="G709" s="751"/>
      <c r="H709" s="751"/>
      <c r="I709" s="751"/>
      <c r="J709" s="553"/>
      <c r="K709" s="553"/>
      <c r="L709" s="551"/>
      <c r="M709" s="561"/>
      <c r="N709" s="561"/>
      <c r="O709" s="551"/>
    </row>
    <row r="710" spans="2:15" ht="12.5">
      <c r="B710" s="560" t="s">
        <v>636</v>
      </c>
      <c r="C710" s="882">
        <v>0</v>
      </c>
      <c r="D710" s="882">
        <v>0</v>
      </c>
      <c r="E710" s="882">
        <v>0</v>
      </c>
      <c r="F710" s="882">
        <v>0</v>
      </c>
      <c r="G710" s="882">
        <v>0</v>
      </c>
      <c r="H710" s="882">
        <v>0</v>
      </c>
      <c r="I710" s="554">
        <v>0</v>
      </c>
      <c r="J710" s="553"/>
      <c r="K710" s="553"/>
      <c r="L710" s="551"/>
      <c r="M710" s="561"/>
      <c r="N710" s="561"/>
      <c r="O710" s="551"/>
    </row>
    <row r="711" spans="2:15" ht="12.5">
      <c r="B711" s="560" t="s">
        <v>637</v>
      </c>
      <c r="C711" s="882">
        <v>0</v>
      </c>
      <c r="D711" s="882">
        <v>0</v>
      </c>
      <c r="E711" s="882">
        <v>0</v>
      </c>
      <c r="F711" s="882">
        <v>0</v>
      </c>
      <c r="G711" s="882">
        <v>0</v>
      </c>
      <c r="H711" s="882">
        <v>0</v>
      </c>
      <c r="I711" s="554">
        <v>0</v>
      </c>
      <c r="J711" s="553"/>
      <c r="K711" s="553"/>
      <c r="L711" s="551"/>
      <c r="M711" s="561"/>
      <c r="N711" s="561"/>
      <c r="O711" s="551"/>
    </row>
    <row r="712" spans="2:15" ht="12.5">
      <c r="B712" s="560" t="s">
        <v>638</v>
      </c>
      <c r="C712" s="882">
        <v>3013.1319174128503</v>
      </c>
      <c r="D712" s="882">
        <v>3276.1929536813077</v>
      </c>
      <c r="E712" s="882">
        <v>3231.1963119504935</v>
      </c>
      <c r="F712" s="882">
        <v>3464.1282694725642</v>
      </c>
      <c r="G712" s="882">
        <v>3476.1223908506054</v>
      </c>
      <c r="H712" s="882">
        <v>3627.8349796691782</v>
      </c>
      <c r="I712" s="554">
        <v>3476.1223908506054</v>
      </c>
      <c r="J712" s="553"/>
      <c r="K712" s="553"/>
      <c r="L712" s="551"/>
      <c r="M712" s="561"/>
      <c r="N712" s="561"/>
      <c r="O712" s="551"/>
    </row>
    <row r="713" spans="2:15" ht="12.5">
      <c r="B713" s="560" t="s">
        <v>639</v>
      </c>
      <c r="C713" s="882">
        <v>5610.8190922700005</v>
      </c>
      <c r="D713" s="882">
        <v>5638.3769314300007</v>
      </c>
      <c r="E713" s="882">
        <v>5517.6252189499992</v>
      </c>
      <c r="F713" s="882">
        <v>5717.0575361200008</v>
      </c>
      <c r="G713" s="882">
        <v>5695.82921609</v>
      </c>
      <c r="H713" s="882">
        <v>5843.2596874900009</v>
      </c>
      <c r="I713" s="554">
        <v>5695.82921609</v>
      </c>
      <c r="J713" s="553"/>
      <c r="K713" s="553"/>
      <c r="L713" s="551"/>
      <c r="M713" s="561"/>
      <c r="N713" s="561"/>
      <c r="O713" s="551"/>
    </row>
    <row r="715" spans="2:15" ht="13">
      <c r="B715" s="750" t="s">
        <v>622</v>
      </c>
      <c r="C715" s="749">
        <v>947.63845087999937</v>
      </c>
      <c r="D715" s="749">
        <v>997.5397268800001</v>
      </c>
      <c r="E715" s="749">
        <v>964.85291287999917</v>
      </c>
      <c r="F715" s="749">
        <v>957.36254987999973</v>
      </c>
      <c r="G715" s="748">
        <v>957.36254987999973</v>
      </c>
      <c r="H715" s="748">
        <v>957.36254987999973</v>
      </c>
      <c r="I715" s="748">
        <v>957.36254987999973</v>
      </c>
      <c r="J715" s="748"/>
      <c r="K715" s="748"/>
      <c r="L715" s="748"/>
      <c r="M715" s="748"/>
      <c r="N715" s="748"/>
      <c r="O715" s="748"/>
    </row>
    <row r="717" spans="2:15" ht="12.5">
      <c r="B717" s="566" t="s">
        <v>640</v>
      </c>
      <c r="C717" s="566"/>
      <c r="D717" s="566"/>
      <c r="E717" s="566"/>
      <c r="F717" s="441"/>
      <c r="G717" s="441"/>
      <c r="H717" s="441"/>
      <c r="I717" s="441"/>
      <c r="J717" s="441"/>
      <c r="K717" s="441"/>
      <c r="L717" s="441"/>
      <c r="M717" s="441"/>
    </row>
    <row r="719" spans="2:15" ht="12.5">
      <c r="B719" s="567" t="s">
        <v>641</v>
      </c>
      <c r="C719" s="567"/>
      <c r="D719" s="441"/>
      <c r="E719" s="441"/>
      <c r="F719" s="441"/>
      <c r="G719" s="441"/>
      <c r="H719" s="441"/>
      <c r="I719" s="441"/>
      <c r="J719" s="441"/>
      <c r="K719" s="441"/>
      <c r="L719" s="441"/>
      <c r="M719" s="441"/>
    </row>
    <row r="720" spans="2:15" ht="12.5">
      <c r="B720" s="567" t="s">
        <v>642</v>
      </c>
      <c r="C720" s="567"/>
      <c r="D720" s="441"/>
      <c r="E720" s="441"/>
      <c r="F720" s="441"/>
      <c r="G720" s="441"/>
      <c r="H720" s="441"/>
      <c r="I720" s="441"/>
      <c r="J720" s="441"/>
      <c r="K720" s="441"/>
      <c r="L720" s="441"/>
      <c r="M720" s="441"/>
    </row>
    <row r="722" spans="3:15" ht="12.5">
      <c r="C722" s="441"/>
      <c r="D722" s="551"/>
      <c r="E722" s="551"/>
      <c r="F722" s="551"/>
      <c r="G722" s="551"/>
      <c r="H722" s="551"/>
      <c r="I722" s="551"/>
      <c r="J722" s="551"/>
      <c r="K722" s="551"/>
      <c r="L722" s="551"/>
      <c r="M722" s="551"/>
      <c r="N722" s="551"/>
      <c r="O722" s="551"/>
    </row>
  </sheetData>
  <mergeCells count="2">
    <mergeCell ref="B4:H4"/>
    <mergeCell ref="J4:L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17</vt:i4>
      </vt:variant>
      <vt:variant>
        <vt:lpstr>Intervalos com nome</vt:lpstr>
      </vt:variant>
      <vt:variant>
        <vt:i4>2</vt:i4>
      </vt:variant>
    </vt:vector>
  </HeadingPairs>
  <TitlesOfParts>
    <vt:vector size="19" baseType="lpstr">
      <vt:lpstr>GRAFICO</vt:lpstr>
      <vt:lpstr>Mapa I_ Receitas</vt:lpstr>
      <vt:lpstr>Mapa II_ Despesas</vt:lpstr>
      <vt:lpstr>Mapa XI_ Op. Financeiras</vt:lpstr>
      <vt:lpstr>AI_Mapa Cons. REC_2021</vt:lpstr>
      <vt:lpstr> AI_Receita DGA jul</vt:lpstr>
      <vt:lpstr> AI _Execução Despesas jul</vt:lpstr>
      <vt:lpstr>Movi Janeiro a Julho - 2021</vt:lpstr>
      <vt:lpstr>Movi Janeiro a Junho - 2021</vt:lpstr>
      <vt:lpstr>Movi Janeiro a maio - 2021</vt:lpstr>
      <vt:lpstr>DESEMBOLSO 2021 </vt:lpstr>
      <vt:lpstr> AI _Funcional_Sem Pessoal</vt:lpstr>
      <vt:lpstr>AI_ Abaixo da linha </vt:lpstr>
      <vt:lpstr>AI_Por Regularizar e OPT</vt:lpstr>
      <vt:lpstr>Emp _Maiores Projetos</vt:lpstr>
      <vt:lpstr>PROJ. COVID</vt:lpstr>
      <vt:lpstr>Emprestimos_maiores projetos</vt:lpstr>
      <vt:lpstr>' AI _Funcional_Sem Pessoal'!Área_de_Impressão</vt:lpstr>
      <vt:lpstr>'Mapa II_ Despesas'!Área_de_Impressão</vt:lpstr>
    </vt:vector>
  </TitlesOfParts>
  <Manager/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MF / DNOCP / Directora Nacional - Lidiane Nascimento</dc:creator>
  <cp:keywords/>
  <dc:description/>
  <cp:lastModifiedBy>MF / DNOCP / Dirª Serv  - Recilete Delgado Joia</cp:lastModifiedBy>
  <cp:lastPrinted>2021-07-16T18:12:50Z</cp:lastPrinted>
  <dcterms:created xsi:type="dcterms:W3CDTF">2021-06-16T13:49:52Z</dcterms:created>
  <dcterms:modified xsi:type="dcterms:W3CDTF">2021-08-19T22:53:51Z</dcterms:modified>
  <cp:category/>
</cp:coreProperties>
</file>